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EFF1" lockStructure="1"/>
  <bookViews>
    <workbookView xWindow="195" yWindow="360" windowWidth="28200" windowHeight="4290" activeTab="3"/>
  </bookViews>
  <sheets>
    <sheet name="Help" sheetId="5" r:id="rId1"/>
    <sheet name="Screenshots" sheetId="7" r:id="rId2"/>
    <sheet name="Calculator" sheetId="4" r:id="rId3"/>
    <sheet name="Worksheet" sheetId="9" r:id="rId4"/>
    <sheet name="Tables" sheetId="8" state="hidden" r:id="rId5"/>
  </sheets>
  <definedNames>
    <definedName name="_xlnm._FilterDatabase" localSheetId="2" hidden="1">Calculator!$B$36:$B$116</definedName>
    <definedName name="ActiveA">Calculator!$F$168</definedName>
    <definedName name="ActiveB">Calculator!$F$169</definedName>
    <definedName name="ActiveDisplayed">Calculator!$F$180</definedName>
    <definedName name="ActiveHidden">Calculator!$F$181</definedName>
    <definedName name="AdviceIssuesOnly">Calculator!$AR$29</definedName>
    <definedName name="AirMovement">Calculator!$B$30</definedName>
    <definedName name="AllInputsOK">Calculator!$AR$32</definedName>
    <definedName name="AllowanceCuA">Calculator!$S$30</definedName>
    <definedName name="AllowanceCuB">Calculator!$T$30</definedName>
    <definedName name="AllowedCond">Calculator!$AB$30</definedName>
    <definedName name="AllowedSHG">Calculator!$AC$30</definedName>
    <definedName name="AreaA">Calculator!$F$28</definedName>
    <definedName name="AreaAll">Calculator!$F$30</definedName>
    <definedName name="AreaApercent">Calculator!$AC$23</definedName>
    <definedName name="AreaB">Calculator!$F$29</definedName>
    <definedName name="AreaBpercent">Calculator!$AE$23</definedName>
    <definedName name="AreaUsed">Calculator!$P$37:$P$116</definedName>
    <definedName name="BC_AirMove">Worksheet!$GA$28:$GC$32</definedName>
    <definedName name="BC_Apply">Worksheet!$ET$54:$ET$55</definedName>
    <definedName name="BC_DataColumn">Worksheet!$MB$26:$MB$45</definedName>
    <definedName name="BC_DataTable">Worksheet!$ME$26:$MH$45</definedName>
    <definedName name="BC_FanEvap" localSheetId="3">Worksheet!$GA$26:$GC$26</definedName>
    <definedName name="BC_Floor_ConcDn">Worksheet!$KH$38:$KL$41</definedName>
    <definedName name="BC_Floor_ConcUp">Worksheet!$KH$32:$KL$35</definedName>
    <definedName name="BC_Floor_Enclose">Worksheet!$KH$19:$KL$19</definedName>
    <definedName name="BC_Floor_EncloseHt">Worksheet!$KG$20:$KG$23</definedName>
    <definedName name="BC_Floor_TimberDn">Worksheet!$KH$26:$KL$29</definedName>
    <definedName name="BC_Floor_TimberUp">Worksheet!$KH$20:$KL$23</definedName>
    <definedName name="BC_Floor_Type">Worksheet!$KG$14:$KG$15</definedName>
    <definedName name="BC_FloorR">Worksheet!$KH$60:$KH$64</definedName>
    <definedName name="BC_Glaz_F_A">Worksheet!$MA$101:$MA$104</definedName>
    <definedName name="BC_InsRange1">Worksheet!$HQ$79:$IB$79</definedName>
    <definedName name="BC_InsRange2">Worksheet!$HQ$93:$IB$93</definedName>
    <definedName name="BC_InsRange3">Worksheet!$HQ$106:$IB$106</definedName>
    <definedName name="BC_InsRange4">Worksheet!$HQ$119:$IB$119</definedName>
    <definedName name="BC_InsRange5">Worksheet!$HQ$132:$IB$132</definedName>
    <definedName name="BC_InsRange6">Worksheet!$HQ$145:$IB$145</definedName>
    <definedName name="BC_InsRange7">Worksheet!$HQ$158:$IB$158</definedName>
    <definedName name="BC_InsRange8">Worksheet!$HQ$171:$IB$171</definedName>
    <definedName name="BC_InsValue1">Worksheet!$HQ$81:$IB$88</definedName>
    <definedName name="BC_InsValue2">Worksheet!$HQ$95:$IB$102</definedName>
    <definedName name="BC_InsValue3">Worksheet!$HQ$108:$IB$115</definedName>
    <definedName name="BC_InsValue4">Worksheet!$HQ$121:$IB$128</definedName>
    <definedName name="BC_InsValue5">Worksheet!$HQ$134:$IB$141</definedName>
    <definedName name="BC_InsValue6">Worksheet!$HQ$147:$IB$154</definedName>
    <definedName name="BC_InsValue7">Worksheet!$HQ$160:$IB$167</definedName>
    <definedName name="BC_InsValue8">Worksheet!$HQ$173:$IB$180</definedName>
    <definedName name="BC_PenRange">Worksheet!$HP$66:$HP$73</definedName>
    <definedName name="BC_PenRange_AltExist">Worksheet!$HP$67:$HP$73</definedName>
    <definedName name="BC_PenRange1">Worksheet!$HP$81:$HP$88</definedName>
    <definedName name="BC_PenRange2">Worksheet!$HP$95:$HP$102</definedName>
    <definedName name="BC_PenRange3">Worksheet!$HP$108:$HP$115</definedName>
    <definedName name="BC_PenRange4">Worksheet!$HP$121:$HP$128</definedName>
    <definedName name="BC_PenRange5">Worksheet!$HP$134:$HP$141</definedName>
    <definedName name="BC_PenRange6">Worksheet!$HP$147:$HP$154</definedName>
    <definedName name="BC_PenRange7">Worksheet!$HP$160:$HP$167</definedName>
    <definedName name="BC_PenRange8">Worksheet!$HP$173:$HP$180</definedName>
    <definedName name="BC_RLight_Percent">Worksheet!$IG$79:$IJ$79</definedName>
    <definedName name="BC_RLight_Shaft">Worksheet!$IF$80:$IF$83</definedName>
    <definedName name="BC_RLight_SHGC">Worksheet!$IG$80:$IJ$83</definedName>
    <definedName name="BC_RLight_U">Worksheet!$IG$91:$IJ$94</definedName>
    <definedName name="BC_RoofAbs">Worksheet!$GG$72:$GG$74</definedName>
    <definedName name="BC_RoofAlter">Worksheet!$GE$17:$GE$40</definedName>
    <definedName name="BC_RoofCeiling">Worksheet!$GF$82:$GF$85</definedName>
    <definedName name="BC_RoofConst">Worksheet!$GF$17:$GF$40</definedName>
    <definedName name="BC_RoofConst_Dn">Worksheet!$GF$58:$GF$69</definedName>
    <definedName name="BC_RoofConst_Up">Worksheet!$GF$44:$GF$55</definedName>
    <definedName name="BC_RoofCover">Worksheet!$GF$76:$GF$78</definedName>
    <definedName name="BC_RoofR">Worksheet!$GH$72:$GH$74</definedName>
    <definedName name="BC_RoofValues">Worksheet!$GG$17:$GO$40</definedName>
    <definedName name="BC_RoofVent">Worksheet!$GF$89:$GF$90</definedName>
    <definedName name="BC_SHG_Constants">Worksheet!$MB$101:$MI$104</definedName>
    <definedName name="BC_Storeys">Worksheet!$ET$58:$ET$61</definedName>
    <definedName name="BC_WallAlt">Worksheet!$IU$29:$IU$39</definedName>
    <definedName name="BC_WallAlt_BV">Worksheet!$IU$41:$IU$46</definedName>
    <definedName name="BC_WallAlt_BV_Match">Worksheet!$IV$41:$IV$45</definedName>
    <definedName name="BC_WallAlt_C">Worksheet!$IU$47:$IU$51</definedName>
    <definedName name="BC_WallAlt_C_Match">Worksheet!$IV$47:$IV$50</definedName>
    <definedName name="BC_WallAlt_FC">Worksheet!$IU$35:$IU$40</definedName>
    <definedName name="BC_WallAlt_FC_Match">Worksheet!$IV$35:$IV$39</definedName>
    <definedName name="BC_WallAlt_RBV">Worksheet!$IU$52:$IU$57</definedName>
    <definedName name="BC_WallAlt_RBV_Match">Worksheet!$IV$52:$IV$56</definedName>
    <definedName name="BC_WallAlt_WB">Worksheet!$IU$29:$IU$34</definedName>
    <definedName name="BC_WallAlt_WB_Match">Worksheet!$IV$29:$IV$33</definedName>
    <definedName name="BC_WallConst">Worksheet!$IV$17:$IV$21</definedName>
    <definedName name="BC_WallR">Worksheet!$IX$59:$IY$63</definedName>
    <definedName name="BC_WallShade">Worksheet!$IX$56:$IY$56</definedName>
    <definedName name="BC_WallValues">Worksheet!$IW$17:$JE$21</definedName>
    <definedName name="BC_WAZones">Worksheet!$FZ$28:$FZ$32</definedName>
    <definedName name="BC_WAZones_Glaz">Worksheet!$MB$100:$MI$100</definedName>
    <definedName name="BC_Y">Worksheet!$ET$50</definedName>
    <definedName name="BC_YN" localSheetId="3">Worksheet!$ET$50:$ET$51</definedName>
    <definedName name="Building">Calculator!$B$26</definedName>
    <definedName name="ConductanceAccess">Calculator!$BM$35</definedName>
    <definedName name="ConstantsA">Tables!$D$17:$K$18,Tables!$D$19:$K$20</definedName>
    <definedName name="ConstantsB">Tables!$D$25:$K$26,Tables!$D$27:$K$28</definedName>
    <definedName name="ConstantsGround">Tables!$N$17:$U$20</definedName>
    <definedName name="ConstantsSource">Calculator!$R$24</definedName>
    <definedName name="ConstantsSuspended">Tables!$N$25:$U$28</definedName>
    <definedName name="CshgcA">Calculator!$AC$26</definedName>
    <definedName name="CshgcB">Calculator!$AE$26</definedName>
    <definedName name="CshgcWeighted">Calculator!$AC$29</definedName>
    <definedName name="CuA">Calculator!$AB$26</definedName>
    <definedName name="CuB">Calculator!$AD$26</definedName>
    <definedName name="CuWeighted">Calculator!$AB$29</definedName>
    <definedName name="DifferenceA">Calculator!$AB$28</definedName>
    <definedName name="DifferenceB">Calculator!$AD$28</definedName>
    <definedName name="Directions">Tables!$D$48:$K$48</definedName>
    <definedName name="DudPerformance">Calculator!$AJ$32</definedName>
    <definedName name="DudShading">Calculator!$AM$32</definedName>
    <definedName name="DudSize">Calculator!$AG$32</definedName>
    <definedName name="DudTableInputs">Calculator!$AP$32</definedName>
    <definedName name="EmptyA">Calculator!$F$163</definedName>
    <definedName name="ExposuresSummer">Tables!$D$50:$K$62,Tables!$N$50:$U$62,Tables!$X$50:$AE$62,Tables!$AH$50:$AO$62,Tables!$AR$50:$AY$62,Tables!$BB$50:$BI$62,Tables!$BL$50:$BS$62,Tables!$BV$50:$CC$62</definedName>
    <definedName name="ExposuresWinter">Tables!$D$76:$K$88,Tables!$N$76:$U$88,Tables!$X$76:$AE$88,Tables!$AH$76:$AO$88,Tables!$AR$76:$AY$88,Tables!$BB$76:$BI$88,Tables!$BL$76:$BS$88,Tables!$BV$76:$CC$88</definedName>
    <definedName name="FailedCondA">Calculator!$BO$29</definedName>
    <definedName name="FailedConductance">Calculator!$BO$29</definedName>
    <definedName name="FailedSHG">Calculator!$BP$29</definedName>
    <definedName name="FailedSHGA">Calculator!$BP$29</definedName>
    <definedName name="FailedSHGB">Calculator!$BV$32</definedName>
    <definedName name="First3Inputs">Calculator!$F$160</definedName>
    <definedName name="GlazingAreaA">Calculator!$AC$32</definedName>
    <definedName name="GlazingAreaAll">Calculator!$AC$32</definedName>
    <definedName name="Help">Help!$D$7</definedName>
    <definedName name="InputIssues">Calculator!$AR$35</definedName>
    <definedName name="InputsAlert">Calculator!$N$32</definedName>
    <definedName name="InterpolatedA">Calculator!$AC$28</definedName>
    <definedName name="InterpolatedB">Calculator!$AE$28</definedName>
    <definedName name="LastActive">Calculator!$X$35</definedName>
    <definedName name="MultipleAir">Calculator!$AB$27</definedName>
    <definedName name="New_external_weatherboard_cladding__Existing_frame_and_p_board_internal_lining">Worksheet!$IU$29:$IU$34</definedName>
    <definedName name="NoGlazing">Calculator!$F$150</definedName>
    <definedName name="NoSector">Calculator!$AF$35</definedName>
    <definedName name="NoWallConcession">Calculator!$E$193</definedName>
    <definedName name="NoZoneTableActive">Calculator!$F$156</definedName>
    <definedName name="Orientations">Tables!$D$38:$K$38</definedName>
    <definedName name="OrientationsA">OFFSET(Calculator!$F$175,0,0,1,IF(UpperInputsFlagged=0,8,0))</definedName>
    <definedName name="OrphanData">Calculator!$AW$32</definedName>
    <definedName name="OrphanVent">Calculator!$F$167</definedName>
    <definedName name="_xlnm.Print_Area" localSheetId="2">Calculator!$B$23:$U$120</definedName>
    <definedName name="_xlnm.Print_Area" localSheetId="0">Help!$C$9:$E$99</definedName>
    <definedName name="_xlnm.Print_Area" localSheetId="1">Screenshots!$C$5:$E$32</definedName>
    <definedName name="_xlnm.Print_Area" localSheetId="3">Worksheet!$B$10:$T$82,Worksheet!$X$10:$AT$102,Worksheet!$AX$10:$BQ$102,Worksheet!$BU$10:$CG$77,Worksheet!$CK$10:$DC$92,Worksheet!$DG$10:$DY$68,Worksheet!$EC$10:$EO$68</definedName>
    <definedName name="_xlnm.Print_Titles" localSheetId="2">Calculator!$34:$36</definedName>
    <definedName name="_xlnm.Print_Titles" localSheetId="0">Help!$9:$10</definedName>
    <definedName name="_xlnm.Print_Titles" localSheetId="1">Screenshots!$5:$5</definedName>
    <definedName name="Projections">Tables!$C$50:$C$62</definedName>
    <definedName name="Rows">Calculator!$X$37:$X$116</definedName>
    <definedName name="RowsActive">Calculator!$AC$35</definedName>
    <definedName name="RowsAvailable">Calculator!$F$178</definedName>
    <definedName name="RowsDisplayed">Calculator!$F$179</definedName>
    <definedName name="RowsOK">Calculator!$AP$35</definedName>
    <definedName name="RowsPreferred">Calculator!$F$32</definedName>
    <definedName name="RowsSkipped">Calculator!$AE$35</definedName>
    <definedName name="RowsWithData">Calculator!$AD$35</definedName>
    <definedName name="ScreenShot1">Screenshots!$C$9:$C$44</definedName>
    <definedName name="ScreenShot2">Screenshots!$C$68:$C$103</definedName>
    <definedName name="ScreenShot3">Screenshots!$C$127:$C$163</definedName>
    <definedName name="SectorFacedA">Calculator!$F$37:$F$116</definedName>
    <definedName name="SectorsInA">Calculator!$F$185</definedName>
    <definedName name="SectorsListed">Calculator!$F$37:$F$116</definedName>
    <definedName name="ShadingC">#REF!,#REF!,#REF!,#REF!,#REF!,#REF!,#REF!,#REF!</definedName>
    <definedName name="ShadingH">#REF!,#REF!,#REF!,#REF!,#REF!,#REF!,#REF!,#REF!</definedName>
    <definedName name="ShowPassCond">Calculator!$BO$30</definedName>
    <definedName name="ShowPassSHG">Calculator!$BP$30</definedName>
    <definedName name="SSDisplay">Screenshots!$A$5:$R$63</definedName>
    <definedName name="SSEditing">Screenshots!$A$64:$R$122</definedName>
    <definedName name="SSErrors">Screenshots!$A$123:$R$180</definedName>
    <definedName name="Storey">Calculator!$B$28</definedName>
    <definedName name="SuffixAir">Calculator!$AC$27</definedName>
    <definedName name="TableEntries">Calculator!$AB$35</definedName>
    <definedName name="TableInputs">Calculator!$F$37:$M$116</definedName>
    <definedName name="TopInputsOK">Calculator!$F$172</definedName>
    <definedName name="UpperInputsAlerts">Calculator!$M$150</definedName>
    <definedName name="UpperInputsFlagged">Calculator!$Q$150</definedName>
    <definedName name="UpperInputsIssues">Calculator!$N$150</definedName>
    <definedName name="UserConstantsGround">Tables!$X$17:$AE$20</definedName>
    <definedName name="UserConstantsSuspended">Tables!$X$25:$AE$28</definedName>
    <definedName name="ValidExposures">OFFSET(Calculator!$F$182,0,0,1,IF(Zone=1,1,3))</definedName>
    <definedName name="VentilationA">Calculator!$B$30</definedName>
    <definedName name="VentPending">Calculator!$F$166</definedName>
    <definedName name="VisibleFailures">Calculator!$AW$35</definedName>
    <definedName name="WallConcession">Calculator!$H$29</definedName>
    <definedName name="WallConcessions">OFFSET(Calculator!$E$193,0,0,1+Calculator!$D$192,1)</definedName>
    <definedName name="Zone">Calculator!$O$26</definedName>
  </definedNames>
  <calcPr calcId="145621"/>
  <webPublishing targetScreenSize="1024x768" codePage="1252"/>
</workbook>
</file>

<file path=xl/calcChain.xml><?xml version="1.0" encoding="utf-8"?>
<calcChain xmlns="http://schemas.openxmlformats.org/spreadsheetml/2006/main">
  <c r="D65" i="9" l="1"/>
  <c r="FZ40" i="9" l="1"/>
  <c r="DV58" i="9"/>
  <c r="DV55" i="9"/>
  <c r="KI50" i="9"/>
  <c r="KI48" i="9"/>
  <c r="HD87" i="9" l="1"/>
  <c r="BK69" i="9" l="1"/>
  <c r="BK71" i="9" s="1"/>
  <c r="HE68" i="9"/>
  <c r="HG70" i="9"/>
  <c r="HG68" i="9"/>
  <c r="CZ68" i="9" l="1"/>
  <c r="MH63" i="9" l="1"/>
  <c r="MG50" i="9"/>
  <c r="MG49" i="9"/>
  <c r="MD55" i="9"/>
  <c r="FZ88" i="9"/>
  <c r="FZ87" i="9"/>
  <c r="FZ86" i="9"/>
  <c r="LZ49" i="9" l="1"/>
  <c r="T10" i="9" l="1"/>
  <c r="D64" i="9" l="1"/>
  <c r="DW44" i="9"/>
  <c r="DX44" i="9"/>
  <c r="DY44" i="9"/>
  <c r="DV44" i="9"/>
  <c r="KI71" i="9"/>
  <c r="KH71" i="9"/>
  <c r="KG71" i="9"/>
  <c r="KI70" i="9"/>
  <c r="KH70" i="9"/>
  <c r="KJ69" i="9"/>
  <c r="KI69" i="9"/>
  <c r="KH69" i="9"/>
  <c r="KJ68" i="9"/>
  <c r="KI68" i="9"/>
  <c r="KH68" i="9"/>
  <c r="LF36" i="9"/>
  <c r="LG36" i="9"/>
  <c r="LH36" i="9"/>
  <c r="LE36" i="9"/>
  <c r="LH28" i="9"/>
  <c r="LG28" i="9"/>
  <c r="LF28" i="9"/>
  <c r="LE28" i="9"/>
  <c r="LH22" i="9"/>
  <c r="LG22" i="9"/>
  <c r="LF22" i="9"/>
  <c r="LE22" i="9"/>
  <c r="KL71" i="9" l="1"/>
  <c r="JY53" i="9"/>
  <c r="JZ53" i="9"/>
  <c r="KA53" i="9"/>
  <c r="JX53" i="9"/>
  <c r="KA47" i="9"/>
  <c r="JZ47" i="9"/>
  <c r="JY47" i="9"/>
  <c r="JX47" i="9"/>
  <c r="KA43" i="9"/>
  <c r="JZ43" i="9"/>
  <c r="JY43" i="9"/>
  <c r="JX43" i="9"/>
  <c r="KA38" i="9"/>
  <c r="JZ38" i="9"/>
  <c r="JY38" i="9"/>
  <c r="JX38" i="9"/>
  <c r="KA32" i="9"/>
  <c r="JZ32" i="9"/>
  <c r="JY32" i="9"/>
  <c r="JX32" i="9"/>
  <c r="KA28" i="9"/>
  <c r="JZ28" i="9"/>
  <c r="JY28" i="9"/>
  <c r="JX28" i="9"/>
  <c r="JY23" i="9"/>
  <c r="JZ23" i="9"/>
  <c r="KA23" i="9"/>
  <c r="JX23" i="9"/>
  <c r="HL41" i="9"/>
  <c r="HK41" i="9"/>
  <c r="HJ41" i="9"/>
  <c r="HI41" i="9"/>
  <c r="HL25" i="9"/>
  <c r="HK25" i="9"/>
  <c r="HJ25" i="9"/>
  <c r="HI25" i="9"/>
  <c r="HJ57" i="9"/>
  <c r="HK57" i="9"/>
  <c r="HL57" i="9"/>
  <c r="HI57" i="9"/>
  <c r="HL51" i="9"/>
  <c r="HK51" i="9"/>
  <c r="HJ51" i="9"/>
  <c r="HI51" i="9"/>
  <c r="HL46" i="9"/>
  <c r="HK46" i="9"/>
  <c r="HJ46" i="9"/>
  <c r="HI46" i="9"/>
  <c r="HL35" i="9"/>
  <c r="HK35" i="9"/>
  <c r="HJ35" i="9"/>
  <c r="HI35" i="9"/>
  <c r="HL30" i="9"/>
  <c r="HK30" i="9"/>
  <c r="HJ30" i="9"/>
  <c r="HI30" i="9"/>
  <c r="HF53" i="9"/>
  <c r="HF48" i="9"/>
  <c r="HF37" i="9"/>
  <c r="HF32" i="9"/>
  <c r="GF98" i="9"/>
  <c r="HF30" i="9"/>
  <c r="FD29" i="9" l="1"/>
  <c r="FD30" i="9"/>
  <c r="FD31" i="9"/>
  <c r="FD32" i="9"/>
  <c r="FD33" i="9"/>
  <c r="FD34" i="9"/>
  <c r="FD35" i="9"/>
  <c r="FD36" i="9"/>
  <c r="FD37" i="9"/>
  <c r="FD38" i="9"/>
  <c r="FD39" i="9"/>
  <c r="FD40" i="9"/>
  <c r="FD41" i="9"/>
  <c r="FD42" i="9"/>
  <c r="FD43" i="9"/>
  <c r="FD44" i="9"/>
  <c r="FD45" i="9"/>
  <c r="FD46" i="9"/>
  <c r="FD47" i="9"/>
  <c r="FD48" i="9"/>
  <c r="FD49" i="9"/>
  <c r="FD50" i="9"/>
  <c r="FD51" i="9"/>
  <c r="FD52" i="9"/>
  <c r="FD53" i="9"/>
  <c r="FD54" i="9"/>
  <c r="FD55" i="9"/>
  <c r="FD56" i="9"/>
  <c r="FD57" i="9"/>
  <c r="FD58" i="9"/>
  <c r="FD59" i="9"/>
  <c r="FD60" i="9"/>
  <c r="FD61" i="9"/>
  <c r="FD62" i="9"/>
  <c r="FD63" i="9"/>
  <c r="FD64" i="9"/>
  <c r="FD65" i="9"/>
  <c r="FD66" i="9"/>
  <c r="FD67" i="9"/>
  <c r="FD68" i="9"/>
  <c r="FD71" i="9"/>
  <c r="FD72" i="9"/>
  <c r="FD73" i="9"/>
  <c r="FD74" i="9"/>
  <c r="FD75" i="9"/>
  <c r="FD76" i="9"/>
  <c r="FD77" i="9"/>
  <c r="FD78" i="9"/>
  <c r="FD79" i="9"/>
  <c r="FD80" i="9"/>
  <c r="FG34" i="9"/>
  <c r="FF34" i="9"/>
  <c r="FE34" i="9"/>
  <c r="LD42" i="9"/>
  <c r="LD36" i="9"/>
  <c r="LD28" i="9"/>
  <c r="LD22" i="9"/>
  <c r="LF49" i="9"/>
  <c r="LG49" i="9"/>
  <c r="LH49" i="9"/>
  <c r="LE49" i="9"/>
  <c r="LF48" i="9"/>
  <c r="LF50" i="9" s="1"/>
  <c r="LG48" i="9"/>
  <c r="LG50" i="9" s="1"/>
  <c r="LH48" i="9"/>
  <c r="LH50" i="9" s="1"/>
  <c r="LE48" i="9"/>
  <c r="LE50" i="9" s="1"/>
  <c r="LC28" i="9"/>
  <c r="LC22" i="9"/>
  <c r="LB42" i="9"/>
  <c r="LB36" i="9"/>
  <c r="LB28" i="9"/>
  <c r="LB22" i="9"/>
  <c r="LA42" i="9"/>
  <c r="LA36" i="9"/>
  <c r="LA28" i="9"/>
  <c r="LA22" i="9"/>
  <c r="KZ42" i="9"/>
  <c r="KZ36" i="9"/>
  <c r="KZ28" i="9"/>
  <c r="KZ22" i="9"/>
  <c r="DA58" i="9"/>
  <c r="DB58" i="9"/>
  <c r="DC58" i="9"/>
  <c r="CZ58" i="9"/>
  <c r="DY46" i="9" l="1"/>
  <c r="LL42" i="9"/>
  <c r="LL36" i="9"/>
  <c r="LL28" i="9"/>
  <c r="LL22" i="9"/>
  <c r="DX46" i="9"/>
  <c r="LK42" i="9"/>
  <c r="LK36" i="9"/>
  <c r="LK28" i="9"/>
  <c r="LK22" i="9"/>
  <c r="LJ42" i="9"/>
  <c r="LJ36" i="9"/>
  <c r="LJ28" i="9"/>
  <c r="LJ22" i="9"/>
  <c r="LI42" i="9"/>
  <c r="LI36" i="9"/>
  <c r="LI28" i="9"/>
  <c r="LI22" i="9"/>
  <c r="LL16" i="9"/>
  <c r="LK16" i="9"/>
  <c r="LI16" i="9"/>
  <c r="DW46" i="9"/>
  <c r="LJ16" i="9"/>
  <c r="JW56" i="9"/>
  <c r="JW32" i="9"/>
  <c r="JW43" i="9"/>
  <c r="JW47" i="9"/>
  <c r="JW53" i="9"/>
  <c r="JW38" i="9"/>
  <c r="JW28" i="9"/>
  <c r="JW23" i="9"/>
  <c r="JV56" i="9"/>
  <c r="JV53" i="9"/>
  <c r="JV47" i="9"/>
  <c r="JV43" i="9"/>
  <c r="JV38" i="9"/>
  <c r="JV32" i="9"/>
  <c r="JV28" i="9"/>
  <c r="JV23" i="9"/>
  <c r="JT56" i="9"/>
  <c r="JT53" i="9"/>
  <c r="JT47" i="9"/>
  <c r="JT43" i="9"/>
  <c r="JT38" i="9"/>
  <c r="JT32" i="9"/>
  <c r="JT28" i="9"/>
  <c r="JT23" i="9"/>
  <c r="JX64" i="9"/>
  <c r="KA64" i="9"/>
  <c r="JZ64" i="9"/>
  <c r="JY64" i="9"/>
  <c r="JY63" i="9"/>
  <c r="JZ63" i="9"/>
  <c r="KA63" i="9"/>
  <c r="JX63" i="9"/>
  <c r="BO63" i="9"/>
  <c r="BP63" i="9"/>
  <c r="BQ63" i="9"/>
  <c r="BN63" i="9"/>
  <c r="BV54" i="9"/>
  <c r="BV38" i="9"/>
  <c r="EW72" i="9"/>
  <c r="EW73" i="9"/>
  <c r="EW74" i="9"/>
  <c r="EW75" i="9"/>
  <c r="EW76" i="9"/>
  <c r="EW77" i="9"/>
  <c r="EW78" i="9"/>
  <c r="EW79" i="9"/>
  <c r="EW80" i="9"/>
  <c r="EW71" i="9"/>
  <c r="EW68" i="9"/>
  <c r="EW30" i="9"/>
  <c r="EW31" i="9"/>
  <c r="EW32" i="9"/>
  <c r="EW33" i="9"/>
  <c r="EW34" i="9"/>
  <c r="EW35" i="9"/>
  <c r="EW36" i="9"/>
  <c r="EW37" i="9"/>
  <c r="EW38" i="9"/>
  <c r="EW39" i="9"/>
  <c r="EW40" i="9"/>
  <c r="EW41" i="9"/>
  <c r="EW42" i="9"/>
  <c r="EW43" i="9"/>
  <c r="EW44" i="9"/>
  <c r="EW45" i="9"/>
  <c r="EW46" i="9"/>
  <c r="EW47" i="9"/>
  <c r="EW48" i="9"/>
  <c r="EW49" i="9"/>
  <c r="EW50" i="9"/>
  <c r="EW51" i="9"/>
  <c r="EW52" i="9"/>
  <c r="EW53" i="9"/>
  <c r="EW54" i="9"/>
  <c r="EW55" i="9"/>
  <c r="EW56" i="9"/>
  <c r="EW57" i="9"/>
  <c r="EW58" i="9"/>
  <c r="EW59" i="9"/>
  <c r="EW60" i="9"/>
  <c r="EW61" i="9"/>
  <c r="EW62" i="9"/>
  <c r="EW63" i="9"/>
  <c r="EW64" i="9"/>
  <c r="EW65" i="9"/>
  <c r="EW66" i="9"/>
  <c r="EW67" i="9"/>
  <c r="EW29" i="9"/>
  <c r="EX72" i="9"/>
  <c r="EX73" i="9"/>
  <c r="EX74" i="9"/>
  <c r="EX75" i="9"/>
  <c r="EX76" i="9"/>
  <c r="EX77" i="9"/>
  <c r="EX78" i="9"/>
  <c r="EX79" i="9"/>
  <c r="EX80" i="9"/>
  <c r="EX71" i="9"/>
  <c r="EX30" i="9"/>
  <c r="EX31" i="9"/>
  <c r="EX32" i="9"/>
  <c r="EX33" i="9"/>
  <c r="EX34" i="9"/>
  <c r="EX35" i="9"/>
  <c r="EX36" i="9"/>
  <c r="EX37" i="9"/>
  <c r="EX38" i="9"/>
  <c r="EX39" i="9"/>
  <c r="EX40" i="9"/>
  <c r="EX41" i="9"/>
  <c r="EX42" i="9"/>
  <c r="EX43" i="9"/>
  <c r="EX44" i="9"/>
  <c r="EX45" i="9"/>
  <c r="EX46" i="9"/>
  <c r="EX47" i="9"/>
  <c r="EX48" i="9"/>
  <c r="EX49" i="9"/>
  <c r="EX50" i="9"/>
  <c r="EX51" i="9"/>
  <c r="EX52" i="9"/>
  <c r="EX53" i="9"/>
  <c r="EX54" i="9"/>
  <c r="EX55" i="9"/>
  <c r="EX56" i="9"/>
  <c r="EX57" i="9"/>
  <c r="EX58" i="9"/>
  <c r="EX59" i="9"/>
  <c r="EX60" i="9"/>
  <c r="EX61" i="9"/>
  <c r="EX62" i="9"/>
  <c r="EX63" i="9"/>
  <c r="EX64" i="9"/>
  <c r="EX65" i="9"/>
  <c r="EX66" i="9"/>
  <c r="EX67" i="9"/>
  <c r="EX68" i="9"/>
  <c r="EX29" i="9"/>
  <c r="EY29" i="9"/>
  <c r="AA11" i="9"/>
  <c r="EE11" i="9" s="1"/>
  <c r="LR54" i="9"/>
  <c r="LR52" i="9"/>
  <c r="LR46" i="9"/>
  <c r="LR44" i="9"/>
  <c r="LR37" i="9"/>
  <c r="LR35" i="9"/>
  <c r="LR29" i="9"/>
  <c r="LR27" i="9"/>
  <c r="EM56" i="9"/>
  <c r="LP54" i="9"/>
  <c r="LP56" i="9" s="1"/>
  <c r="LP46" i="9"/>
  <c r="LP48" i="9" s="1"/>
  <c r="EM48" i="9" s="1"/>
  <c r="LP37" i="9"/>
  <c r="LP39" i="9" s="1"/>
  <c r="EM39" i="9" s="1"/>
  <c r="LP29" i="9"/>
  <c r="LP31" i="9" s="1"/>
  <c r="EM31" i="9" s="1"/>
  <c r="LP20" i="9"/>
  <c r="LP22" i="9" s="1"/>
  <c r="EM22" i="9" s="1"/>
  <c r="EL52" i="9"/>
  <c r="EL35" i="9"/>
  <c r="EL46" i="9"/>
  <c r="EL44" i="9"/>
  <c r="EL37" i="9"/>
  <c r="EC51" i="9"/>
  <c r="EC34" i="9"/>
  <c r="LL43" i="9" l="1"/>
  <c r="JX65" i="9"/>
  <c r="KA65" i="9"/>
  <c r="JZ65" i="9"/>
  <c r="JY65" i="9"/>
  <c r="DC60" i="9"/>
  <c r="KE17" i="9"/>
  <c r="DB60" i="9"/>
  <c r="KD17" i="9"/>
  <c r="DA60" i="9"/>
  <c r="KC17" i="9"/>
  <c r="KB17" i="9"/>
  <c r="EW82" i="9"/>
  <c r="BB11" i="9"/>
  <c r="BW11" i="9"/>
  <c r="CN11" i="9"/>
  <c r="DJ11" i="9"/>
  <c r="KC56" i="9" l="1"/>
  <c r="KC53" i="9"/>
  <c r="KC47" i="9"/>
  <c r="KC43" i="9"/>
  <c r="KC38" i="9"/>
  <c r="KC32" i="9"/>
  <c r="KC28" i="9"/>
  <c r="KC23" i="9"/>
  <c r="KD56" i="9"/>
  <c r="KD53" i="9"/>
  <c r="KD47" i="9"/>
  <c r="KD43" i="9"/>
  <c r="KD38" i="9"/>
  <c r="KD32" i="9"/>
  <c r="KD28" i="9"/>
  <c r="KD23" i="9"/>
  <c r="KE56" i="9"/>
  <c r="KE53" i="9"/>
  <c r="KE47" i="9"/>
  <c r="KE43" i="9"/>
  <c r="KE38" i="9"/>
  <c r="KE32" i="9"/>
  <c r="KE28" i="9"/>
  <c r="KE23" i="9"/>
  <c r="KB56" i="9"/>
  <c r="KB53" i="9"/>
  <c r="KB47" i="9"/>
  <c r="KB43" i="9"/>
  <c r="KB38" i="9"/>
  <c r="KB32" i="9"/>
  <c r="KB28" i="9"/>
  <c r="KB23" i="9"/>
  <c r="KE57" i="9"/>
  <c r="DO41" i="9" l="1"/>
  <c r="DK41" i="9"/>
  <c r="DG41" i="9"/>
  <c r="EO10" i="9"/>
  <c r="DY10" i="9"/>
  <c r="DC10" i="9"/>
  <c r="CG10" i="9"/>
  <c r="BQ10" i="9"/>
  <c r="AT10" i="9"/>
  <c r="HD70" i="9"/>
  <c r="HD68" i="9"/>
  <c r="HH51" i="9"/>
  <c r="HH46" i="9"/>
  <c r="HH35" i="9"/>
  <c r="HH30" i="9"/>
  <c r="HG25" i="9"/>
  <c r="HG41" i="9"/>
  <c r="HF57" i="9"/>
  <c r="HG51" i="9"/>
  <c r="HG46" i="9"/>
  <c r="HG35" i="9"/>
  <c r="HG30" i="9"/>
  <c r="HI65" i="9" l="1"/>
  <c r="HJ65" i="9"/>
  <c r="HK65" i="9"/>
  <c r="HL65" i="9"/>
  <c r="HF51" i="9"/>
  <c r="HF46" i="9"/>
  <c r="HF41" i="9"/>
  <c r="HF35" i="9"/>
  <c r="HE60" i="9"/>
  <c r="HE57" i="9"/>
  <c r="HE51" i="9"/>
  <c r="HE46" i="9"/>
  <c r="HE35" i="9"/>
  <c r="HE30" i="9"/>
  <c r="HD60" i="9"/>
  <c r="HD57" i="9"/>
  <c r="HD51" i="9"/>
  <c r="HD46" i="9"/>
  <c r="HD41" i="9"/>
  <c r="HD35" i="9"/>
  <c r="HD30" i="9"/>
  <c r="HF25" i="9"/>
  <c r="HD25" i="9"/>
  <c r="HF60" i="9"/>
  <c r="HG36" i="9"/>
  <c r="BM87" i="9"/>
  <c r="BM86" i="9"/>
  <c r="BM84" i="9"/>
  <c r="BM83" i="9"/>
  <c r="BM82" i="9"/>
  <c r="BM80" i="9"/>
  <c r="BM79" i="9"/>
  <c r="BM78" i="9"/>
  <c r="BF87" i="9"/>
  <c r="BN87" i="9" s="1"/>
  <c r="BF86" i="9"/>
  <c r="BN86" i="9" s="1"/>
  <c r="BF82" i="9"/>
  <c r="BN82" i="9" s="1"/>
  <c r="HI64" i="9" l="1"/>
  <c r="HI66" i="9" s="1"/>
  <c r="HM41" i="9" l="1"/>
  <c r="HM25" i="9"/>
  <c r="HM60" i="9"/>
  <c r="HM57" i="9"/>
  <c r="HM51" i="9"/>
  <c r="HM46" i="9"/>
  <c r="HM35" i="9"/>
  <c r="HM30" i="9"/>
  <c r="HM17" i="9"/>
  <c r="HJ64" i="9"/>
  <c r="HJ66" i="9" s="1"/>
  <c r="HK64" i="9"/>
  <c r="HK66" i="9" s="1"/>
  <c r="HL64" i="9"/>
  <c r="HL66" i="9" s="1"/>
  <c r="EL56" i="9"/>
  <c r="EL48" i="9"/>
  <c r="EL39" i="9"/>
  <c r="EL31" i="9"/>
  <c r="HP41" i="9" l="1"/>
  <c r="HP25" i="9"/>
  <c r="HO41" i="9"/>
  <c r="HO25" i="9"/>
  <c r="HN41" i="9"/>
  <c r="HN25" i="9"/>
  <c r="HP60" i="9"/>
  <c r="HP57" i="9"/>
  <c r="HP51" i="9"/>
  <c r="HP46" i="9"/>
  <c r="HP35" i="9"/>
  <c r="HP30" i="9"/>
  <c r="HO60" i="9"/>
  <c r="HO57" i="9"/>
  <c r="HO51" i="9"/>
  <c r="HO46" i="9"/>
  <c r="HO35" i="9"/>
  <c r="HO30" i="9"/>
  <c r="HN60" i="9"/>
  <c r="HN57" i="9"/>
  <c r="HN51" i="9"/>
  <c r="HN46" i="9"/>
  <c r="HN35" i="9"/>
  <c r="HN30" i="9"/>
  <c r="BQ65" i="9"/>
  <c r="HP17" i="9"/>
  <c r="BP65" i="9"/>
  <c r="HO17" i="9"/>
  <c r="HN17" i="9"/>
  <c r="JU47" i="9"/>
  <c r="JU43" i="9"/>
  <c r="JU32" i="9"/>
  <c r="JU28" i="9"/>
  <c r="HP61" i="9" l="1"/>
  <c r="G50" i="9"/>
  <c r="T18" i="9" l="1"/>
  <c r="T17" i="9"/>
  <c r="X11" i="9" l="1"/>
  <c r="KH46" i="9"/>
  <c r="KH44" i="9"/>
  <c r="EC11" i="9"/>
  <c r="DG11" i="9"/>
  <c r="CK11" i="9"/>
  <c r="BU11" i="9"/>
  <c r="AX11" i="9"/>
  <c r="X16" i="9"/>
  <c r="LB44" i="9"/>
  <c r="LB43" i="9"/>
  <c r="LB38" i="9"/>
  <c r="LB37" i="9"/>
  <c r="LB30" i="9"/>
  <c r="LB29" i="9"/>
  <c r="LB24" i="9"/>
  <c r="LB23" i="9"/>
  <c r="KG70" i="9"/>
  <c r="KL70" i="9" s="1"/>
  <c r="KG69" i="9"/>
  <c r="KL69" i="9" s="1"/>
  <c r="KG68" i="9"/>
  <c r="KL68" i="9" s="1"/>
  <c r="JT68" i="9"/>
  <c r="DG40" i="9"/>
  <c r="DH58" i="9" s="1"/>
  <c r="DO35" i="9"/>
  <c r="DK35" i="9"/>
  <c r="DG35" i="9"/>
  <c r="DG34" i="9"/>
  <c r="DH57" i="9" s="1"/>
  <c r="DO27" i="9"/>
  <c r="DK27" i="9"/>
  <c r="DG27" i="9"/>
  <c r="DG26" i="9"/>
  <c r="DH55" i="9" s="1"/>
  <c r="DG20" i="9"/>
  <c r="DH54" i="9" s="1"/>
  <c r="KL40" i="9"/>
  <c r="KL39" i="9"/>
  <c r="KL38" i="9"/>
  <c r="KL34" i="9"/>
  <c r="KL33" i="9"/>
  <c r="KL32" i="9"/>
  <c r="KL28" i="9"/>
  <c r="KL27" i="9"/>
  <c r="KL26" i="9"/>
  <c r="KL21" i="9"/>
  <c r="KL22" i="9"/>
  <c r="KL20" i="9"/>
  <c r="KL19" i="9"/>
  <c r="KG41" i="9"/>
  <c r="KG40" i="9"/>
  <c r="KG39" i="9"/>
  <c r="KG38" i="9"/>
  <c r="KG35" i="9"/>
  <c r="KG34" i="9"/>
  <c r="KG33" i="9"/>
  <c r="KG32" i="9"/>
  <c r="KG29" i="9"/>
  <c r="KG28" i="9"/>
  <c r="KG27" i="9"/>
  <c r="KG26" i="9"/>
  <c r="DU28" i="9" l="1"/>
  <c r="LD45" i="9"/>
  <c r="IE56" i="9"/>
  <c r="IF56" i="9" s="1"/>
  <c r="ID56" i="9"/>
  <c r="IG56" i="9" s="1"/>
  <c r="IE55" i="9"/>
  <c r="IF55" i="9" s="1"/>
  <c r="ID55" i="9"/>
  <c r="IG55" i="9" s="1"/>
  <c r="IE54" i="9"/>
  <c r="IF54" i="9" s="1"/>
  <c r="ID54" i="9"/>
  <c r="IG54" i="9" s="1"/>
  <c r="IG57" i="9" s="1"/>
  <c r="IE41" i="9"/>
  <c r="IF41" i="9" s="1"/>
  <c r="ID41" i="9"/>
  <c r="IG41" i="9" s="1"/>
  <c r="IE40" i="9"/>
  <c r="IF40" i="9" s="1"/>
  <c r="ID40" i="9"/>
  <c r="IG40" i="9" s="1"/>
  <c r="IE39" i="9"/>
  <c r="IF39" i="9" s="1"/>
  <c r="ID39" i="9"/>
  <c r="IG39" i="9" s="1"/>
  <c r="IG42" i="9" s="1"/>
  <c r="IR56" i="9"/>
  <c r="IQ56" i="9"/>
  <c r="IP56" i="9"/>
  <c r="IO56" i="9"/>
  <c r="IN56" i="9"/>
  <c r="IM56" i="9"/>
  <c r="IL56" i="9"/>
  <c r="IR55" i="9"/>
  <c r="IQ55" i="9"/>
  <c r="IP55" i="9"/>
  <c r="IO55" i="9"/>
  <c r="IN55" i="9"/>
  <c r="IM55" i="9"/>
  <c r="IL55" i="9"/>
  <c r="IR54" i="9"/>
  <c r="IQ54" i="9"/>
  <c r="IP54" i="9"/>
  <c r="IO54" i="9"/>
  <c r="IN54" i="9"/>
  <c r="IM54" i="9"/>
  <c r="IL54" i="9"/>
  <c r="IL50" i="9"/>
  <c r="IL47" i="9"/>
  <c r="IL45" i="9"/>
  <c r="IR57" i="9" s="1"/>
  <c r="IR41" i="9"/>
  <c r="IQ41" i="9"/>
  <c r="IP41" i="9"/>
  <c r="IO41" i="9"/>
  <c r="IN41" i="9"/>
  <c r="IM41" i="9"/>
  <c r="IL41" i="9"/>
  <c r="IR40" i="9"/>
  <c r="IQ40" i="9"/>
  <c r="IP40" i="9"/>
  <c r="IO40" i="9"/>
  <c r="IN40" i="9"/>
  <c r="IM40" i="9"/>
  <c r="IL40" i="9"/>
  <c r="IR39" i="9"/>
  <c r="IQ39" i="9"/>
  <c r="IP39" i="9"/>
  <c r="IO39" i="9"/>
  <c r="IN39" i="9"/>
  <c r="IM39" i="9"/>
  <c r="IL39" i="9"/>
  <c r="IL35" i="9"/>
  <c r="IL32" i="9"/>
  <c r="IL30" i="9"/>
  <c r="IR42" i="9" s="1"/>
  <c r="IL24" i="9"/>
  <c r="IL25" i="9"/>
  <c r="IL26" i="9"/>
  <c r="IM25" i="9"/>
  <c r="IN25" i="9"/>
  <c r="IO25" i="9"/>
  <c r="IP25" i="9"/>
  <c r="IQ25" i="9"/>
  <c r="IR25" i="9"/>
  <c r="IM26" i="9"/>
  <c r="IN26" i="9"/>
  <c r="IO26" i="9"/>
  <c r="IP26" i="9"/>
  <c r="IQ26" i="9"/>
  <c r="IR26" i="9"/>
  <c r="IR24" i="9"/>
  <c r="IQ24" i="9"/>
  <c r="IO24" i="9"/>
  <c r="IP24" i="9"/>
  <c r="IM24" i="9"/>
  <c r="IN24" i="9"/>
  <c r="IL20" i="9"/>
  <c r="IL17" i="9"/>
  <c r="IL15" i="9"/>
  <c r="IJ62" i="9"/>
  <c r="IJ63" i="9" s="1"/>
  <c r="II62" i="9"/>
  <c r="II63" i="9" s="1"/>
  <c r="IH62" i="9"/>
  <c r="IG62" i="9"/>
  <c r="IG65" i="9" s="1"/>
  <c r="BY68" i="9"/>
  <c r="BY67" i="9"/>
  <c r="BY66" i="9"/>
  <c r="BY65" i="9"/>
  <c r="ID25" i="9"/>
  <c r="IG25" i="9" s="1"/>
  <c r="IE25" i="9"/>
  <c r="IF25" i="9" s="1"/>
  <c r="ID26" i="9"/>
  <c r="IG26" i="9" s="1"/>
  <c r="IE26" i="9"/>
  <c r="IF26" i="9" s="1"/>
  <c r="IE24" i="9"/>
  <c r="IF24" i="9" s="1"/>
  <c r="IH24" i="9" s="1"/>
  <c r="II24" i="9" s="1"/>
  <c r="CB25" i="9" s="1"/>
  <c r="ID24" i="9"/>
  <c r="IJ64" i="9" l="1"/>
  <c r="IR27" i="9"/>
  <c r="IR59" i="9" s="1"/>
  <c r="IF57" i="9"/>
  <c r="IJ54" i="9"/>
  <c r="IH54" i="9"/>
  <c r="II54" i="9" s="1"/>
  <c r="CB57" i="9" s="1"/>
  <c r="IJ55" i="9"/>
  <c r="IH55" i="9"/>
  <c r="II55" i="9" s="1"/>
  <c r="CB58" i="9" s="1"/>
  <c r="IJ56" i="9"/>
  <c r="IH56" i="9"/>
  <c r="II56" i="9" s="1"/>
  <c r="CB59" i="9" s="1"/>
  <c r="IF42" i="9"/>
  <c r="IJ39" i="9"/>
  <c r="IH39" i="9"/>
  <c r="II39" i="9" s="1"/>
  <c r="CB41" i="9" s="1"/>
  <c r="IJ40" i="9"/>
  <c r="IH40" i="9"/>
  <c r="II40" i="9" s="1"/>
  <c r="CB42" i="9" s="1"/>
  <c r="IJ41" i="9"/>
  <c r="IH41" i="9"/>
  <c r="II41" i="9" s="1"/>
  <c r="CB43" i="9" s="1"/>
  <c r="IG24" i="9"/>
  <c r="IG27" i="9"/>
  <c r="IJ26" i="9"/>
  <c r="IH26" i="9"/>
  <c r="IJ25" i="9"/>
  <c r="IH25" i="9"/>
  <c r="IF27" i="9"/>
  <c r="IJ24" i="9"/>
  <c r="EV80" i="9"/>
  <c r="EL54" i="9"/>
  <c r="JU77" i="9"/>
  <c r="JU76" i="9"/>
  <c r="JU74" i="9"/>
  <c r="JU73" i="9"/>
  <c r="JU72" i="9"/>
  <c r="JU70" i="9"/>
  <c r="JU69" i="9"/>
  <c r="JU68" i="9"/>
  <c r="JT77" i="9"/>
  <c r="JT76" i="9"/>
  <c r="JT74" i="9"/>
  <c r="JT73" i="9"/>
  <c r="JT72" i="9"/>
  <c r="JT69" i="9"/>
  <c r="JT70" i="9"/>
  <c r="IU34" i="9"/>
  <c r="IU40" i="9"/>
  <c r="IU46" i="9"/>
  <c r="IU51" i="9"/>
  <c r="IU57" i="9"/>
  <c r="IV67" i="9" s="1"/>
  <c r="IV68" i="9" s="1"/>
  <c r="IV53" i="9"/>
  <c r="IV49" i="9"/>
  <c r="IV47" i="9"/>
  <c r="IV44" i="9"/>
  <c r="IV56" i="9"/>
  <c r="IV52" i="9"/>
  <c r="IV48" i="9"/>
  <c r="IV85" i="9" s="1"/>
  <c r="IV86" i="9" s="1"/>
  <c r="IV39" i="9"/>
  <c r="IV33" i="9"/>
  <c r="IV50" i="9"/>
  <c r="IV45" i="9"/>
  <c r="IV43" i="9"/>
  <c r="IV37" i="9"/>
  <c r="IV31" i="9"/>
  <c r="IV55" i="9"/>
  <c r="IV42" i="9"/>
  <c r="IV38" i="9"/>
  <c r="IV36" i="9"/>
  <c r="IV30" i="9"/>
  <c r="IV54" i="9"/>
  <c r="IV41" i="9"/>
  <c r="IV35" i="9"/>
  <c r="IV32" i="9"/>
  <c r="IV29" i="9"/>
  <c r="IV121" i="9" l="1"/>
  <c r="IV122" i="9" s="1"/>
  <c r="IV103" i="9"/>
  <c r="IV104" i="9" s="1"/>
  <c r="II26" i="9"/>
  <c r="CB27" i="9" s="1"/>
  <c r="IJ27" i="9"/>
  <c r="II25" i="9"/>
  <c r="CB26" i="9" s="1"/>
  <c r="II57" i="9"/>
  <c r="IJ57" i="9"/>
  <c r="IH65" i="9" s="1"/>
  <c r="II42" i="9"/>
  <c r="IJ42" i="9"/>
  <c r="II64" i="9" s="1"/>
  <c r="II27" i="9"/>
  <c r="IG63" i="9"/>
  <c r="JV57" i="9"/>
  <c r="JV54" i="9"/>
  <c r="JV48" i="9"/>
  <c r="JV44" i="9"/>
  <c r="JV33" i="9"/>
  <c r="JV29" i="9"/>
  <c r="JU39" i="9"/>
  <c r="JU38" i="9"/>
  <c r="JU24" i="9"/>
  <c r="JU23" i="9"/>
  <c r="HE42" i="9"/>
  <c r="HE26" i="9"/>
  <c r="HE25" i="9"/>
  <c r="IZ118" i="9"/>
  <c r="IY118" i="9"/>
  <c r="JC118" i="9" s="1"/>
  <c r="CY56" i="9" s="1"/>
  <c r="IZ116" i="9"/>
  <c r="IY116" i="9"/>
  <c r="JC116" i="9" s="1"/>
  <c r="CY53" i="9" s="1"/>
  <c r="IZ114" i="9"/>
  <c r="IY114" i="9"/>
  <c r="IZ112" i="9"/>
  <c r="IY112" i="9"/>
  <c r="IZ110" i="9"/>
  <c r="IY110" i="9"/>
  <c r="IZ108" i="9"/>
  <c r="IY108" i="9"/>
  <c r="IZ106" i="9"/>
  <c r="IY106" i="9"/>
  <c r="JC106" i="9" s="1"/>
  <c r="IZ104" i="9"/>
  <c r="IY104" i="9"/>
  <c r="JC104" i="9" s="1"/>
  <c r="IW123" i="9"/>
  <c r="IJ59" i="9" l="1"/>
  <c r="II65" i="9"/>
  <c r="II66" i="9" s="1"/>
  <c r="CC57" i="9"/>
  <c r="IJ44" i="9"/>
  <c r="IH64" i="9"/>
  <c r="CD57" i="9"/>
  <c r="IJ29" i="9"/>
  <c r="IH63" i="9"/>
  <c r="IH66" i="9" s="1"/>
  <c r="IJ65" i="9"/>
  <c r="IJ66" i="9" s="1"/>
  <c r="IJ68" i="9" s="1"/>
  <c r="IG64" i="9"/>
  <c r="IG66" i="9" s="1"/>
  <c r="IG68" i="9" s="1"/>
  <c r="JC112" i="9"/>
  <c r="JC110" i="9"/>
  <c r="JC114" i="9"/>
  <c r="JC108" i="9"/>
  <c r="JC21" i="9"/>
  <c r="IZ20" i="9"/>
  <c r="IZ21" i="9"/>
  <c r="CK55" i="9"/>
  <c r="CM77" i="9" s="1"/>
  <c r="CK52" i="9"/>
  <c r="CM76" i="9" s="1"/>
  <c r="CL27" i="9"/>
  <c r="CM69" i="9" s="1"/>
  <c r="CL42" i="9"/>
  <c r="CM73" i="9" s="1"/>
  <c r="CL46" i="9"/>
  <c r="CM74" i="9" s="1"/>
  <c r="CK37" i="9"/>
  <c r="CM72" i="9" s="1"/>
  <c r="CL31" i="9"/>
  <c r="CM70" i="9" s="1"/>
  <c r="CK22" i="9"/>
  <c r="CM68" i="9" s="1"/>
  <c r="HG54" i="9"/>
  <c r="HG53" i="9"/>
  <c r="HG52" i="9"/>
  <c r="HG49" i="9"/>
  <c r="HG48" i="9"/>
  <c r="HG47" i="9"/>
  <c r="HG38" i="9"/>
  <c r="HG37" i="9"/>
  <c r="HG33" i="9"/>
  <c r="HG32" i="9"/>
  <c r="HG31" i="9"/>
  <c r="HE41" i="9"/>
  <c r="HG84" i="9"/>
  <c r="HG83" i="9"/>
  <c r="HG80" i="9"/>
  <c r="HG81" i="9"/>
  <c r="HG79" i="9"/>
  <c r="HG76" i="9"/>
  <c r="HG77" i="9"/>
  <c r="HG75" i="9"/>
  <c r="HD75" i="9"/>
  <c r="HD84" i="9"/>
  <c r="HD83" i="9"/>
  <c r="HD80" i="9"/>
  <c r="HD81" i="9"/>
  <c r="HD79" i="9"/>
  <c r="HD76" i="9"/>
  <c r="HD77" i="9"/>
  <c r="GJ103" i="9"/>
  <c r="GI103" i="9"/>
  <c r="GN103" i="9"/>
  <c r="GJ111" i="9"/>
  <c r="GI111" i="9"/>
  <c r="GN111" i="9" s="1"/>
  <c r="BM61" i="9" s="1"/>
  <c r="GJ109" i="9"/>
  <c r="GI109" i="9"/>
  <c r="GN109" i="9" s="1"/>
  <c r="BM58" i="9" s="1"/>
  <c r="GL107" i="9"/>
  <c r="GK107" i="9"/>
  <c r="GJ107" i="9"/>
  <c r="GI107" i="9"/>
  <c r="GN107" i="9" s="1"/>
  <c r="GL105" i="9"/>
  <c r="GK105" i="9"/>
  <c r="GJ105" i="9"/>
  <c r="GI105" i="9"/>
  <c r="GN105" i="9" s="1"/>
  <c r="GL101" i="9"/>
  <c r="GK101" i="9"/>
  <c r="GJ101" i="9"/>
  <c r="GI101" i="9"/>
  <c r="GL99" i="9"/>
  <c r="GK99" i="9"/>
  <c r="GJ99" i="9"/>
  <c r="GI99" i="9"/>
  <c r="GN99" i="9" s="1"/>
  <c r="GJ97" i="9"/>
  <c r="GI97" i="9"/>
  <c r="GN97" i="9" s="1"/>
  <c r="AX60" i="9"/>
  <c r="AZ87" i="9" s="1"/>
  <c r="AX57" i="9"/>
  <c r="AZ86" i="9" s="1"/>
  <c r="AY50" i="9"/>
  <c r="AZ84" i="9" s="1"/>
  <c r="AY45" i="9"/>
  <c r="AZ83" i="9" s="1"/>
  <c r="AX41" i="9"/>
  <c r="AZ82" i="9" s="1"/>
  <c r="AX25" i="9"/>
  <c r="AZ78" i="9" s="1"/>
  <c r="AY34" i="9"/>
  <c r="AZ80" i="9" s="1"/>
  <c r="AY29" i="9"/>
  <c r="AZ79" i="9" s="1"/>
  <c r="CC41" i="9" l="1"/>
  <c r="CF41" i="9" s="1"/>
  <c r="CG59" i="9"/>
  <c r="CG58" i="9"/>
  <c r="CG57" i="9"/>
  <c r="CF59" i="9"/>
  <c r="CF58" i="9"/>
  <c r="CF57" i="9"/>
  <c r="II68" i="9"/>
  <c r="IN63" i="9"/>
  <c r="IN62" i="9"/>
  <c r="IN65" i="9" s="1"/>
  <c r="CC67" i="9" s="1"/>
  <c r="CD67" i="9" s="1"/>
  <c r="IB119" i="9"/>
  <c r="IB128" i="9"/>
  <c r="IB158" i="9"/>
  <c r="IB167" i="9"/>
  <c r="IB171" i="9"/>
  <c r="IB180" i="9"/>
  <c r="CC25" i="9"/>
  <c r="CF25" i="9" s="1"/>
  <c r="CG43" i="9"/>
  <c r="IH68" i="9"/>
  <c r="IM62" i="9"/>
  <c r="IM63" i="9"/>
  <c r="CD41" i="9"/>
  <c r="IL63" i="9"/>
  <c r="IL62" i="9"/>
  <c r="IO63" i="9"/>
  <c r="IO62" i="9"/>
  <c r="IO65" i="9" s="1"/>
  <c r="CC68" i="9" s="1"/>
  <c r="CD68" i="9" s="1"/>
  <c r="CD25" i="9"/>
  <c r="GN101" i="9"/>
  <c r="GF118" i="9"/>
  <c r="IB127" i="9" l="1"/>
  <c r="IB126" i="9"/>
  <c r="IB125" i="9"/>
  <c r="IB124" i="9"/>
  <c r="IB123" i="9"/>
  <c r="IB122" i="9"/>
  <c r="IB121" i="9"/>
  <c r="IB179" i="9"/>
  <c r="IB178" i="9"/>
  <c r="IB177" i="9"/>
  <c r="IB176" i="9"/>
  <c r="IB175" i="9"/>
  <c r="IB174" i="9"/>
  <c r="IB173" i="9"/>
  <c r="IB166" i="9"/>
  <c r="IB165" i="9"/>
  <c r="IB164" i="9"/>
  <c r="IB163" i="9"/>
  <c r="IB162" i="9"/>
  <c r="IB161" i="9"/>
  <c r="IB160" i="9"/>
  <c r="CF42" i="9"/>
  <c r="CF43" i="9"/>
  <c r="CG41" i="9"/>
  <c r="CG42" i="9"/>
  <c r="CG25" i="9"/>
  <c r="CG26" i="9"/>
  <c r="CG27" i="9"/>
  <c r="CF26" i="9"/>
  <c r="CF27" i="9"/>
  <c r="IM65" i="9"/>
  <c r="CC66" i="9" s="1"/>
  <c r="CD66" i="9" s="1"/>
  <c r="IL65" i="9"/>
  <c r="CC65" i="9" s="1"/>
  <c r="CD65" i="9" s="1"/>
  <c r="IO66" i="9"/>
  <c r="JW61" i="9"/>
  <c r="GG164" i="9" l="1"/>
  <c r="GG145" i="9"/>
  <c r="BB51" i="9"/>
  <c r="AY51" i="9"/>
  <c r="BB46" i="9"/>
  <c r="AY46" i="9"/>
  <c r="AY44" i="9"/>
  <c r="GG126" i="9"/>
  <c r="GF117" i="9"/>
  <c r="GF58" i="9"/>
  <c r="GF69" i="9"/>
  <c r="GF68" i="9"/>
  <c r="GF67" i="9"/>
  <c r="GF66" i="9"/>
  <c r="GF65" i="9"/>
  <c r="GF64" i="9"/>
  <c r="GF63" i="9"/>
  <c r="GF62" i="9"/>
  <c r="GF61" i="9"/>
  <c r="GF60" i="9"/>
  <c r="GF59" i="9"/>
  <c r="GF55" i="9"/>
  <c r="GF54" i="9"/>
  <c r="GF53" i="9"/>
  <c r="GF52" i="9"/>
  <c r="GF51" i="9"/>
  <c r="GF50" i="9"/>
  <c r="GF49" i="9"/>
  <c r="GF48" i="9"/>
  <c r="GF47" i="9"/>
  <c r="GF46" i="9"/>
  <c r="GF45" i="9"/>
  <c r="GL18" i="9"/>
  <c r="GL19" i="9"/>
  <c r="GF116" i="9" s="1"/>
  <c r="AY37" i="9" s="1"/>
  <c r="GL20" i="9"/>
  <c r="GF97" i="9" s="1"/>
  <c r="GL21" i="9"/>
  <c r="GL22" i="9"/>
  <c r="GL23" i="9"/>
  <c r="GL24" i="9"/>
  <c r="GF99" i="9" s="1"/>
  <c r="AY32" i="9" s="1"/>
  <c r="GL25" i="9"/>
  <c r="GL26" i="9"/>
  <c r="GL27" i="9"/>
  <c r="GL28" i="9"/>
  <c r="BF78" i="9" s="1"/>
  <c r="BN78" i="9" s="1"/>
  <c r="GL29" i="9"/>
  <c r="GL30" i="9"/>
  <c r="GL31" i="9"/>
  <c r="GL32" i="9"/>
  <c r="GL33" i="9"/>
  <c r="GL34" i="9"/>
  <c r="GL35" i="9"/>
  <c r="GL36" i="9"/>
  <c r="GL37" i="9"/>
  <c r="GL38" i="9"/>
  <c r="GL39" i="9"/>
  <c r="GL40" i="9"/>
  <c r="GN18" i="9"/>
  <c r="GO18" i="9"/>
  <c r="GN19" i="9"/>
  <c r="GO19" i="9"/>
  <c r="GN20" i="9"/>
  <c r="GO20" i="9"/>
  <c r="GN21" i="9"/>
  <c r="GO21" i="9"/>
  <c r="GN22" i="9"/>
  <c r="GO22" i="9"/>
  <c r="GN23" i="9"/>
  <c r="GO23" i="9"/>
  <c r="GN24" i="9"/>
  <c r="GO24" i="9"/>
  <c r="GN25" i="9"/>
  <c r="GO25" i="9"/>
  <c r="GN26" i="9"/>
  <c r="GO26" i="9"/>
  <c r="GN27" i="9"/>
  <c r="GO27" i="9"/>
  <c r="GN28" i="9"/>
  <c r="GO28" i="9"/>
  <c r="GN29" i="9"/>
  <c r="GO29" i="9"/>
  <c r="GN30" i="9"/>
  <c r="GO30" i="9"/>
  <c r="GN31" i="9"/>
  <c r="GO31" i="9"/>
  <c r="GN32" i="9"/>
  <c r="GO32" i="9"/>
  <c r="GN33" i="9"/>
  <c r="GO33" i="9"/>
  <c r="GN34" i="9"/>
  <c r="GO34" i="9"/>
  <c r="GN35" i="9"/>
  <c r="GO35" i="9"/>
  <c r="GN36" i="9"/>
  <c r="GO36" i="9"/>
  <c r="GN37" i="9"/>
  <c r="GO37" i="9"/>
  <c r="GN38" i="9"/>
  <c r="GO38" i="9"/>
  <c r="GN39" i="9"/>
  <c r="GO39" i="9"/>
  <c r="GN40" i="9"/>
  <c r="GO40" i="9"/>
  <c r="GL17" i="9"/>
  <c r="GM22" i="9"/>
  <c r="GM21" i="9"/>
  <c r="GM18" i="9"/>
  <c r="GO17" i="9"/>
  <c r="GN17" i="9"/>
  <c r="GG158" i="9" s="1"/>
  <c r="GF137" i="9" l="1"/>
  <c r="AY48" i="9" s="1"/>
  <c r="GF136" i="9"/>
  <c r="GG101" i="9"/>
  <c r="GG139" i="9"/>
  <c r="GF154" i="9"/>
  <c r="GF135" i="9"/>
  <c r="BF80" i="9"/>
  <c r="BN80" i="9" s="1"/>
  <c r="BF79" i="9"/>
  <c r="BN79" i="9" s="1"/>
  <c r="GF155" i="9"/>
  <c r="GF156" i="9"/>
  <c r="GS23" i="9"/>
  <c r="GS22" i="9"/>
  <c r="GT22" i="9"/>
  <c r="GT23" i="9"/>
  <c r="BF83" i="9"/>
  <c r="BN83" i="9" s="1"/>
  <c r="GG120" i="9"/>
  <c r="GG107" i="9"/>
  <c r="BB35" i="9"/>
  <c r="AY35" i="9"/>
  <c r="GM17" i="9"/>
  <c r="GF44" i="9"/>
  <c r="AY53" i="9" l="1"/>
  <c r="BF84" i="9" s="1"/>
  <c r="BN84" i="9" s="1"/>
  <c r="IB93" i="9"/>
  <c r="IB95" i="9" s="1"/>
  <c r="IB102" i="9"/>
  <c r="GG96" i="9"/>
  <c r="BM26" i="9" s="1"/>
  <c r="GG134" i="9"/>
  <c r="BM42" i="9" s="1"/>
  <c r="GV22" i="9"/>
  <c r="GZ22" i="9" s="1"/>
  <c r="GW22" i="9"/>
  <c r="HA22" i="9" s="1"/>
  <c r="GX22" i="9"/>
  <c r="HB22" i="9" s="1"/>
  <c r="GU22" i="9"/>
  <c r="GV23" i="9"/>
  <c r="GZ23" i="9" s="1"/>
  <c r="GW23" i="9"/>
  <c r="HA23" i="9" s="1"/>
  <c r="GX23" i="9"/>
  <c r="HB23" i="9" s="1"/>
  <c r="GU23" i="9"/>
  <c r="GG115" i="9"/>
  <c r="GG124" i="9" s="1"/>
  <c r="GG128" i="9" s="1"/>
  <c r="HR128" i="9"/>
  <c r="HS128" i="9"/>
  <c r="HT128" i="9"/>
  <c r="HU128" i="9"/>
  <c r="HV128" i="9"/>
  <c r="HW128" i="9"/>
  <c r="HX128" i="9"/>
  <c r="HY128" i="9"/>
  <c r="HZ128" i="9"/>
  <c r="IA128" i="9"/>
  <c r="HQ128" i="9"/>
  <c r="HR167" i="9"/>
  <c r="HS167" i="9"/>
  <c r="HT167" i="9"/>
  <c r="HU167" i="9"/>
  <c r="HV167" i="9"/>
  <c r="HW167" i="9"/>
  <c r="HX167" i="9"/>
  <c r="HY167" i="9"/>
  <c r="HZ167" i="9"/>
  <c r="IA167" i="9"/>
  <c r="HQ167" i="9"/>
  <c r="HR180" i="9"/>
  <c r="HS180" i="9"/>
  <c r="HT180" i="9"/>
  <c r="HU180" i="9"/>
  <c r="HV180" i="9"/>
  <c r="HW180" i="9"/>
  <c r="HX180" i="9"/>
  <c r="HY180" i="9"/>
  <c r="HZ180" i="9"/>
  <c r="IA180" i="9"/>
  <c r="HQ180" i="9"/>
  <c r="HS119" i="9"/>
  <c r="HT119" i="9"/>
  <c r="HT125" i="9" s="1"/>
  <c r="HU119" i="9"/>
  <c r="HV119" i="9"/>
  <c r="HW119" i="9"/>
  <c r="HX119" i="9"/>
  <c r="HY119" i="9"/>
  <c r="HY127" i="9" s="1"/>
  <c r="HZ119" i="9"/>
  <c r="HZ127" i="9" s="1"/>
  <c r="IA119" i="9"/>
  <c r="IA127" i="9" s="1"/>
  <c r="HR119" i="9"/>
  <c r="HS158" i="9"/>
  <c r="HT158" i="9"/>
  <c r="HT164" i="9" s="1"/>
  <c r="HU158" i="9"/>
  <c r="HV158" i="9"/>
  <c r="HW158" i="9"/>
  <c r="HX158" i="9"/>
  <c r="HY158" i="9"/>
  <c r="HY166" i="9" s="1"/>
  <c r="HZ158" i="9"/>
  <c r="HZ166" i="9" s="1"/>
  <c r="IA158" i="9"/>
  <c r="IA166" i="9" s="1"/>
  <c r="HR158" i="9"/>
  <c r="BP86" i="9" s="1"/>
  <c r="HS171" i="9"/>
  <c r="HT171" i="9"/>
  <c r="HT177" i="9" s="1"/>
  <c r="HU171" i="9"/>
  <c r="HV171" i="9"/>
  <c r="HW171" i="9"/>
  <c r="HX171" i="9"/>
  <c r="HY171" i="9"/>
  <c r="HY179" i="9" s="1"/>
  <c r="HZ171" i="9"/>
  <c r="HZ179" i="9" s="1"/>
  <c r="IA171" i="9"/>
  <c r="IA179" i="9" s="1"/>
  <c r="HR171" i="9"/>
  <c r="GY23" i="9"/>
  <c r="GY22" i="9"/>
  <c r="GG122" i="9"/>
  <c r="GG130" i="9" s="1"/>
  <c r="MF64" i="9"/>
  <c r="MF63" i="9"/>
  <c r="MG80" i="9"/>
  <c r="MC80" i="9"/>
  <c r="MF70" i="9"/>
  <c r="ME70" i="9"/>
  <c r="MC67" i="9"/>
  <c r="MC66" i="9"/>
  <c r="ME88" i="9"/>
  <c r="MH50" i="9"/>
  <c r="MF88" i="9" s="1"/>
  <c r="MH49" i="9"/>
  <c r="MF87" i="9" s="1"/>
  <c r="ME87" i="9"/>
  <c r="MA45" i="9"/>
  <c r="MA44" i="9"/>
  <c r="MA43" i="9"/>
  <c r="MA42" i="9"/>
  <c r="MA41" i="9"/>
  <c r="MA40" i="9"/>
  <c r="MA39" i="9"/>
  <c r="MA38" i="9"/>
  <c r="MA37" i="9"/>
  <c r="MA36" i="9"/>
  <c r="MA35" i="9"/>
  <c r="MA34" i="9"/>
  <c r="MA33" i="9"/>
  <c r="MA32" i="9"/>
  <c r="MA31" i="9"/>
  <c r="MA30" i="9"/>
  <c r="MA29" i="9"/>
  <c r="MA28" i="9"/>
  <c r="MB28" i="9" s="1"/>
  <c r="MA27" i="9"/>
  <c r="MA26" i="9"/>
  <c r="MB26" i="9" s="1"/>
  <c r="LZ45" i="9"/>
  <c r="MB45" i="9" s="1"/>
  <c r="LZ44" i="9"/>
  <c r="MB44" i="9" s="1"/>
  <c r="LZ43" i="9"/>
  <c r="MB43" i="9" s="1"/>
  <c r="LZ42" i="9"/>
  <c r="MB42" i="9" s="1"/>
  <c r="LZ41" i="9"/>
  <c r="MB41" i="9" s="1"/>
  <c r="LZ40" i="9"/>
  <c r="MB40" i="9" s="1"/>
  <c r="LZ39" i="9"/>
  <c r="MB39" i="9" s="1"/>
  <c r="LZ38" i="9"/>
  <c r="MB38" i="9" s="1"/>
  <c r="LZ37" i="9"/>
  <c r="MB37" i="9" s="1"/>
  <c r="LZ36" i="9"/>
  <c r="MB36" i="9" s="1"/>
  <c r="LZ35" i="9"/>
  <c r="MB35" i="9" s="1"/>
  <c r="LZ34" i="9"/>
  <c r="MB34" i="9" s="1"/>
  <c r="LZ33" i="9"/>
  <c r="MB33" i="9" s="1"/>
  <c r="LZ32" i="9"/>
  <c r="MB32" i="9" s="1"/>
  <c r="LZ31" i="9"/>
  <c r="MB31" i="9" s="1"/>
  <c r="LZ30" i="9"/>
  <c r="MB30" i="9" s="1"/>
  <c r="LZ29" i="9"/>
  <c r="MB29" i="9" s="1"/>
  <c r="LZ27" i="9"/>
  <c r="MB27" i="9" s="1"/>
  <c r="HR179" i="9" l="1"/>
  <c r="BP87" i="9"/>
  <c r="HR127" i="9"/>
  <c r="BP82" i="9"/>
  <c r="ME49" i="9"/>
  <c r="HR79" i="9"/>
  <c r="HX127" i="9"/>
  <c r="HX121" i="9"/>
  <c r="HW127" i="9"/>
  <c r="HW122" i="9"/>
  <c r="HV127" i="9"/>
  <c r="HV123" i="9"/>
  <c r="HU127" i="9"/>
  <c r="HU124" i="9"/>
  <c r="HS127" i="9"/>
  <c r="HS126" i="9"/>
  <c r="HX179" i="9"/>
  <c r="HX173" i="9"/>
  <c r="HW179" i="9"/>
  <c r="HW174" i="9"/>
  <c r="HV179" i="9"/>
  <c r="HV175" i="9"/>
  <c r="HU179" i="9"/>
  <c r="HU176" i="9"/>
  <c r="HS179" i="9"/>
  <c r="HS178" i="9"/>
  <c r="HR166" i="9"/>
  <c r="HX166" i="9"/>
  <c r="HX160" i="9"/>
  <c r="HW166" i="9"/>
  <c r="HW161" i="9"/>
  <c r="HV166" i="9"/>
  <c r="HV162" i="9"/>
  <c r="HU166" i="9"/>
  <c r="HU163" i="9"/>
  <c r="HS166" i="9"/>
  <c r="HS165" i="9"/>
  <c r="IB101" i="9"/>
  <c r="IB100" i="9"/>
  <c r="IB99" i="9"/>
  <c r="IB98" i="9"/>
  <c r="IB97" i="9"/>
  <c r="IB96" i="9"/>
  <c r="HR87" i="9"/>
  <c r="IB145" i="9"/>
  <c r="IB154" i="9"/>
  <c r="IB132" i="9"/>
  <c r="IB141" i="9"/>
  <c r="GS19" i="9"/>
  <c r="GG153" i="9"/>
  <c r="GG143" i="9"/>
  <c r="GG147" i="9" s="1"/>
  <c r="GG141" i="9"/>
  <c r="GG149" i="9" s="1"/>
  <c r="GV19" i="9"/>
  <c r="GW19" i="9"/>
  <c r="GX19" i="9"/>
  <c r="GU19" i="9"/>
  <c r="GG150" i="9"/>
  <c r="HR154" i="9"/>
  <c r="HS154" i="9"/>
  <c r="HT154" i="9"/>
  <c r="HU154" i="9"/>
  <c r="HV154" i="9"/>
  <c r="HW154" i="9"/>
  <c r="HX154" i="9"/>
  <c r="HY154" i="9"/>
  <c r="HZ154" i="9"/>
  <c r="IA154" i="9"/>
  <c r="HQ154" i="9"/>
  <c r="HS145" i="9"/>
  <c r="HT145" i="9"/>
  <c r="HT151" i="9" s="1"/>
  <c r="HU145" i="9"/>
  <c r="HV145" i="9"/>
  <c r="HW145" i="9"/>
  <c r="HX145" i="9"/>
  <c r="HY145" i="9"/>
  <c r="HY153" i="9" s="1"/>
  <c r="HZ145" i="9"/>
  <c r="HZ153" i="9" s="1"/>
  <c r="IA145" i="9"/>
  <c r="IA153" i="9" s="1"/>
  <c r="HR145" i="9"/>
  <c r="HR153" i="9" s="1"/>
  <c r="HR141" i="9"/>
  <c r="HS141" i="9"/>
  <c r="HT141" i="9"/>
  <c r="HU141" i="9"/>
  <c r="HV141" i="9"/>
  <c r="HW141" i="9"/>
  <c r="HX141" i="9"/>
  <c r="HY141" i="9"/>
  <c r="HZ141" i="9"/>
  <c r="IA141" i="9"/>
  <c r="HQ141" i="9"/>
  <c r="HT178" i="9"/>
  <c r="HT179" i="9"/>
  <c r="HT165" i="9"/>
  <c r="HT166" i="9"/>
  <c r="HT126" i="9"/>
  <c r="HT127" i="9"/>
  <c r="HT152" i="9"/>
  <c r="HT153" i="9"/>
  <c r="HS132" i="9"/>
  <c r="HT132" i="9"/>
  <c r="HT138" i="9" s="1"/>
  <c r="HU132" i="9"/>
  <c r="HV132" i="9"/>
  <c r="HW132" i="9"/>
  <c r="HX132" i="9"/>
  <c r="HY132" i="9"/>
  <c r="HY140" i="9" s="1"/>
  <c r="HZ132" i="9"/>
  <c r="HZ140" i="9" s="1"/>
  <c r="IA132" i="9"/>
  <c r="IA140" i="9" s="1"/>
  <c r="HR132" i="9"/>
  <c r="HR140" i="9" s="1"/>
  <c r="IA178" i="9"/>
  <c r="IA177" i="9"/>
  <c r="IA176" i="9"/>
  <c r="IA175" i="9"/>
  <c r="IA174" i="9"/>
  <c r="IA173" i="9"/>
  <c r="HZ178" i="9"/>
  <c r="HZ177" i="9"/>
  <c r="HZ176" i="9"/>
  <c r="HZ175" i="9"/>
  <c r="HZ174" i="9"/>
  <c r="HZ173" i="9"/>
  <c r="HY178" i="9"/>
  <c r="HY177" i="9"/>
  <c r="HY176" i="9"/>
  <c r="HY175" i="9"/>
  <c r="HY174" i="9"/>
  <c r="HY173" i="9"/>
  <c r="HX178" i="9"/>
  <c r="HX177" i="9"/>
  <c r="HX176" i="9"/>
  <c r="HX175" i="9"/>
  <c r="HX174" i="9"/>
  <c r="HW178" i="9"/>
  <c r="HW177" i="9"/>
  <c r="HW176" i="9"/>
  <c r="HW175" i="9"/>
  <c r="HV178" i="9"/>
  <c r="HV177" i="9"/>
  <c r="HV176" i="9"/>
  <c r="HU178" i="9"/>
  <c r="HU177" i="9"/>
  <c r="IA165" i="9"/>
  <c r="IA164" i="9"/>
  <c r="IA163" i="9"/>
  <c r="IA162" i="9"/>
  <c r="IA161" i="9"/>
  <c r="IA160" i="9"/>
  <c r="HZ165" i="9"/>
  <c r="HZ164" i="9"/>
  <c r="HZ163" i="9"/>
  <c r="HZ162" i="9"/>
  <c r="HZ161" i="9"/>
  <c r="HZ160" i="9"/>
  <c r="HY165" i="9"/>
  <c r="HY164" i="9"/>
  <c r="HY163" i="9"/>
  <c r="HY162" i="9"/>
  <c r="HY161" i="9"/>
  <c r="HY160" i="9"/>
  <c r="HX165" i="9"/>
  <c r="HX164" i="9"/>
  <c r="HX163" i="9"/>
  <c r="HX162" i="9"/>
  <c r="HX161" i="9"/>
  <c r="HW165" i="9"/>
  <c r="HW164" i="9"/>
  <c r="HW163" i="9"/>
  <c r="HW162" i="9"/>
  <c r="HV165" i="9"/>
  <c r="HV164" i="9"/>
  <c r="HV163" i="9"/>
  <c r="HU165" i="9"/>
  <c r="HU164" i="9"/>
  <c r="IA126" i="9"/>
  <c r="IA125" i="9"/>
  <c r="IA124" i="9"/>
  <c r="IA123" i="9"/>
  <c r="IA122" i="9"/>
  <c r="IA121" i="9"/>
  <c r="HZ126" i="9"/>
  <c r="HZ125" i="9"/>
  <c r="HZ124" i="9"/>
  <c r="HZ123" i="9"/>
  <c r="HZ122" i="9"/>
  <c r="HZ121" i="9"/>
  <c r="HY126" i="9"/>
  <c r="HY125" i="9"/>
  <c r="HY124" i="9"/>
  <c r="HY123" i="9"/>
  <c r="HY122" i="9"/>
  <c r="HY121" i="9"/>
  <c r="HX126" i="9"/>
  <c r="HX125" i="9"/>
  <c r="HX124" i="9"/>
  <c r="HX123" i="9"/>
  <c r="HX122" i="9"/>
  <c r="HW126" i="9"/>
  <c r="HW125" i="9"/>
  <c r="HW124" i="9"/>
  <c r="HW123" i="9"/>
  <c r="HV126" i="9"/>
  <c r="HV125" i="9"/>
  <c r="HV124" i="9"/>
  <c r="HU126" i="9"/>
  <c r="HU125" i="9"/>
  <c r="IA152" i="9"/>
  <c r="IA151" i="9"/>
  <c r="IA150" i="9"/>
  <c r="IA149" i="9"/>
  <c r="IA148" i="9"/>
  <c r="IA147" i="9"/>
  <c r="HZ152" i="9"/>
  <c r="HZ151" i="9"/>
  <c r="HZ150" i="9"/>
  <c r="HZ149" i="9"/>
  <c r="HZ148" i="9"/>
  <c r="HZ147" i="9"/>
  <c r="HY152" i="9"/>
  <c r="HY151" i="9"/>
  <c r="HY150" i="9"/>
  <c r="HY149" i="9"/>
  <c r="HY148" i="9"/>
  <c r="HY147" i="9"/>
  <c r="HX152" i="9"/>
  <c r="HX151" i="9"/>
  <c r="HX150" i="9"/>
  <c r="HX149" i="9"/>
  <c r="HX148" i="9"/>
  <c r="HW152" i="9"/>
  <c r="HW151" i="9"/>
  <c r="HW150" i="9"/>
  <c r="HW149" i="9"/>
  <c r="HV152" i="9"/>
  <c r="HV151" i="9"/>
  <c r="HV150" i="9"/>
  <c r="HU152" i="9"/>
  <c r="HU151" i="9"/>
  <c r="GG131" i="9"/>
  <c r="GF174" i="9" s="1"/>
  <c r="BM36" i="9" s="1"/>
  <c r="GS16" i="9"/>
  <c r="GT19" i="9"/>
  <c r="GG105" i="9"/>
  <c r="GG109" i="9" s="1"/>
  <c r="GG103" i="9"/>
  <c r="GG111" i="9" s="1"/>
  <c r="MC68" i="9"/>
  <c r="BP84" i="9" l="1"/>
  <c r="BP83" i="9"/>
  <c r="HX140" i="9"/>
  <c r="HX134" i="9"/>
  <c r="HW140" i="9"/>
  <c r="HW135" i="9"/>
  <c r="HV140" i="9"/>
  <c r="HV136" i="9"/>
  <c r="HU140" i="9"/>
  <c r="HU137" i="9"/>
  <c r="HS140" i="9"/>
  <c r="HS139" i="9"/>
  <c r="IB140" i="9"/>
  <c r="IB139" i="9"/>
  <c r="IB138" i="9"/>
  <c r="IB137" i="9"/>
  <c r="IB136" i="9"/>
  <c r="IB135" i="9"/>
  <c r="IB134" i="9"/>
  <c r="HX153" i="9"/>
  <c r="HX147" i="9"/>
  <c r="HW153" i="9"/>
  <c r="HW148" i="9"/>
  <c r="HV153" i="9"/>
  <c r="HV149" i="9"/>
  <c r="HU153" i="9"/>
  <c r="HU150" i="9"/>
  <c r="HS153" i="9"/>
  <c r="HS152" i="9"/>
  <c r="IB153" i="9"/>
  <c r="IB152" i="9"/>
  <c r="IB151" i="9"/>
  <c r="IB150" i="9"/>
  <c r="IB149" i="9"/>
  <c r="IB148" i="9"/>
  <c r="IB147" i="9"/>
  <c r="IB106" i="9"/>
  <c r="IB115" i="9"/>
  <c r="IB79" i="9"/>
  <c r="IB81" i="9" s="1"/>
  <c r="IB88" i="9"/>
  <c r="GG160" i="9"/>
  <c r="GG162" i="9"/>
  <c r="GG166" i="9" s="1"/>
  <c r="GG168" i="9" s="1"/>
  <c r="GG169" i="9" s="1"/>
  <c r="GF176" i="9" s="1"/>
  <c r="GU16" i="9"/>
  <c r="GV16" i="9"/>
  <c r="GW16" i="9"/>
  <c r="GX16" i="9"/>
  <c r="GF175" i="9"/>
  <c r="BM47" i="9" s="1"/>
  <c r="HR115" i="9"/>
  <c r="HS115" i="9"/>
  <c r="HT115" i="9"/>
  <c r="HU115" i="9"/>
  <c r="HV115" i="9"/>
  <c r="HW115" i="9"/>
  <c r="HX115" i="9"/>
  <c r="HY115" i="9"/>
  <c r="HZ115" i="9"/>
  <c r="IA115" i="9"/>
  <c r="HQ115" i="9"/>
  <c r="HT139" i="9"/>
  <c r="HT140" i="9"/>
  <c r="HS106" i="9"/>
  <c r="HT106" i="9"/>
  <c r="HT112" i="9" s="1"/>
  <c r="HU106" i="9"/>
  <c r="HV106" i="9"/>
  <c r="HW106" i="9"/>
  <c r="HX106" i="9"/>
  <c r="HY106" i="9"/>
  <c r="HY114" i="9" s="1"/>
  <c r="HZ106" i="9"/>
  <c r="HZ114" i="9" s="1"/>
  <c r="IA106" i="9"/>
  <c r="IA114" i="9" s="1"/>
  <c r="HR106" i="9"/>
  <c r="HR114" i="9" s="1"/>
  <c r="IA139" i="9"/>
  <c r="IA138" i="9"/>
  <c r="IA137" i="9"/>
  <c r="IA136" i="9"/>
  <c r="IA135" i="9"/>
  <c r="IA134" i="9"/>
  <c r="HZ139" i="9"/>
  <c r="HZ138" i="9"/>
  <c r="HZ137" i="9"/>
  <c r="HZ136" i="9"/>
  <c r="HZ135" i="9"/>
  <c r="HZ134" i="9"/>
  <c r="HY139" i="9"/>
  <c r="HY138" i="9"/>
  <c r="HY137" i="9"/>
  <c r="HY136" i="9"/>
  <c r="HY135" i="9"/>
  <c r="HY134" i="9"/>
  <c r="HX139" i="9"/>
  <c r="HX138" i="9"/>
  <c r="HX137" i="9"/>
  <c r="HX136" i="9"/>
  <c r="HX135" i="9"/>
  <c r="HW139" i="9"/>
  <c r="HW138" i="9"/>
  <c r="HW137" i="9"/>
  <c r="HW136" i="9"/>
  <c r="HV139" i="9"/>
  <c r="HV138" i="9"/>
  <c r="HV137" i="9"/>
  <c r="HU139" i="9"/>
  <c r="HU138" i="9"/>
  <c r="GT16" i="9"/>
  <c r="GZ16" i="9"/>
  <c r="HA16" i="9"/>
  <c r="HB16" i="9"/>
  <c r="GY16" i="9"/>
  <c r="GS18" i="9"/>
  <c r="GY19" i="9"/>
  <c r="GZ19" i="9"/>
  <c r="HA19" i="9"/>
  <c r="HB19" i="9"/>
  <c r="GG112" i="9"/>
  <c r="GF173" i="9" s="1"/>
  <c r="BM31" i="9" s="1"/>
  <c r="FM105" i="9"/>
  <c r="BP80" i="9" l="1"/>
  <c r="IB87" i="9"/>
  <c r="IB86" i="9"/>
  <c r="IB85" i="9"/>
  <c r="IB84" i="9"/>
  <c r="IB83" i="9"/>
  <c r="IB82" i="9"/>
  <c r="HX114" i="9"/>
  <c r="HX108" i="9"/>
  <c r="HW114" i="9"/>
  <c r="HW109" i="9"/>
  <c r="HV114" i="9"/>
  <c r="HV110" i="9"/>
  <c r="HU114" i="9"/>
  <c r="HU111" i="9"/>
  <c r="HS114" i="9"/>
  <c r="HS113" i="9"/>
  <c r="IB114" i="9"/>
  <c r="IB113" i="9"/>
  <c r="IB112" i="9"/>
  <c r="IB111" i="9"/>
  <c r="IB110" i="9"/>
  <c r="IB109" i="9"/>
  <c r="IB108" i="9"/>
  <c r="BM52" i="9"/>
  <c r="GS21" i="9" s="1"/>
  <c r="GV18" i="9"/>
  <c r="GW18" i="9"/>
  <c r="GX18" i="9"/>
  <c r="GU18" i="9"/>
  <c r="GS20" i="9"/>
  <c r="GT20" i="9"/>
  <c r="HR102" i="9"/>
  <c r="HS102" i="9"/>
  <c r="HT102" i="9"/>
  <c r="HU102" i="9"/>
  <c r="HV102" i="9"/>
  <c r="HW102" i="9"/>
  <c r="HX102" i="9"/>
  <c r="HY102" i="9"/>
  <c r="HZ102" i="9"/>
  <c r="IA102" i="9"/>
  <c r="HQ102" i="9"/>
  <c r="HT113" i="9"/>
  <c r="HT114" i="9"/>
  <c r="HS93" i="9"/>
  <c r="HT93" i="9"/>
  <c r="HT99" i="9" s="1"/>
  <c r="HU93" i="9"/>
  <c r="HV93" i="9"/>
  <c r="HW93" i="9"/>
  <c r="HX93" i="9"/>
  <c r="HY93" i="9"/>
  <c r="HY101" i="9" s="1"/>
  <c r="HZ93" i="9"/>
  <c r="HZ101" i="9" s="1"/>
  <c r="IA93" i="9"/>
  <c r="HR93" i="9"/>
  <c r="BP79" i="9" s="1"/>
  <c r="IA113" i="9"/>
  <c r="IA112" i="9"/>
  <c r="IA111" i="9"/>
  <c r="IA110" i="9"/>
  <c r="IA109" i="9"/>
  <c r="IA108" i="9"/>
  <c r="HZ113" i="9"/>
  <c r="HZ112" i="9"/>
  <c r="HZ111" i="9"/>
  <c r="HZ110" i="9"/>
  <c r="HZ109" i="9"/>
  <c r="HZ108" i="9"/>
  <c r="HY113" i="9"/>
  <c r="HY112" i="9"/>
  <c r="HY111" i="9"/>
  <c r="HY110" i="9"/>
  <c r="HY109" i="9"/>
  <c r="HY108" i="9"/>
  <c r="HX113" i="9"/>
  <c r="HX112" i="9"/>
  <c r="HX111" i="9"/>
  <c r="HX110" i="9"/>
  <c r="HX109" i="9"/>
  <c r="HW113" i="9"/>
  <c r="HW112" i="9"/>
  <c r="HW111" i="9"/>
  <c r="HW110" i="9"/>
  <c r="HV113" i="9"/>
  <c r="HV112" i="9"/>
  <c r="HV111" i="9"/>
  <c r="HU113" i="9"/>
  <c r="HU112" i="9"/>
  <c r="GS17" i="9"/>
  <c r="GT17" i="9"/>
  <c r="GT18" i="9"/>
  <c r="GY18" i="9"/>
  <c r="GZ18" i="9"/>
  <c r="HA18" i="9"/>
  <c r="HB18" i="9"/>
  <c r="FF29" i="9"/>
  <c r="FF30" i="9"/>
  <c r="FF31" i="9"/>
  <c r="FF32" i="9"/>
  <c r="FF33" i="9"/>
  <c r="FF35" i="9"/>
  <c r="FF36" i="9"/>
  <c r="FF37" i="9"/>
  <c r="FF38" i="9"/>
  <c r="FF39" i="9"/>
  <c r="FF40" i="9"/>
  <c r="FF41" i="9"/>
  <c r="FF42" i="9"/>
  <c r="FF43" i="9"/>
  <c r="FF44" i="9"/>
  <c r="FF45" i="9"/>
  <c r="FF46" i="9"/>
  <c r="FF47" i="9"/>
  <c r="FF48" i="9"/>
  <c r="FF49" i="9"/>
  <c r="FF50" i="9"/>
  <c r="FF51" i="9"/>
  <c r="FF52" i="9"/>
  <c r="FF53" i="9"/>
  <c r="FF54" i="9"/>
  <c r="FF55" i="9"/>
  <c r="FF56" i="9"/>
  <c r="FF57" i="9"/>
  <c r="FF58" i="9"/>
  <c r="FF59" i="9"/>
  <c r="FF60" i="9"/>
  <c r="FF61" i="9"/>
  <c r="FF62" i="9"/>
  <c r="FF63" i="9"/>
  <c r="FF64" i="9"/>
  <c r="FF65" i="9"/>
  <c r="FF66" i="9"/>
  <c r="FF67" i="9"/>
  <c r="FF68" i="9"/>
  <c r="FF71" i="9"/>
  <c r="FF72" i="9"/>
  <c r="FF73" i="9"/>
  <c r="FF74" i="9"/>
  <c r="FF75" i="9"/>
  <c r="FF76" i="9"/>
  <c r="FF77" i="9"/>
  <c r="FF78" i="9"/>
  <c r="FF79" i="9"/>
  <c r="FF80" i="9"/>
  <c r="FE29" i="9"/>
  <c r="FE30" i="9"/>
  <c r="FE31" i="9"/>
  <c r="FE32" i="9"/>
  <c r="FE33" i="9"/>
  <c r="FE35" i="9"/>
  <c r="FE36" i="9"/>
  <c r="FE37" i="9"/>
  <c r="FE38" i="9"/>
  <c r="FE39" i="9"/>
  <c r="FE40" i="9"/>
  <c r="FE41" i="9"/>
  <c r="FE42" i="9"/>
  <c r="FE43" i="9"/>
  <c r="FE44" i="9"/>
  <c r="FE45" i="9"/>
  <c r="FE46" i="9"/>
  <c r="FE47" i="9"/>
  <c r="FE48" i="9"/>
  <c r="FE49" i="9"/>
  <c r="FE50" i="9"/>
  <c r="FE51" i="9"/>
  <c r="FE52" i="9"/>
  <c r="FE53" i="9"/>
  <c r="FE54" i="9"/>
  <c r="FE55" i="9"/>
  <c r="FE56" i="9"/>
  <c r="FE57" i="9"/>
  <c r="FE58" i="9"/>
  <c r="FE59" i="9"/>
  <c r="FE60" i="9"/>
  <c r="FE61" i="9"/>
  <c r="FE62" i="9"/>
  <c r="FE63" i="9"/>
  <c r="FE64" i="9"/>
  <c r="FE65" i="9"/>
  <c r="FE66" i="9"/>
  <c r="FE67" i="9"/>
  <c r="FE68" i="9"/>
  <c r="FE71" i="9"/>
  <c r="FE72" i="9"/>
  <c r="FE73" i="9"/>
  <c r="FE74" i="9"/>
  <c r="FE75" i="9"/>
  <c r="FE76" i="9"/>
  <c r="FE77" i="9"/>
  <c r="FE78" i="9"/>
  <c r="FE79" i="9"/>
  <c r="FE80" i="9"/>
  <c r="FN85" i="9"/>
  <c r="FO85" i="9"/>
  <c r="FP85" i="9"/>
  <c r="FQ85" i="9"/>
  <c r="FR85" i="9"/>
  <c r="FS85" i="9"/>
  <c r="FT85" i="9"/>
  <c r="FU85" i="9"/>
  <c r="FV85" i="9"/>
  <c r="FW85" i="9"/>
  <c r="FX85" i="9"/>
  <c r="FN86" i="9"/>
  <c r="FO86" i="9"/>
  <c r="FP86" i="9"/>
  <c r="FQ86" i="9"/>
  <c r="FR86" i="9"/>
  <c r="FS86" i="9"/>
  <c r="FT86" i="9"/>
  <c r="FU86" i="9"/>
  <c r="FV86" i="9"/>
  <c r="FW86" i="9"/>
  <c r="FX86" i="9"/>
  <c r="FM86" i="9"/>
  <c r="FM85" i="9"/>
  <c r="FX29" i="9"/>
  <c r="FG30" i="9"/>
  <c r="FG31" i="9"/>
  <c r="FG32" i="9"/>
  <c r="FG33" i="9"/>
  <c r="FG35" i="9"/>
  <c r="FG36" i="9"/>
  <c r="FG37" i="9"/>
  <c r="FG38" i="9"/>
  <c r="FG39" i="9"/>
  <c r="FG40" i="9"/>
  <c r="FG41" i="9"/>
  <c r="FG42" i="9"/>
  <c r="FG43" i="9"/>
  <c r="FG44" i="9"/>
  <c r="FG45" i="9"/>
  <c r="FG46" i="9"/>
  <c r="FG47" i="9"/>
  <c r="FG48" i="9"/>
  <c r="FG49" i="9"/>
  <c r="FG50" i="9"/>
  <c r="FG51" i="9"/>
  <c r="FG52" i="9"/>
  <c r="FG53" i="9"/>
  <c r="FG54" i="9"/>
  <c r="FG55" i="9"/>
  <c r="FG56" i="9"/>
  <c r="FG57" i="9"/>
  <c r="FG58" i="9"/>
  <c r="FG59" i="9"/>
  <c r="FG60" i="9"/>
  <c r="FG61" i="9"/>
  <c r="FG62" i="9"/>
  <c r="FG63" i="9"/>
  <c r="FG64" i="9"/>
  <c r="FG65" i="9"/>
  <c r="FG66" i="9"/>
  <c r="FG67" i="9"/>
  <c r="FG68" i="9"/>
  <c r="FG71" i="9"/>
  <c r="FG72" i="9"/>
  <c r="FG73" i="9"/>
  <c r="FG74" i="9"/>
  <c r="FG75" i="9"/>
  <c r="FG76" i="9"/>
  <c r="FG77" i="9"/>
  <c r="FG78" i="9"/>
  <c r="FG79" i="9"/>
  <c r="FG80" i="9"/>
  <c r="FG29" i="9"/>
  <c r="FC71" i="9"/>
  <c r="FC72" i="9"/>
  <c r="FC73" i="9"/>
  <c r="FC74" i="9"/>
  <c r="FC75" i="9"/>
  <c r="FC76" i="9"/>
  <c r="FC77" i="9"/>
  <c r="FC78" i="9"/>
  <c r="FC79" i="9"/>
  <c r="FC80" i="9"/>
  <c r="FB30" i="9"/>
  <c r="FB31" i="9"/>
  <c r="FB32" i="9"/>
  <c r="FB33" i="9"/>
  <c r="FB34" i="9"/>
  <c r="FB35" i="9"/>
  <c r="FB36" i="9"/>
  <c r="FB37" i="9"/>
  <c r="FB38" i="9"/>
  <c r="FB39" i="9"/>
  <c r="FB40" i="9"/>
  <c r="FB41" i="9"/>
  <c r="FB42" i="9"/>
  <c r="FB43" i="9"/>
  <c r="FB44" i="9"/>
  <c r="FB45" i="9"/>
  <c r="FB46" i="9"/>
  <c r="FB47" i="9"/>
  <c r="FB48" i="9"/>
  <c r="FB49" i="9"/>
  <c r="FB50" i="9"/>
  <c r="FB51" i="9"/>
  <c r="FB52" i="9"/>
  <c r="FB53" i="9"/>
  <c r="FB54" i="9"/>
  <c r="FB55" i="9"/>
  <c r="FB56" i="9"/>
  <c r="FB57" i="9"/>
  <c r="FB58" i="9"/>
  <c r="FB59" i="9"/>
  <c r="FB60" i="9"/>
  <c r="FB61" i="9"/>
  <c r="FB62" i="9"/>
  <c r="FB63" i="9"/>
  <c r="FB64" i="9"/>
  <c r="FB65" i="9"/>
  <c r="FB66" i="9"/>
  <c r="FB67" i="9"/>
  <c r="FB68" i="9"/>
  <c r="FB71" i="9"/>
  <c r="FB72" i="9"/>
  <c r="FB73" i="9"/>
  <c r="FB74" i="9"/>
  <c r="FB75" i="9"/>
  <c r="FB76" i="9"/>
  <c r="FB77" i="9"/>
  <c r="FB78" i="9"/>
  <c r="FB79" i="9"/>
  <c r="FB80" i="9"/>
  <c r="FB29" i="9"/>
  <c r="FA71" i="9"/>
  <c r="FA72" i="9"/>
  <c r="FA73" i="9"/>
  <c r="FA74" i="9"/>
  <c r="FA75" i="9"/>
  <c r="FA76" i="9"/>
  <c r="FA77" i="9"/>
  <c r="FA78" i="9"/>
  <c r="FA79" i="9"/>
  <c r="FA80" i="9"/>
  <c r="EZ80" i="9"/>
  <c r="EZ71" i="9"/>
  <c r="EZ72" i="9"/>
  <c r="EZ73" i="9"/>
  <c r="EZ74" i="9"/>
  <c r="EZ75" i="9"/>
  <c r="EZ76" i="9"/>
  <c r="EZ77" i="9"/>
  <c r="EZ78" i="9"/>
  <c r="EZ79" i="9"/>
  <c r="EY30" i="9"/>
  <c r="EY31" i="9"/>
  <c r="EY32" i="9"/>
  <c r="EY33" i="9"/>
  <c r="EY34" i="9"/>
  <c r="EY35" i="9"/>
  <c r="EY36" i="9"/>
  <c r="EY37" i="9"/>
  <c r="EY38" i="9"/>
  <c r="EY39" i="9"/>
  <c r="EY40" i="9"/>
  <c r="EY41" i="9"/>
  <c r="EY42" i="9"/>
  <c r="EY43" i="9"/>
  <c r="EY44" i="9"/>
  <c r="EY45" i="9"/>
  <c r="EY46" i="9"/>
  <c r="EY47" i="9"/>
  <c r="EY48" i="9"/>
  <c r="EY49" i="9"/>
  <c r="EY50" i="9"/>
  <c r="EY51" i="9"/>
  <c r="EY52" i="9"/>
  <c r="EY53" i="9"/>
  <c r="EY54" i="9"/>
  <c r="EY55" i="9"/>
  <c r="EY56" i="9"/>
  <c r="EY57" i="9"/>
  <c r="EY58" i="9"/>
  <c r="EY59" i="9"/>
  <c r="EY60" i="9"/>
  <c r="EY61" i="9"/>
  <c r="EY62" i="9"/>
  <c r="EY63" i="9"/>
  <c r="EY64" i="9"/>
  <c r="EY65" i="9"/>
  <c r="EY66" i="9"/>
  <c r="EY67" i="9"/>
  <c r="EY68" i="9"/>
  <c r="EY71" i="9"/>
  <c r="EY72" i="9"/>
  <c r="EY73" i="9"/>
  <c r="EY74" i="9"/>
  <c r="EY75" i="9"/>
  <c r="EY76" i="9"/>
  <c r="EY77" i="9"/>
  <c r="EY78" i="9"/>
  <c r="EY79" i="9"/>
  <c r="EY80" i="9"/>
  <c r="EX82" i="9"/>
  <c r="EV71" i="9"/>
  <c r="EV72" i="9"/>
  <c r="EV73" i="9"/>
  <c r="EV74" i="9"/>
  <c r="EV75" i="9"/>
  <c r="EV76" i="9"/>
  <c r="EV77" i="9"/>
  <c r="EV78" i="9"/>
  <c r="EV79" i="9"/>
  <c r="FC26" i="9"/>
  <c r="EZ26" i="9"/>
  <c r="EW23" i="9"/>
  <c r="EV23" i="9"/>
  <c r="Y30" i="9"/>
  <c r="Y31" i="9"/>
  <c r="Y32" i="9"/>
  <c r="Y33" i="9"/>
  <c r="Y34" i="9"/>
  <c r="Y35" i="9"/>
  <c r="Y36" i="9"/>
  <c r="Y37" i="9"/>
  <c r="Y38" i="9"/>
  <c r="Y39" i="9"/>
  <c r="Y40" i="9"/>
  <c r="Y41" i="9"/>
  <c r="Y42" i="9"/>
  <c r="Y43" i="9"/>
  <c r="Y44" i="9"/>
  <c r="Y45" i="9"/>
  <c r="Y46" i="9"/>
  <c r="Y47" i="9"/>
  <c r="Y48" i="9"/>
  <c r="Y49" i="9"/>
  <c r="Y50" i="9"/>
  <c r="Y51" i="9"/>
  <c r="Y52" i="9"/>
  <c r="Y53" i="9"/>
  <c r="Y54" i="9"/>
  <c r="Y55" i="9"/>
  <c r="Y56" i="9"/>
  <c r="Y57" i="9"/>
  <c r="Y58" i="9"/>
  <c r="Y59" i="9"/>
  <c r="Y60" i="9"/>
  <c r="Y61" i="9"/>
  <c r="Y62" i="9"/>
  <c r="Y63" i="9"/>
  <c r="Y64" i="9"/>
  <c r="Y65" i="9"/>
  <c r="Y66" i="9"/>
  <c r="Y67" i="9"/>
  <c r="Y68" i="9"/>
  <c r="G54" i="9"/>
  <c r="G53" i="9"/>
  <c r="G55" i="9"/>
  <c r="IA101" i="9" l="1"/>
  <c r="IA95" i="9"/>
  <c r="HR101" i="9"/>
  <c r="HX101" i="9"/>
  <c r="HX95" i="9"/>
  <c r="HW101" i="9"/>
  <c r="HW96" i="9"/>
  <c r="HV101" i="9"/>
  <c r="HV97" i="9"/>
  <c r="HU101" i="9"/>
  <c r="HU98" i="9"/>
  <c r="HS101" i="9"/>
  <c r="HS100" i="9"/>
  <c r="GV21" i="9"/>
  <c r="GW21" i="9"/>
  <c r="GX21" i="9"/>
  <c r="GU21" i="9"/>
  <c r="GT21" i="9"/>
  <c r="GV17" i="9"/>
  <c r="GW17" i="9"/>
  <c r="GX17" i="9"/>
  <c r="GU17" i="9"/>
  <c r="GV20" i="9"/>
  <c r="GW20" i="9"/>
  <c r="GX20" i="9"/>
  <c r="GU20" i="9"/>
  <c r="GY20" i="9"/>
  <c r="GZ20" i="9"/>
  <c r="HA20" i="9"/>
  <c r="HB20" i="9"/>
  <c r="HT100" i="9"/>
  <c r="HT101" i="9"/>
  <c r="IA100" i="9"/>
  <c r="IA99" i="9"/>
  <c r="IA98" i="9"/>
  <c r="IA97" i="9"/>
  <c r="IA96" i="9"/>
  <c r="HZ100" i="9"/>
  <c r="HZ99" i="9"/>
  <c r="HZ98" i="9"/>
  <c r="HZ97" i="9"/>
  <c r="HZ96" i="9"/>
  <c r="HZ95" i="9"/>
  <c r="HY100" i="9"/>
  <c r="HY99" i="9"/>
  <c r="HY98" i="9"/>
  <c r="HY97" i="9"/>
  <c r="HY96" i="9"/>
  <c r="HY95" i="9"/>
  <c r="HX100" i="9"/>
  <c r="HX99" i="9"/>
  <c r="HX98" i="9"/>
  <c r="HX97" i="9"/>
  <c r="HX96" i="9"/>
  <c r="HW100" i="9"/>
  <c r="HW99" i="9"/>
  <c r="HW98" i="9"/>
  <c r="HW97" i="9"/>
  <c r="HV100" i="9"/>
  <c r="HV99" i="9"/>
  <c r="HV98" i="9"/>
  <c r="HU100" i="9"/>
  <c r="HU99" i="9"/>
  <c r="FE82" i="9"/>
  <c r="FF82" i="9"/>
  <c r="FX87" i="9"/>
  <c r="FW87" i="9"/>
  <c r="FV87" i="9"/>
  <c r="FU87" i="9"/>
  <c r="FT87" i="9"/>
  <c r="FS87" i="9"/>
  <c r="FR87" i="9"/>
  <c r="FQ87" i="9"/>
  <c r="FP87" i="9"/>
  <c r="FO87" i="9"/>
  <c r="FN87" i="9"/>
  <c r="FM87" i="9"/>
  <c r="FB82" i="9"/>
  <c r="FD82" i="9"/>
  <c r="EY82" i="9"/>
  <c r="FG82" i="9"/>
  <c r="FJ71" i="9"/>
  <c r="FJ72" i="9"/>
  <c r="FJ73" i="9"/>
  <c r="FJ74" i="9"/>
  <c r="FJ75" i="9"/>
  <c r="FJ76" i="9"/>
  <c r="FJ77" i="9"/>
  <c r="FJ78" i="9"/>
  <c r="FJ79" i="9"/>
  <c r="FJ80" i="9"/>
  <c r="FI71" i="9"/>
  <c r="FK71" i="9" s="1"/>
  <c r="AH71" i="9" s="1"/>
  <c r="FI72" i="9"/>
  <c r="FK72" i="9" s="1"/>
  <c r="FI73" i="9"/>
  <c r="FK73" i="9" s="1"/>
  <c r="FI74" i="9"/>
  <c r="FK74" i="9" s="1"/>
  <c r="FI75" i="9"/>
  <c r="FK75" i="9" s="1"/>
  <c r="FI76" i="9"/>
  <c r="FK76" i="9" s="1"/>
  <c r="FI77" i="9"/>
  <c r="FK77" i="9" s="1"/>
  <c r="AH77" i="9" s="1"/>
  <c r="FI78" i="9"/>
  <c r="FK78" i="9" s="1"/>
  <c r="AH78" i="9" s="1"/>
  <c r="FI79" i="9"/>
  <c r="FK79" i="9" s="1"/>
  <c r="FI80" i="9"/>
  <c r="FK80" i="9" s="1"/>
  <c r="GY21" i="9" l="1"/>
  <c r="GZ21" i="9"/>
  <c r="HA21" i="9"/>
  <c r="HB21" i="9"/>
  <c r="GU25" i="9"/>
  <c r="GY17" i="9"/>
  <c r="GY25" i="9" s="1"/>
  <c r="GX25" i="9"/>
  <c r="HB17" i="9"/>
  <c r="HB25" i="9" s="1"/>
  <c r="HB29" i="9" s="1"/>
  <c r="HB31" i="9" s="1"/>
  <c r="GW25" i="9"/>
  <c r="HA17" i="9"/>
  <c r="HA25" i="9" s="1"/>
  <c r="HA29" i="9" s="1"/>
  <c r="HA31" i="9" s="1"/>
  <c r="GV25" i="9"/>
  <c r="GZ17" i="9"/>
  <c r="GZ25" i="9" s="1"/>
  <c r="GZ29" i="9" s="1"/>
  <c r="GZ31" i="9" s="1"/>
  <c r="BO65" i="9" s="1"/>
  <c r="G47" i="9"/>
  <c r="AM11" i="9" s="1"/>
  <c r="GY29" i="9" l="1"/>
  <c r="GY31" i="9" s="1"/>
  <c r="BN65" i="9" s="1"/>
  <c r="HB27" i="9"/>
  <c r="GX27" i="9"/>
  <c r="GA67" i="9"/>
  <c r="P55" i="9" s="1"/>
  <c r="GY33" i="9" l="1"/>
  <c r="GY35" i="9" s="1"/>
  <c r="BN66" i="9" s="1"/>
  <c r="IW60" i="9"/>
  <c r="IW61" i="9"/>
  <c r="IW62" i="9"/>
  <c r="IW63" i="9"/>
  <c r="IW59" i="9"/>
  <c r="JE18" i="9"/>
  <c r="JE19" i="9"/>
  <c r="JE20" i="9"/>
  <c r="JE21" i="9"/>
  <c r="JE17" i="9"/>
  <c r="JD18" i="9"/>
  <c r="JD19" i="9"/>
  <c r="JD20" i="9"/>
  <c r="JD21" i="9"/>
  <c r="JD17" i="9"/>
  <c r="JB20" i="9"/>
  <c r="JB18" i="9"/>
  <c r="JB19" i="9"/>
  <c r="JB21" i="9"/>
  <c r="JB17" i="9"/>
  <c r="IW87" i="9" l="1"/>
  <c r="IW69" i="9"/>
  <c r="IW105" i="9"/>
  <c r="CL48" i="9"/>
  <c r="CL44" i="9"/>
  <c r="IW102" i="9"/>
  <c r="CY38" i="9" s="1"/>
  <c r="IW66" i="9"/>
  <c r="CY23" i="9" s="1"/>
  <c r="CL29" i="9"/>
  <c r="CL33" i="9"/>
  <c r="IW84" i="9" l="1"/>
  <c r="JI16" i="9"/>
  <c r="JK16" i="9" s="1"/>
  <c r="IW71" i="9"/>
  <c r="IW73" i="9"/>
  <c r="IW120" i="9"/>
  <c r="IW109" i="9"/>
  <c r="IW107" i="9"/>
  <c r="FM106" i="9"/>
  <c r="FM21" i="9"/>
  <c r="FO30" i="9"/>
  <c r="FP30" i="9"/>
  <c r="FQ30" i="9"/>
  <c r="FR30" i="9"/>
  <c r="FS30" i="9"/>
  <c r="FT30" i="9"/>
  <c r="FU30" i="9"/>
  <c r="FV30" i="9"/>
  <c r="FW30" i="9"/>
  <c r="FX30" i="9"/>
  <c r="FN31" i="9"/>
  <c r="FP31" i="9"/>
  <c r="FQ31" i="9"/>
  <c r="FR31" i="9"/>
  <c r="FS31" i="9"/>
  <c r="FT31" i="9"/>
  <c r="FU31" i="9"/>
  <c r="FV31" i="9"/>
  <c r="FW31" i="9"/>
  <c r="FX31" i="9"/>
  <c r="FO32" i="9"/>
  <c r="FQ32" i="9"/>
  <c r="FR32" i="9"/>
  <c r="FS32" i="9"/>
  <c r="FT32" i="9"/>
  <c r="FU32" i="9"/>
  <c r="FV32" i="9"/>
  <c r="FW32" i="9"/>
  <c r="FX32" i="9"/>
  <c r="FM33" i="9"/>
  <c r="FO33" i="9"/>
  <c r="FP33" i="9"/>
  <c r="FR33" i="9"/>
  <c r="FS33" i="9"/>
  <c r="FT33" i="9"/>
  <c r="FU33" i="9"/>
  <c r="FV33" i="9"/>
  <c r="FW33" i="9"/>
  <c r="FX33" i="9"/>
  <c r="FM34" i="9"/>
  <c r="FN34" i="9"/>
  <c r="FO34" i="9"/>
  <c r="FP34" i="9"/>
  <c r="FS34" i="9"/>
  <c r="FT34" i="9"/>
  <c r="FU34" i="9"/>
  <c r="FV34" i="9"/>
  <c r="FW34" i="9"/>
  <c r="FX34" i="9"/>
  <c r="FM35" i="9"/>
  <c r="FO35" i="9"/>
  <c r="FP35" i="9"/>
  <c r="FQ35" i="9"/>
  <c r="FR35" i="9"/>
  <c r="FU35" i="9"/>
  <c r="FV35" i="9"/>
  <c r="FW35" i="9"/>
  <c r="FX35" i="9"/>
  <c r="FM36" i="9"/>
  <c r="FN36" i="9"/>
  <c r="FP36" i="9"/>
  <c r="FQ36" i="9"/>
  <c r="FR36" i="9"/>
  <c r="FS36" i="9"/>
  <c r="FU36" i="9"/>
  <c r="FV36" i="9"/>
  <c r="FW36" i="9"/>
  <c r="FX36" i="9"/>
  <c r="FM37" i="9"/>
  <c r="FN37" i="9"/>
  <c r="FO37" i="9"/>
  <c r="FQ37" i="9"/>
  <c r="FR37" i="9"/>
  <c r="FS37" i="9"/>
  <c r="FT37" i="9"/>
  <c r="FV37" i="9"/>
  <c r="FW37" i="9"/>
  <c r="FX37" i="9"/>
  <c r="FM38" i="9"/>
  <c r="FN38" i="9"/>
  <c r="FO38" i="9"/>
  <c r="FP38" i="9"/>
  <c r="FR38" i="9"/>
  <c r="FS38" i="9"/>
  <c r="FT38" i="9"/>
  <c r="FU38" i="9"/>
  <c r="FW38" i="9"/>
  <c r="FM39" i="9"/>
  <c r="FN39" i="9"/>
  <c r="FO39" i="9"/>
  <c r="FP39" i="9"/>
  <c r="FQ39" i="9"/>
  <c r="FT39" i="9"/>
  <c r="FU39" i="9"/>
  <c r="FV39" i="9"/>
  <c r="FX39" i="9"/>
  <c r="FM40" i="9"/>
  <c r="FN40" i="9"/>
  <c r="FO40" i="9"/>
  <c r="FQ40" i="9"/>
  <c r="FR40" i="9"/>
  <c r="FT40" i="9"/>
  <c r="FU40" i="9"/>
  <c r="FV40" i="9"/>
  <c r="FW40" i="9"/>
  <c r="FM41" i="9"/>
  <c r="FN41" i="9"/>
  <c r="FO41" i="9"/>
  <c r="FP41" i="9"/>
  <c r="FQ41" i="9"/>
  <c r="FR41" i="9"/>
  <c r="FU41" i="9"/>
  <c r="FV41" i="9"/>
  <c r="FW41" i="9"/>
  <c r="FX41" i="9"/>
  <c r="FM42" i="9"/>
  <c r="FN42" i="9"/>
  <c r="FO42" i="9"/>
  <c r="FP42" i="9"/>
  <c r="FQ42" i="9"/>
  <c r="FR42" i="9"/>
  <c r="FS42" i="9"/>
  <c r="FT42" i="9"/>
  <c r="FV42" i="9"/>
  <c r="FW42" i="9"/>
  <c r="FX42" i="9"/>
  <c r="FM43" i="9"/>
  <c r="FN43" i="9"/>
  <c r="FO43" i="9"/>
  <c r="FP43" i="9"/>
  <c r="FQ43" i="9"/>
  <c r="FR43" i="9"/>
  <c r="FS43" i="9"/>
  <c r="FT43" i="9"/>
  <c r="FU43" i="9"/>
  <c r="FW43" i="9"/>
  <c r="FX43" i="9"/>
  <c r="FM44" i="9"/>
  <c r="FN44" i="9"/>
  <c r="FO44" i="9"/>
  <c r="FP44" i="9"/>
  <c r="FQ44" i="9"/>
  <c r="FR44" i="9"/>
  <c r="FS44" i="9"/>
  <c r="FT44" i="9"/>
  <c r="FU44" i="9"/>
  <c r="FV44" i="9"/>
  <c r="FX44" i="9"/>
  <c r="FM45" i="9"/>
  <c r="FN45" i="9"/>
  <c r="FO45" i="9"/>
  <c r="FP45" i="9"/>
  <c r="FQ45" i="9"/>
  <c r="FR45" i="9"/>
  <c r="FS45" i="9"/>
  <c r="FT45" i="9"/>
  <c r="FU45" i="9"/>
  <c r="FV45" i="9"/>
  <c r="FW45" i="9"/>
  <c r="FM46" i="9"/>
  <c r="FN46" i="9"/>
  <c r="FO46" i="9"/>
  <c r="FP46" i="9"/>
  <c r="FQ46" i="9"/>
  <c r="FR46" i="9"/>
  <c r="FS46" i="9"/>
  <c r="FT46" i="9"/>
  <c r="FU46" i="9"/>
  <c r="FV46" i="9"/>
  <c r="FW46" i="9"/>
  <c r="FX46" i="9"/>
  <c r="FN47" i="9"/>
  <c r="FO47" i="9"/>
  <c r="FP47" i="9"/>
  <c r="FQ47" i="9"/>
  <c r="FR47" i="9"/>
  <c r="FS47" i="9"/>
  <c r="FT47" i="9"/>
  <c r="FU47" i="9"/>
  <c r="FV47" i="9"/>
  <c r="FW47" i="9"/>
  <c r="FX47" i="9"/>
  <c r="FM48" i="9"/>
  <c r="FO48" i="9"/>
  <c r="FP48" i="9"/>
  <c r="FQ48" i="9"/>
  <c r="FR48" i="9"/>
  <c r="FS48" i="9"/>
  <c r="FT48" i="9"/>
  <c r="FU48" i="9"/>
  <c r="FV48" i="9"/>
  <c r="FW48" i="9"/>
  <c r="FX48" i="9"/>
  <c r="FM49" i="9"/>
  <c r="FN49" i="9"/>
  <c r="FP49" i="9"/>
  <c r="FQ49" i="9"/>
  <c r="FR49" i="9"/>
  <c r="FS49" i="9"/>
  <c r="FT49" i="9"/>
  <c r="FU49" i="9"/>
  <c r="FV49" i="9"/>
  <c r="FW49" i="9"/>
  <c r="FX49" i="9"/>
  <c r="FM50" i="9"/>
  <c r="FN50" i="9"/>
  <c r="FO50" i="9"/>
  <c r="FQ50" i="9"/>
  <c r="FR50" i="9"/>
  <c r="FS50" i="9"/>
  <c r="FT50" i="9"/>
  <c r="FU50" i="9"/>
  <c r="FV50" i="9"/>
  <c r="FW50" i="9"/>
  <c r="FX50" i="9"/>
  <c r="FM51" i="9"/>
  <c r="FN51" i="9"/>
  <c r="FO51" i="9"/>
  <c r="FP51" i="9"/>
  <c r="FR51" i="9"/>
  <c r="FS51" i="9"/>
  <c r="FT51" i="9"/>
  <c r="FU51" i="9"/>
  <c r="FV51" i="9"/>
  <c r="FW51" i="9"/>
  <c r="FX51" i="9"/>
  <c r="FM52" i="9"/>
  <c r="FN52" i="9"/>
  <c r="FO52" i="9"/>
  <c r="FP52" i="9"/>
  <c r="FQ52" i="9"/>
  <c r="FS52" i="9"/>
  <c r="FT52" i="9"/>
  <c r="FU52" i="9"/>
  <c r="FV52" i="9"/>
  <c r="FW52" i="9"/>
  <c r="FX52" i="9"/>
  <c r="FM53" i="9"/>
  <c r="FN53" i="9"/>
  <c r="FO53" i="9"/>
  <c r="FP53" i="9"/>
  <c r="FQ53" i="9"/>
  <c r="FR53" i="9"/>
  <c r="FT53" i="9"/>
  <c r="FU53" i="9"/>
  <c r="FV53" i="9"/>
  <c r="FW53" i="9"/>
  <c r="FX53" i="9"/>
  <c r="FM54" i="9"/>
  <c r="FN54" i="9"/>
  <c r="FO54" i="9"/>
  <c r="FP54" i="9"/>
  <c r="FQ54" i="9"/>
  <c r="FR54" i="9"/>
  <c r="FS54" i="9"/>
  <c r="FU54" i="9"/>
  <c r="FV54" i="9"/>
  <c r="FW54" i="9"/>
  <c r="FX54" i="9"/>
  <c r="FM55" i="9"/>
  <c r="FN55" i="9"/>
  <c r="FO55" i="9"/>
  <c r="FP55" i="9"/>
  <c r="FQ55" i="9"/>
  <c r="FR55" i="9"/>
  <c r="FS55" i="9"/>
  <c r="FT55" i="9"/>
  <c r="FV55" i="9"/>
  <c r="FW55" i="9"/>
  <c r="FX55" i="9"/>
  <c r="FM56" i="9"/>
  <c r="FN56" i="9"/>
  <c r="FO56" i="9"/>
  <c r="FP56" i="9"/>
  <c r="FQ56" i="9"/>
  <c r="FR56" i="9"/>
  <c r="FS56" i="9"/>
  <c r="FT56" i="9"/>
  <c r="FU56" i="9"/>
  <c r="FW56" i="9"/>
  <c r="FX56" i="9"/>
  <c r="FM57" i="9"/>
  <c r="FN57" i="9"/>
  <c r="FO57" i="9"/>
  <c r="FP57" i="9"/>
  <c r="FQ57" i="9"/>
  <c r="FR57" i="9"/>
  <c r="FS57" i="9"/>
  <c r="FT57" i="9"/>
  <c r="FU57" i="9"/>
  <c r="FV57" i="9"/>
  <c r="FX57" i="9"/>
  <c r="FM58" i="9"/>
  <c r="FN58" i="9"/>
  <c r="FO58" i="9"/>
  <c r="FP58" i="9"/>
  <c r="FQ58" i="9"/>
  <c r="FR58" i="9"/>
  <c r="FS58" i="9"/>
  <c r="FT58" i="9"/>
  <c r="FU58" i="9"/>
  <c r="FV58" i="9"/>
  <c r="FW58" i="9"/>
  <c r="FM59" i="9"/>
  <c r="FN59" i="9"/>
  <c r="FO59" i="9"/>
  <c r="FP59" i="9"/>
  <c r="FQ59" i="9"/>
  <c r="FR59" i="9"/>
  <c r="FS59" i="9"/>
  <c r="FT59" i="9"/>
  <c r="FU59" i="9"/>
  <c r="FV59" i="9"/>
  <c r="FW59" i="9"/>
  <c r="FX59" i="9"/>
  <c r="FM60" i="9"/>
  <c r="FO60" i="9"/>
  <c r="FP60" i="9"/>
  <c r="FQ60" i="9"/>
  <c r="FR60" i="9"/>
  <c r="FS60" i="9"/>
  <c r="FT60" i="9"/>
  <c r="FU60" i="9"/>
  <c r="FV60" i="9"/>
  <c r="FW60" i="9"/>
  <c r="FX60" i="9"/>
  <c r="FM61" i="9"/>
  <c r="FN61" i="9"/>
  <c r="FO61" i="9"/>
  <c r="FP61" i="9"/>
  <c r="FQ61" i="9"/>
  <c r="FR61" i="9"/>
  <c r="FS61" i="9"/>
  <c r="FT61" i="9"/>
  <c r="FU61" i="9"/>
  <c r="FV61" i="9"/>
  <c r="FW61" i="9"/>
  <c r="FX61" i="9"/>
  <c r="FM62" i="9"/>
  <c r="FN62" i="9"/>
  <c r="FO62" i="9"/>
  <c r="FP62" i="9"/>
  <c r="FQ62" i="9"/>
  <c r="FR62" i="9"/>
  <c r="FS62" i="9"/>
  <c r="FT62" i="9"/>
  <c r="FU62" i="9"/>
  <c r="FV62" i="9"/>
  <c r="FW62" i="9"/>
  <c r="FX62" i="9"/>
  <c r="FM63" i="9"/>
  <c r="FN63" i="9"/>
  <c r="FO63" i="9"/>
  <c r="FP63" i="9"/>
  <c r="FQ63" i="9"/>
  <c r="FR63" i="9"/>
  <c r="FS63" i="9"/>
  <c r="FT63" i="9"/>
  <c r="FU63" i="9"/>
  <c r="FV63" i="9"/>
  <c r="FW63" i="9"/>
  <c r="FX63" i="9"/>
  <c r="FN64" i="9"/>
  <c r="FO64" i="9"/>
  <c r="FP64" i="9"/>
  <c r="FQ64" i="9"/>
  <c r="FS64" i="9"/>
  <c r="FT64" i="9"/>
  <c r="FU64" i="9"/>
  <c r="FV64" i="9"/>
  <c r="FW64" i="9"/>
  <c r="FX64" i="9"/>
  <c r="FM65" i="9"/>
  <c r="FO65" i="9"/>
  <c r="FP65" i="9"/>
  <c r="FQ65" i="9"/>
  <c r="FR65" i="9"/>
  <c r="FS65" i="9"/>
  <c r="FT65" i="9"/>
  <c r="FU65" i="9"/>
  <c r="FV65" i="9"/>
  <c r="FW65" i="9"/>
  <c r="FX65" i="9"/>
  <c r="FM66" i="9"/>
  <c r="FN66" i="9"/>
  <c r="FP66" i="9"/>
  <c r="FQ66" i="9"/>
  <c r="FR66" i="9"/>
  <c r="FS66" i="9"/>
  <c r="FT66" i="9"/>
  <c r="FU66" i="9"/>
  <c r="FV66" i="9"/>
  <c r="FW66" i="9"/>
  <c r="FX66" i="9"/>
  <c r="FM67" i="9"/>
  <c r="FN67" i="9"/>
  <c r="FO67" i="9"/>
  <c r="FP67" i="9"/>
  <c r="FQ67" i="9"/>
  <c r="FR67" i="9"/>
  <c r="FS67" i="9"/>
  <c r="FT67" i="9"/>
  <c r="FU67" i="9"/>
  <c r="FV67" i="9"/>
  <c r="FW67" i="9"/>
  <c r="FX67" i="9"/>
  <c r="FM68" i="9"/>
  <c r="FN68" i="9"/>
  <c r="FO68" i="9"/>
  <c r="FP68" i="9"/>
  <c r="FQ68" i="9"/>
  <c r="FR68" i="9"/>
  <c r="FS68" i="9"/>
  <c r="FT68" i="9"/>
  <c r="FU68" i="9"/>
  <c r="FV68" i="9"/>
  <c r="FW68" i="9"/>
  <c r="FX68" i="9"/>
  <c r="FM71" i="9"/>
  <c r="FN71" i="9"/>
  <c r="FO71" i="9"/>
  <c r="FP71" i="9"/>
  <c r="FQ71" i="9"/>
  <c r="FR71" i="9"/>
  <c r="FS71" i="9"/>
  <c r="FT71" i="9"/>
  <c r="FU71" i="9"/>
  <c r="FV71" i="9"/>
  <c r="FW71" i="9"/>
  <c r="FX71" i="9"/>
  <c r="FM72" i="9"/>
  <c r="FN72" i="9"/>
  <c r="FO72" i="9"/>
  <c r="FP72" i="9"/>
  <c r="FQ72" i="9"/>
  <c r="FR72" i="9"/>
  <c r="FS72" i="9"/>
  <c r="FT72" i="9"/>
  <c r="FU72" i="9"/>
  <c r="FV72" i="9"/>
  <c r="FW72" i="9"/>
  <c r="FX72" i="9"/>
  <c r="FM73" i="9"/>
  <c r="FN73" i="9"/>
  <c r="FO73" i="9"/>
  <c r="FP73" i="9"/>
  <c r="FQ73" i="9"/>
  <c r="FR73" i="9"/>
  <c r="FS73" i="9"/>
  <c r="FT73" i="9"/>
  <c r="FU73" i="9"/>
  <c r="FV73" i="9"/>
  <c r="FW73" i="9"/>
  <c r="FX73" i="9"/>
  <c r="FO74" i="9"/>
  <c r="FP74" i="9"/>
  <c r="FQ74" i="9"/>
  <c r="FR74" i="9"/>
  <c r="FS74" i="9"/>
  <c r="FT74" i="9"/>
  <c r="FU74" i="9"/>
  <c r="FV74" i="9"/>
  <c r="FW74" i="9"/>
  <c r="FX74" i="9"/>
  <c r="FM75" i="9"/>
  <c r="FN75" i="9"/>
  <c r="FO75" i="9"/>
  <c r="FP75" i="9"/>
  <c r="FQ75" i="9"/>
  <c r="FR75" i="9"/>
  <c r="FS75" i="9"/>
  <c r="FT75" i="9"/>
  <c r="FU75" i="9"/>
  <c r="FV75" i="9"/>
  <c r="FW75" i="9"/>
  <c r="FX75" i="9"/>
  <c r="FM76" i="9"/>
  <c r="FN76" i="9"/>
  <c r="FO76" i="9"/>
  <c r="FP76" i="9"/>
  <c r="FQ76" i="9"/>
  <c r="FR76" i="9"/>
  <c r="FS76" i="9"/>
  <c r="FT76" i="9"/>
  <c r="FU76" i="9"/>
  <c r="FV76" i="9"/>
  <c r="FW76" i="9"/>
  <c r="FX76" i="9"/>
  <c r="FM77" i="9"/>
  <c r="FN77" i="9"/>
  <c r="FO77" i="9"/>
  <c r="FP77" i="9"/>
  <c r="FQ77" i="9"/>
  <c r="FR77" i="9"/>
  <c r="FS77" i="9"/>
  <c r="FT77" i="9"/>
  <c r="FU77" i="9"/>
  <c r="FV77" i="9"/>
  <c r="FW77" i="9"/>
  <c r="FX77" i="9"/>
  <c r="FM78" i="9"/>
  <c r="FN78" i="9"/>
  <c r="FO78" i="9"/>
  <c r="FQ78" i="9"/>
  <c r="FR78" i="9"/>
  <c r="FS78" i="9"/>
  <c r="FT78" i="9"/>
  <c r="FU78" i="9"/>
  <c r="FV78" i="9"/>
  <c r="FX78" i="9"/>
  <c r="FM79" i="9"/>
  <c r="FN79" i="9"/>
  <c r="FO79" i="9"/>
  <c r="FP79" i="9"/>
  <c r="FQ79" i="9"/>
  <c r="FR79" i="9"/>
  <c r="FS79" i="9"/>
  <c r="FT79" i="9"/>
  <c r="FU79" i="9"/>
  <c r="FV79" i="9"/>
  <c r="FW79" i="9"/>
  <c r="FX79" i="9"/>
  <c r="FM80" i="9"/>
  <c r="FN80" i="9"/>
  <c r="FO80" i="9"/>
  <c r="FP80" i="9"/>
  <c r="FQ80" i="9"/>
  <c r="FR80" i="9"/>
  <c r="FS80" i="9"/>
  <c r="FT80" i="9"/>
  <c r="FU80" i="9"/>
  <c r="FV80" i="9"/>
  <c r="FW80" i="9"/>
  <c r="FX80" i="9"/>
  <c r="FO29" i="9"/>
  <c r="FP29" i="9"/>
  <c r="FQ29" i="9"/>
  <c r="FR29" i="9"/>
  <c r="FS29" i="9"/>
  <c r="FT29" i="9"/>
  <c r="FU29" i="9"/>
  <c r="FN21" i="9"/>
  <c r="FO21" i="9"/>
  <c r="FP21" i="9"/>
  <c r="FQ21" i="9"/>
  <c r="FR21" i="9"/>
  <c r="FS21" i="9"/>
  <c r="FT21" i="9"/>
  <c r="FU21" i="9"/>
  <c r="FV21" i="9"/>
  <c r="FW21" i="9"/>
  <c r="FX21" i="9"/>
  <c r="FN22" i="9"/>
  <c r="FO22" i="9"/>
  <c r="FP22" i="9"/>
  <c r="FQ22" i="9"/>
  <c r="FR22" i="9"/>
  <c r="FS22" i="9"/>
  <c r="FT22" i="9"/>
  <c r="FU22" i="9"/>
  <c r="FV22" i="9"/>
  <c r="FW22" i="9"/>
  <c r="FX22" i="9"/>
  <c r="FN23" i="9"/>
  <c r="FO23" i="9"/>
  <c r="FP23" i="9"/>
  <c r="FQ23" i="9"/>
  <c r="FR23" i="9"/>
  <c r="FS23" i="9"/>
  <c r="FT23" i="9"/>
  <c r="FU23" i="9"/>
  <c r="FV23" i="9"/>
  <c r="FW23" i="9"/>
  <c r="FX23" i="9"/>
  <c r="FN24" i="9"/>
  <c r="AJ27" i="9" s="1"/>
  <c r="FO24" i="9"/>
  <c r="AK27" i="9" s="1"/>
  <c r="FP24" i="9"/>
  <c r="AL27" i="9" s="1"/>
  <c r="FQ24" i="9"/>
  <c r="AM27" i="9" s="1"/>
  <c r="FR24" i="9"/>
  <c r="AN27" i="9" s="1"/>
  <c r="FS24" i="9"/>
  <c r="AO27" i="9" s="1"/>
  <c r="FT24" i="9"/>
  <c r="AP27" i="9" s="1"/>
  <c r="FU24" i="9"/>
  <c r="AQ27" i="9" s="1"/>
  <c r="FV24" i="9"/>
  <c r="AR27" i="9" s="1"/>
  <c r="FW24" i="9"/>
  <c r="AS27" i="9" s="1"/>
  <c r="FX24" i="9"/>
  <c r="AT27" i="9" s="1"/>
  <c r="FM23" i="9"/>
  <c r="FM22" i="9"/>
  <c r="AH72" i="9"/>
  <c r="AH73" i="9"/>
  <c r="AH74" i="9"/>
  <c r="AH75" i="9"/>
  <c r="AH76" i="9"/>
  <c r="FP78" i="9"/>
  <c r="AH79" i="9"/>
  <c r="AH80" i="9"/>
  <c r="AB68" i="9"/>
  <c r="FC68" i="9" s="1"/>
  <c r="AA68" i="9"/>
  <c r="LV68" i="9" s="1"/>
  <c r="X68" i="9"/>
  <c r="AB67" i="9"/>
  <c r="FC67" i="9" s="1"/>
  <c r="AA67" i="9"/>
  <c r="X67" i="9"/>
  <c r="AB66" i="9"/>
  <c r="FC66" i="9" s="1"/>
  <c r="AA66" i="9"/>
  <c r="X66" i="9"/>
  <c r="AB65" i="9"/>
  <c r="FC65" i="9" s="1"/>
  <c r="AA65" i="9"/>
  <c r="X65" i="9"/>
  <c r="AB64" i="9"/>
  <c r="FC64" i="9" s="1"/>
  <c r="AA64" i="9"/>
  <c r="X64" i="9"/>
  <c r="AB63" i="9"/>
  <c r="FC63" i="9" s="1"/>
  <c r="AA63" i="9"/>
  <c r="X63" i="9"/>
  <c r="AB62" i="9"/>
  <c r="FC62" i="9" s="1"/>
  <c r="AA62" i="9"/>
  <c r="X62" i="9"/>
  <c r="AB61" i="9"/>
  <c r="FC61" i="9" s="1"/>
  <c r="AA61" i="9"/>
  <c r="X61" i="9"/>
  <c r="AB60" i="9"/>
  <c r="FC60" i="9" s="1"/>
  <c r="AA60" i="9"/>
  <c r="X60" i="9"/>
  <c r="AB59" i="9"/>
  <c r="FC59" i="9" s="1"/>
  <c r="AA59" i="9"/>
  <c r="X59" i="9"/>
  <c r="AB58" i="9"/>
  <c r="FC58" i="9" s="1"/>
  <c r="AA58" i="9"/>
  <c r="X58" i="9"/>
  <c r="AB57" i="9"/>
  <c r="FC57" i="9" s="1"/>
  <c r="AA57" i="9"/>
  <c r="X57" i="9"/>
  <c r="AB56" i="9"/>
  <c r="FC56" i="9" s="1"/>
  <c r="AA56" i="9"/>
  <c r="X56" i="9"/>
  <c r="AB55" i="9"/>
  <c r="FC55" i="9" s="1"/>
  <c r="AA55" i="9"/>
  <c r="X55" i="9"/>
  <c r="AB54" i="9"/>
  <c r="FC54" i="9" s="1"/>
  <c r="AA54" i="9"/>
  <c r="X54" i="9"/>
  <c r="AB53" i="9"/>
  <c r="FC53" i="9" s="1"/>
  <c r="AA53" i="9"/>
  <c r="X53" i="9"/>
  <c r="AB52" i="9"/>
  <c r="FC52" i="9" s="1"/>
  <c r="AA52" i="9"/>
  <c r="X52" i="9"/>
  <c r="AB51" i="9"/>
  <c r="FC51" i="9" s="1"/>
  <c r="AA51" i="9"/>
  <c r="X51" i="9"/>
  <c r="AB50" i="9"/>
  <c r="FC50" i="9" s="1"/>
  <c r="AA50" i="9"/>
  <c r="X50" i="9"/>
  <c r="AB49" i="9"/>
  <c r="FC49" i="9" s="1"/>
  <c r="AA49" i="9"/>
  <c r="X49" i="9"/>
  <c r="AB48" i="9"/>
  <c r="FC48" i="9" s="1"/>
  <c r="AA48" i="9"/>
  <c r="X48" i="9"/>
  <c r="AB47" i="9"/>
  <c r="FC47" i="9" s="1"/>
  <c r="AA47" i="9"/>
  <c r="X47" i="9"/>
  <c r="AB46" i="9"/>
  <c r="FC46" i="9" s="1"/>
  <c r="AA46" i="9"/>
  <c r="X46" i="9"/>
  <c r="AB45" i="9"/>
  <c r="FC45" i="9" s="1"/>
  <c r="AA45" i="9"/>
  <c r="X45" i="9"/>
  <c r="AB44" i="9"/>
  <c r="FC44" i="9" s="1"/>
  <c r="AA44" i="9"/>
  <c r="X44" i="9"/>
  <c r="AB43" i="9"/>
  <c r="FC43" i="9" s="1"/>
  <c r="AA43" i="9"/>
  <c r="X43" i="9"/>
  <c r="AB42" i="9"/>
  <c r="FC42" i="9" s="1"/>
  <c r="AA42" i="9"/>
  <c r="X42" i="9"/>
  <c r="AB41" i="9"/>
  <c r="FC41" i="9" s="1"/>
  <c r="AA41" i="9"/>
  <c r="X41" i="9"/>
  <c r="AB40" i="9"/>
  <c r="FC40" i="9" s="1"/>
  <c r="AA40" i="9"/>
  <c r="X40" i="9"/>
  <c r="AB39" i="9"/>
  <c r="FC39" i="9" s="1"/>
  <c r="AA39" i="9"/>
  <c r="X39" i="9"/>
  <c r="AB38" i="9"/>
  <c r="FC38" i="9" s="1"/>
  <c r="AA38" i="9"/>
  <c r="X38" i="9"/>
  <c r="AB37" i="9"/>
  <c r="FC37" i="9" s="1"/>
  <c r="AA37" i="9"/>
  <c r="X37" i="9"/>
  <c r="AB36" i="9"/>
  <c r="FC36" i="9" s="1"/>
  <c r="AA36" i="9"/>
  <c r="X36" i="9"/>
  <c r="AB35" i="9"/>
  <c r="FC35" i="9" s="1"/>
  <c r="AA35" i="9"/>
  <c r="X35" i="9"/>
  <c r="AB34" i="9"/>
  <c r="FC34" i="9" s="1"/>
  <c r="AA34" i="9"/>
  <c r="X34" i="9"/>
  <c r="AB33" i="9"/>
  <c r="FC33" i="9" s="1"/>
  <c r="AA33" i="9"/>
  <c r="X33" i="9"/>
  <c r="AB32" i="9"/>
  <c r="FC32" i="9" s="1"/>
  <c r="AA32" i="9"/>
  <c r="X32" i="9"/>
  <c r="AB31" i="9"/>
  <c r="FC31" i="9" s="1"/>
  <c r="AA31" i="9"/>
  <c r="X31" i="9"/>
  <c r="AB30" i="9"/>
  <c r="FC30" i="9" s="1"/>
  <c r="AA30" i="9"/>
  <c r="X30" i="9"/>
  <c r="AB29" i="9"/>
  <c r="FC29" i="9" s="1"/>
  <c r="AA29" i="9"/>
  <c r="Y29" i="9"/>
  <c r="X29" i="9"/>
  <c r="FJ18" i="9"/>
  <c r="FJ17" i="9"/>
  <c r="FJ14" i="9" l="1"/>
  <c r="KH50" i="9"/>
  <c r="DU42" i="9" s="1"/>
  <c r="KH48" i="9"/>
  <c r="DU36" i="9" s="1"/>
  <c r="DU22" i="9"/>
  <c r="KO20" i="9"/>
  <c r="KO19" i="9"/>
  <c r="JL16" i="9"/>
  <c r="JM16" i="9"/>
  <c r="JN16" i="9"/>
  <c r="JJ16" i="9"/>
  <c r="JO16" i="9" s="1"/>
  <c r="JI19" i="9"/>
  <c r="IW127" i="9"/>
  <c r="IW125" i="9"/>
  <c r="JP16" i="9"/>
  <c r="JR16" i="9"/>
  <c r="JQ16" i="9"/>
  <c r="IW91" i="9"/>
  <c r="IW89" i="9"/>
  <c r="CK18" i="9"/>
  <c r="JI23" i="9"/>
  <c r="JI22" i="9"/>
  <c r="IW129" i="9"/>
  <c r="IW131" i="9" s="1"/>
  <c r="IW133" i="9" s="1"/>
  <c r="IW134" i="9" s="1"/>
  <c r="IW111" i="9"/>
  <c r="IW113" i="9" s="1"/>
  <c r="IW115" i="9" s="1"/>
  <c r="IW116" i="9" s="1"/>
  <c r="IW93" i="9"/>
  <c r="IW95" i="9" s="1"/>
  <c r="IW97" i="9" s="1"/>
  <c r="IW75" i="9"/>
  <c r="IW77" i="9" s="1"/>
  <c r="IW79" i="9" s="1"/>
  <c r="IW80" i="9" s="1"/>
  <c r="GF89" i="9"/>
  <c r="GF90" i="9"/>
  <c r="MD56" i="9"/>
  <c r="MD57" i="9"/>
  <c r="MD58" i="9"/>
  <c r="MD61" i="9" s="1"/>
  <c r="LZ50" i="9"/>
  <c r="LV29" i="9"/>
  <c r="LW29" i="9"/>
  <c r="LW30" i="9"/>
  <c r="LV30" i="9"/>
  <c r="LW31" i="9"/>
  <c r="LV31" i="9"/>
  <c r="LW32" i="9"/>
  <c r="LV32" i="9"/>
  <c r="LW33" i="9"/>
  <c r="LV33" i="9"/>
  <c r="LW34" i="9"/>
  <c r="LV34" i="9"/>
  <c r="LW35" i="9"/>
  <c r="LV35" i="9"/>
  <c r="LW36" i="9"/>
  <c r="LV36" i="9"/>
  <c r="LW37" i="9"/>
  <c r="LV37" i="9"/>
  <c r="LW38" i="9"/>
  <c r="LV38" i="9"/>
  <c r="LW39" i="9"/>
  <c r="LV39" i="9"/>
  <c r="LW40" i="9"/>
  <c r="LV40" i="9"/>
  <c r="LW41" i="9"/>
  <c r="LV41" i="9"/>
  <c r="LW42" i="9"/>
  <c r="LV42" i="9"/>
  <c r="LW43" i="9"/>
  <c r="LV43" i="9"/>
  <c r="LW44" i="9"/>
  <c r="LV44" i="9"/>
  <c r="LW45" i="9"/>
  <c r="LV45" i="9"/>
  <c r="LW46" i="9"/>
  <c r="LV46" i="9"/>
  <c r="LW47" i="9"/>
  <c r="LV47" i="9"/>
  <c r="LW48" i="9"/>
  <c r="LV48" i="9"/>
  <c r="LW49" i="9"/>
  <c r="LV49" i="9"/>
  <c r="LW50" i="9"/>
  <c r="LV50" i="9"/>
  <c r="LW51" i="9"/>
  <c r="LV51" i="9"/>
  <c r="LW52" i="9"/>
  <c r="LV52" i="9"/>
  <c r="LW53" i="9"/>
  <c r="LV53" i="9"/>
  <c r="LW54" i="9"/>
  <c r="LV54" i="9"/>
  <c r="LW55" i="9"/>
  <c r="LV55" i="9"/>
  <c r="LW56" i="9"/>
  <c r="LV56" i="9"/>
  <c r="LW57" i="9"/>
  <c r="LV57" i="9"/>
  <c r="LW58" i="9"/>
  <c r="LV58" i="9"/>
  <c r="LW59" i="9"/>
  <c r="LV59" i="9"/>
  <c r="LW60" i="9"/>
  <c r="LV60" i="9"/>
  <c r="LW61" i="9"/>
  <c r="LV61" i="9"/>
  <c r="LW62" i="9"/>
  <c r="LV62" i="9"/>
  <c r="LW63" i="9"/>
  <c r="LV63" i="9"/>
  <c r="LW64" i="9"/>
  <c r="LV64" i="9"/>
  <c r="LW65" i="9"/>
  <c r="LV65" i="9"/>
  <c r="LW66" i="9"/>
  <c r="LV66" i="9"/>
  <c r="LW67" i="9"/>
  <c r="LV67" i="9"/>
  <c r="FI29" i="9"/>
  <c r="EV29" i="9"/>
  <c r="LW68" i="9"/>
  <c r="FC82" i="9"/>
  <c r="FW78" i="9"/>
  <c r="FN74" i="9"/>
  <c r="FM74" i="9"/>
  <c r="FA29" i="9"/>
  <c r="EZ29" i="9"/>
  <c r="EV30" i="9"/>
  <c r="FA30" i="9"/>
  <c r="EZ30" i="9"/>
  <c r="EV31" i="9"/>
  <c r="FA31" i="9"/>
  <c r="EZ31" i="9"/>
  <c r="EV32" i="9"/>
  <c r="FA32" i="9"/>
  <c r="EZ32" i="9"/>
  <c r="EV33" i="9"/>
  <c r="FA33" i="9"/>
  <c r="EZ33" i="9"/>
  <c r="EV34" i="9"/>
  <c r="FA34" i="9"/>
  <c r="EZ34" i="9"/>
  <c r="EV35" i="9"/>
  <c r="FA35" i="9"/>
  <c r="EZ35" i="9"/>
  <c r="EV36" i="9"/>
  <c r="FA36" i="9"/>
  <c r="EZ36" i="9"/>
  <c r="EV37" i="9"/>
  <c r="FA37" i="9"/>
  <c r="EZ37" i="9"/>
  <c r="EV38" i="9"/>
  <c r="FA38" i="9"/>
  <c r="EZ38" i="9"/>
  <c r="EV39" i="9"/>
  <c r="FA39" i="9"/>
  <c r="EZ39" i="9"/>
  <c r="EV40" i="9"/>
  <c r="FA40" i="9"/>
  <c r="EZ40" i="9"/>
  <c r="EV41" i="9"/>
  <c r="FA41" i="9"/>
  <c r="EZ41" i="9"/>
  <c r="EV42" i="9"/>
  <c r="FA42" i="9"/>
  <c r="EZ42" i="9"/>
  <c r="EV43" i="9"/>
  <c r="FA43" i="9"/>
  <c r="EZ43" i="9"/>
  <c r="EV44" i="9"/>
  <c r="FA44" i="9"/>
  <c r="EZ44" i="9"/>
  <c r="EV45" i="9"/>
  <c r="FA45" i="9"/>
  <c r="EZ45" i="9"/>
  <c r="EV46" i="9"/>
  <c r="FA46" i="9"/>
  <c r="EZ46" i="9"/>
  <c r="EV47" i="9"/>
  <c r="FA47" i="9"/>
  <c r="EZ47" i="9"/>
  <c r="EV48" i="9"/>
  <c r="FA48" i="9"/>
  <c r="EZ48" i="9"/>
  <c r="EV49" i="9"/>
  <c r="FA49" i="9"/>
  <c r="EZ49" i="9"/>
  <c r="EV50" i="9"/>
  <c r="FA50" i="9"/>
  <c r="EZ50" i="9"/>
  <c r="EV51" i="9"/>
  <c r="FA51" i="9"/>
  <c r="EZ51" i="9"/>
  <c r="EV52" i="9"/>
  <c r="FA52" i="9"/>
  <c r="EZ52" i="9"/>
  <c r="EV53" i="9"/>
  <c r="FA53" i="9"/>
  <c r="EZ53" i="9"/>
  <c r="EV54" i="9"/>
  <c r="FA54" i="9"/>
  <c r="EZ54" i="9"/>
  <c r="EV55" i="9"/>
  <c r="FA55" i="9"/>
  <c r="EZ55" i="9"/>
  <c r="EV56" i="9"/>
  <c r="FA56" i="9"/>
  <c r="EZ56" i="9"/>
  <c r="EV57" i="9"/>
  <c r="FA57" i="9"/>
  <c r="EZ57" i="9"/>
  <c r="EV58" i="9"/>
  <c r="FA58" i="9"/>
  <c r="EZ58" i="9"/>
  <c r="EV59" i="9"/>
  <c r="FA59" i="9"/>
  <c r="EZ59" i="9"/>
  <c r="EV60" i="9"/>
  <c r="FA60" i="9"/>
  <c r="EZ60" i="9"/>
  <c r="EV61" i="9"/>
  <c r="FA61" i="9"/>
  <c r="EZ61" i="9"/>
  <c r="EV62" i="9"/>
  <c r="FA62" i="9"/>
  <c r="EZ62" i="9"/>
  <c r="EV63" i="9"/>
  <c r="FA63" i="9"/>
  <c r="EZ63" i="9"/>
  <c r="EV64" i="9"/>
  <c r="FA64" i="9"/>
  <c r="EZ64" i="9"/>
  <c r="EV65" i="9"/>
  <c r="FA65" i="9"/>
  <c r="EZ65" i="9"/>
  <c r="EV66" i="9"/>
  <c r="FA66" i="9"/>
  <c r="EZ66" i="9"/>
  <c r="EV67" i="9"/>
  <c r="FA67" i="9"/>
  <c r="EZ67" i="9"/>
  <c r="EV68" i="9"/>
  <c r="FA68" i="9"/>
  <c r="EZ68" i="9"/>
  <c r="FJ29" i="9"/>
  <c r="FK29" i="9"/>
  <c r="FJ30" i="9"/>
  <c r="FI30" i="9"/>
  <c r="FK30" i="9" s="1"/>
  <c r="FM30" i="9" s="1"/>
  <c r="FJ31" i="9"/>
  <c r="FI31" i="9"/>
  <c r="FK31" i="9" s="1"/>
  <c r="FM31" i="9" s="1"/>
  <c r="FJ32" i="9"/>
  <c r="FI32" i="9"/>
  <c r="FK32" i="9" s="1"/>
  <c r="FJ33" i="9"/>
  <c r="FI33" i="9"/>
  <c r="FK33" i="9" s="1"/>
  <c r="FN33" i="9" s="1"/>
  <c r="FJ34" i="9"/>
  <c r="FI34" i="9"/>
  <c r="FK34" i="9" s="1"/>
  <c r="FQ34" i="9" s="1"/>
  <c r="FJ35" i="9"/>
  <c r="FI35" i="9"/>
  <c r="FK35" i="9" s="1"/>
  <c r="FN35" i="9" s="1"/>
  <c r="FJ36" i="9"/>
  <c r="FI36" i="9"/>
  <c r="FK36" i="9" s="1"/>
  <c r="FO36" i="9" s="1"/>
  <c r="FJ37" i="9"/>
  <c r="FI37" i="9"/>
  <c r="FK37" i="9" s="1"/>
  <c r="FP37" i="9" s="1"/>
  <c r="FJ38" i="9"/>
  <c r="FI38" i="9"/>
  <c r="FK38" i="9" s="1"/>
  <c r="FJ39" i="9"/>
  <c r="FI39" i="9"/>
  <c r="FK39" i="9" s="1"/>
  <c r="FJ40" i="9"/>
  <c r="FI40" i="9"/>
  <c r="FK40" i="9" s="1"/>
  <c r="FJ41" i="9"/>
  <c r="FI41" i="9"/>
  <c r="FK41" i="9" s="1"/>
  <c r="FT41" i="9" s="1"/>
  <c r="FJ42" i="9"/>
  <c r="FI42" i="9"/>
  <c r="FK42" i="9" s="1"/>
  <c r="FJ43" i="9"/>
  <c r="FI43" i="9"/>
  <c r="FK43" i="9" s="1"/>
  <c r="FJ44" i="9"/>
  <c r="FI44" i="9"/>
  <c r="FK44" i="9" s="1"/>
  <c r="FJ45" i="9"/>
  <c r="FI45" i="9"/>
  <c r="FK45" i="9" s="1"/>
  <c r="FJ46" i="9"/>
  <c r="FI46" i="9"/>
  <c r="FK46" i="9" s="1"/>
  <c r="AH46" i="9" s="1"/>
  <c r="FJ47" i="9"/>
  <c r="FI47" i="9"/>
  <c r="FK47" i="9" s="1"/>
  <c r="FM47" i="9" s="1"/>
  <c r="FJ48" i="9"/>
  <c r="FI48" i="9"/>
  <c r="FK48" i="9" s="1"/>
  <c r="FN48" i="9" s="1"/>
  <c r="FJ49" i="9"/>
  <c r="FI49" i="9"/>
  <c r="FK49" i="9" s="1"/>
  <c r="FO49" i="9" s="1"/>
  <c r="FJ50" i="9"/>
  <c r="FI50" i="9"/>
  <c r="FK50" i="9" s="1"/>
  <c r="FP50" i="9" s="1"/>
  <c r="FJ51" i="9"/>
  <c r="FI51" i="9"/>
  <c r="FK51" i="9" s="1"/>
  <c r="FQ51" i="9" s="1"/>
  <c r="FJ52" i="9"/>
  <c r="FI52" i="9"/>
  <c r="FK52" i="9" s="1"/>
  <c r="FR52" i="9" s="1"/>
  <c r="FJ53" i="9"/>
  <c r="FI53" i="9"/>
  <c r="FK53" i="9" s="1"/>
  <c r="FS53" i="9" s="1"/>
  <c r="FJ54" i="9"/>
  <c r="FI54" i="9"/>
  <c r="FK54" i="9" s="1"/>
  <c r="FT54" i="9" s="1"/>
  <c r="FJ55" i="9"/>
  <c r="FI55" i="9"/>
  <c r="FK55" i="9" s="1"/>
  <c r="FU55" i="9" s="1"/>
  <c r="FJ56" i="9"/>
  <c r="FI56" i="9"/>
  <c r="FK56" i="9" s="1"/>
  <c r="FV56" i="9" s="1"/>
  <c r="FJ57" i="9"/>
  <c r="FI57" i="9"/>
  <c r="FK57" i="9" s="1"/>
  <c r="FW57" i="9" s="1"/>
  <c r="FJ58" i="9"/>
  <c r="FI58" i="9"/>
  <c r="FK58" i="9" s="1"/>
  <c r="FX58" i="9" s="1"/>
  <c r="FJ59" i="9"/>
  <c r="FI59" i="9"/>
  <c r="FK59" i="9" s="1"/>
  <c r="FJ60" i="9"/>
  <c r="FI60" i="9"/>
  <c r="FK60" i="9" s="1"/>
  <c r="FN60" i="9" s="1"/>
  <c r="FJ61" i="9"/>
  <c r="FI61" i="9"/>
  <c r="FK61" i="9" s="1"/>
  <c r="FJ62" i="9"/>
  <c r="FI62" i="9"/>
  <c r="FK62" i="9" s="1"/>
  <c r="FJ63" i="9"/>
  <c r="FI63" i="9"/>
  <c r="FK63" i="9" s="1"/>
  <c r="FJ64" i="9"/>
  <c r="FI64" i="9"/>
  <c r="FK64" i="9" s="1"/>
  <c r="FJ65" i="9"/>
  <c r="FI65" i="9"/>
  <c r="FK65" i="9" s="1"/>
  <c r="FN65" i="9" s="1"/>
  <c r="FJ66" i="9"/>
  <c r="FI66" i="9"/>
  <c r="FK66" i="9" s="1"/>
  <c r="FO66" i="9" s="1"/>
  <c r="FJ67" i="9"/>
  <c r="FI67" i="9"/>
  <c r="FK67" i="9" s="1"/>
  <c r="FJ68" i="9"/>
  <c r="FI68" i="9"/>
  <c r="FK68" i="9" s="1"/>
  <c r="IW98" i="9"/>
  <c r="FM24" i="9"/>
  <c r="AI27" i="9" s="1"/>
  <c r="FJ19" i="9"/>
  <c r="FM95" i="9"/>
  <c r="FM96" i="9" s="1"/>
  <c r="FX95" i="9"/>
  <c r="FX96" i="9" s="1"/>
  <c r="FW95" i="9"/>
  <c r="FW96" i="9" s="1"/>
  <c r="FV95" i="9"/>
  <c r="FV96" i="9" s="1"/>
  <c r="FU95" i="9"/>
  <c r="FU96" i="9" s="1"/>
  <c r="FT95" i="9"/>
  <c r="FT96" i="9" s="1"/>
  <c r="FS95" i="9"/>
  <c r="FS96" i="9" s="1"/>
  <c r="FR95" i="9"/>
  <c r="FR96" i="9" s="1"/>
  <c r="FQ95" i="9"/>
  <c r="FQ96" i="9" s="1"/>
  <c r="FP95" i="9"/>
  <c r="FP96" i="9" s="1"/>
  <c r="FO95" i="9"/>
  <c r="FO96" i="9" s="1"/>
  <c r="FN95" i="9"/>
  <c r="FN96" i="9" s="1"/>
  <c r="AH30" i="9"/>
  <c r="AH31" i="9"/>
  <c r="AH32" i="9"/>
  <c r="AH33" i="9"/>
  <c r="AH34" i="9"/>
  <c r="AH36" i="9"/>
  <c r="AH37" i="9"/>
  <c r="AH38" i="9"/>
  <c r="AH39" i="9"/>
  <c r="AH40" i="9"/>
  <c r="AH68" i="9"/>
  <c r="AH67" i="9"/>
  <c r="AH66" i="9"/>
  <c r="AH65" i="9"/>
  <c r="AH64" i="9"/>
  <c r="AH63" i="9"/>
  <c r="AH62" i="9"/>
  <c r="AH61" i="9"/>
  <c r="AH60" i="9"/>
  <c r="AH59" i="9"/>
  <c r="AH58" i="9"/>
  <c r="AH57" i="9"/>
  <c r="AH56" i="9"/>
  <c r="AH55" i="9"/>
  <c r="AH54" i="9"/>
  <c r="AH53" i="9"/>
  <c r="AH52" i="9"/>
  <c r="AH51" i="9"/>
  <c r="AH50" i="9"/>
  <c r="AH49" i="9"/>
  <c r="AH48" i="9"/>
  <c r="AH47" i="9"/>
  <c r="FJ24" i="9"/>
  <c r="C39" i="5"/>
  <c r="C40" i="5"/>
  <c r="C47" i="5"/>
  <c r="C48" i="5"/>
  <c r="C53" i="5"/>
  <c r="C54" i="5"/>
  <c r="FN32" i="9" l="1"/>
  <c r="FM32" i="9"/>
  <c r="FM64" i="9"/>
  <c r="FR64" i="9"/>
  <c r="AH45" i="9"/>
  <c r="FX45" i="9"/>
  <c r="AH44" i="9"/>
  <c r="FW44" i="9"/>
  <c r="AH43" i="9"/>
  <c r="FV43" i="9"/>
  <c r="AH42" i="9"/>
  <c r="FU42" i="9"/>
  <c r="FP40" i="9"/>
  <c r="FS40" i="9"/>
  <c r="FS39" i="9"/>
  <c r="FR39" i="9"/>
  <c r="FX38" i="9"/>
  <c r="FQ38" i="9"/>
  <c r="HF31" i="9"/>
  <c r="HF52" i="9"/>
  <c r="HF47" i="9"/>
  <c r="HF36" i="9"/>
  <c r="IV141" i="9"/>
  <c r="JJ22" i="9"/>
  <c r="JL22" i="9"/>
  <c r="JM22" i="9"/>
  <c r="JN22" i="9"/>
  <c r="JK22" i="9"/>
  <c r="JJ23" i="9"/>
  <c r="JL23" i="9"/>
  <c r="JM23" i="9"/>
  <c r="JN23" i="9"/>
  <c r="JK23" i="9"/>
  <c r="KO17" i="9"/>
  <c r="KO18" i="9"/>
  <c r="KR19" i="9"/>
  <c r="KP19" i="9"/>
  <c r="KQ19" i="9"/>
  <c r="KT19" i="9"/>
  <c r="KS19" i="9"/>
  <c r="KR20" i="9"/>
  <c r="KP20" i="9"/>
  <c r="KQ20" i="9"/>
  <c r="KT20" i="9"/>
  <c r="KS20" i="9"/>
  <c r="JJ19" i="9"/>
  <c r="JL19" i="9"/>
  <c r="JM19" i="9"/>
  <c r="JN19" i="9"/>
  <c r="JK19" i="9"/>
  <c r="EV82" i="9"/>
  <c r="IV139" i="9"/>
  <c r="CY32" i="9" s="1"/>
  <c r="IV138" i="9"/>
  <c r="CY28" i="9" s="1"/>
  <c r="IV140" i="9"/>
  <c r="CY43" i="9" s="1"/>
  <c r="JO19" i="9"/>
  <c r="JR19" i="9"/>
  <c r="JQ19" i="9"/>
  <c r="JP19" i="9"/>
  <c r="JO22" i="9"/>
  <c r="JR22" i="9"/>
  <c r="JQ22" i="9"/>
  <c r="JP22" i="9"/>
  <c r="JP23" i="9"/>
  <c r="JO23" i="9"/>
  <c r="JR23" i="9"/>
  <c r="JQ23" i="9"/>
  <c r="MD60" i="9"/>
  <c r="LW69" i="9"/>
  <c r="MC87" i="9"/>
  <c r="MF49" i="9"/>
  <c r="MD63" i="9" s="1"/>
  <c r="ME50" i="9"/>
  <c r="MC88" i="9" s="1"/>
  <c r="MF50" i="9"/>
  <c r="AC85" i="9"/>
  <c r="LV69" i="9"/>
  <c r="AC84" i="9" s="1"/>
  <c r="AC86" i="9" s="1"/>
  <c r="AC88" i="9" s="1"/>
  <c r="AH41" i="9"/>
  <c r="FS41" i="9"/>
  <c r="FX25" i="9"/>
  <c r="EZ82" i="9"/>
  <c r="FA82" i="9"/>
  <c r="FG83" i="9"/>
  <c r="AH35" i="9"/>
  <c r="FT35" i="9"/>
  <c r="FM97" i="9"/>
  <c r="FX40" i="9"/>
  <c r="FX82" i="9" s="1"/>
  <c r="FW39" i="9"/>
  <c r="FV38" i="9"/>
  <c r="FU37" i="9"/>
  <c r="FU82" i="9" s="1"/>
  <c r="FT36" i="9"/>
  <c r="FT82" i="9" s="1"/>
  <c r="FS35" i="9"/>
  <c r="FS82" i="9" s="1"/>
  <c r="FR34" i="9"/>
  <c r="FR82" i="9" s="1"/>
  <c r="FQ33" i="9"/>
  <c r="FQ82" i="9" s="1"/>
  <c r="FP32" i="9"/>
  <c r="FP82" i="9" s="1"/>
  <c r="FO31" i="9"/>
  <c r="FO82" i="9" s="1"/>
  <c r="FN30" i="9"/>
  <c r="AI116" i="4"/>
  <c r="AI115" i="4"/>
  <c r="AI114" i="4"/>
  <c r="AI113" i="4"/>
  <c r="AI112" i="4"/>
  <c r="AI111" i="4"/>
  <c r="AI110" i="4"/>
  <c r="AI109" i="4"/>
  <c r="AI108" i="4"/>
  <c r="AI107" i="4"/>
  <c r="AI106" i="4"/>
  <c r="AI105" i="4"/>
  <c r="AI104" i="4"/>
  <c r="AI103" i="4"/>
  <c r="AI102" i="4"/>
  <c r="AI101" i="4"/>
  <c r="AI100" i="4"/>
  <c r="AI99" i="4"/>
  <c r="AI98" i="4"/>
  <c r="AI97" i="4"/>
  <c r="AI96" i="4"/>
  <c r="AI95" i="4"/>
  <c r="AI94" i="4"/>
  <c r="AI93" i="4"/>
  <c r="AI92" i="4"/>
  <c r="AI91" i="4"/>
  <c r="AI90" i="4"/>
  <c r="AI89" i="4"/>
  <c r="AI88" i="4"/>
  <c r="AI87" i="4"/>
  <c r="AI86" i="4"/>
  <c r="AI85" i="4"/>
  <c r="AI84" i="4"/>
  <c r="AI83" i="4"/>
  <c r="AI82" i="4"/>
  <c r="AI81" i="4"/>
  <c r="AI80" i="4"/>
  <c r="AI79" i="4"/>
  <c r="AI78" i="4"/>
  <c r="AI77" i="4"/>
  <c r="AI76" i="4"/>
  <c r="AI75" i="4"/>
  <c r="AI74" i="4"/>
  <c r="AI73" i="4"/>
  <c r="AI72" i="4"/>
  <c r="AI71" i="4"/>
  <c r="AI70" i="4"/>
  <c r="AI69" i="4"/>
  <c r="AI68" i="4"/>
  <c r="AI67" i="4"/>
  <c r="AI66" i="4"/>
  <c r="AI65" i="4"/>
  <c r="AI64" i="4"/>
  <c r="AI63" i="4"/>
  <c r="AI62" i="4"/>
  <c r="AI61" i="4"/>
  <c r="AI60" i="4"/>
  <c r="AI59" i="4"/>
  <c r="AI58" i="4"/>
  <c r="AI57" i="4"/>
  <c r="AI56" i="4"/>
  <c r="AI55" i="4"/>
  <c r="AI54" i="4"/>
  <c r="AI53" i="4"/>
  <c r="AI52" i="4"/>
  <c r="AI51" i="4"/>
  <c r="AI50" i="4"/>
  <c r="AI49" i="4"/>
  <c r="AI48" i="4"/>
  <c r="AI47" i="4"/>
  <c r="AI46" i="4"/>
  <c r="AI45" i="4"/>
  <c r="AI44" i="4"/>
  <c r="AI43" i="4"/>
  <c r="AI42" i="4"/>
  <c r="AI41" i="4"/>
  <c r="AI40" i="4"/>
  <c r="AI39" i="4"/>
  <c r="AI38" i="4"/>
  <c r="X29" i="4"/>
  <c r="AI84" i="9" l="1"/>
  <c r="CY47" i="9"/>
  <c r="JI21" i="9" s="1"/>
  <c r="KV20" i="9"/>
  <c r="KW20" i="9"/>
  <c r="KX20" i="9"/>
  <c r="KU20" i="9"/>
  <c r="KV19" i="9"/>
  <c r="KW19" i="9"/>
  <c r="KX19" i="9"/>
  <c r="KU19" i="9"/>
  <c r="KR18" i="9"/>
  <c r="KS18" i="9"/>
  <c r="KT18" i="9"/>
  <c r="KQ18" i="9"/>
  <c r="KP18" i="9"/>
  <c r="KR17" i="9"/>
  <c r="KR22" i="9" s="1"/>
  <c r="KS17" i="9"/>
  <c r="KS22" i="9" s="1"/>
  <c r="KT17" i="9"/>
  <c r="KT22" i="9" s="1"/>
  <c r="KQ17" i="9"/>
  <c r="KQ22" i="9" s="1"/>
  <c r="KP17" i="9"/>
  <c r="JI20" i="9"/>
  <c r="JI17" i="9"/>
  <c r="JI18" i="9"/>
  <c r="MD64" i="9"/>
  <c r="MD88" i="9"/>
  <c r="MD87" i="9"/>
  <c r="MD70" i="9"/>
  <c r="MD82" i="9"/>
  <c r="MC70" i="9"/>
  <c r="ME79" i="9"/>
  <c r="AJ84" i="9"/>
  <c r="AK84" i="9"/>
  <c r="AL84" i="9"/>
  <c r="AM84" i="9"/>
  <c r="AN84" i="9"/>
  <c r="AO84" i="9"/>
  <c r="AP84" i="9"/>
  <c r="AQ84" i="9"/>
  <c r="AR84" i="9"/>
  <c r="AS84" i="9"/>
  <c r="AT84" i="9"/>
  <c r="AO83" i="9"/>
  <c r="AP83" i="9"/>
  <c r="AQ83" i="9"/>
  <c r="AT83" i="9"/>
  <c r="AK83" i="9"/>
  <c r="AL83" i="9"/>
  <c r="AM83" i="9"/>
  <c r="AN83" i="9"/>
  <c r="FV29" i="9"/>
  <c r="FW29" i="9"/>
  <c r="FV82" i="9"/>
  <c r="AR83" i="9" s="1"/>
  <c r="FW82" i="9"/>
  <c r="AS83" i="9" s="1"/>
  <c r="AH29" i="9"/>
  <c r="FN29" i="9"/>
  <c r="FN82" i="9"/>
  <c r="AJ83" i="9" s="1"/>
  <c r="FM29" i="9"/>
  <c r="FM82" i="9" s="1"/>
  <c r="AI83" i="9" s="1"/>
  <c r="FX91" i="9"/>
  <c r="FX100" i="9" s="1"/>
  <c r="FW91" i="9"/>
  <c r="FW100" i="9" s="1"/>
  <c r="FV91" i="9"/>
  <c r="FV100" i="9" s="1"/>
  <c r="FU91" i="9"/>
  <c r="FU100" i="9" s="1"/>
  <c r="FT91" i="9"/>
  <c r="FT100" i="9" s="1"/>
  <c r="FS91" i="9"/>
  <c r="FS100" i="9" s="1"/>
  <c r="FR91" i="9"/>
  <c r="FR100" i="9" s="1"/>
  <c r="FQ91" i="9"/>
  <c r="FQ100" i="9" s="1"/>
  <c r="FP91" i="9"/>
  <c r="FP100" i="9" s="1"/>
  <c r="FO91" i="9"/>
  <c r="FO100" i="9" s="1"/>
  <c r="FN91" i="9"/>
  <c r="FN100" i="9" s="1"/>
  <c r="AB76" i="4"/>
  <c r="AD76" i="4"/>
  <c r="AB77" i="4"/>
  <c r="AG77" i="4" s="1"/>
  <c r="AD77" i="4"/>
  <c r="AB78" i="4"/>
  <c r="AG78" i="4" s="1"/>
  <c r="AD78" i="4"/>
  <c r="AB79" i="4"/>
  <c r="AG79" i="4" s="1"/>
  <c r="AD79" i="4"/>
  <c r="AB80" i="4"/>
  <c r="AG80" i="4" s="1"/>
  <c r="AD80" i="4"/>
  <c r="AB81" i="4"/>
  <c r="AG81" i="4" s="1"/>
  <c r="AD81" i="4"/>
  <c r="AB82" i="4"/>
  <c r="AG82" i="4" s="1"/>
  <c r="AD82" i="4"/>
  <c r="AB83" i="4"/>
  <c r="AG83" i="4" s="1"/>
  <c r="AD83" i="4"/>
  <c r="AB84" i="4"/>
  <c r="AG84" i="4" s="1"/>
  <c r="AD84" i="4"/>
  <c r="AB85" i="4"/>
  <c r="AG85" i="4" s="1"/>
  <c r="AD85" i="4"/>
  <c r="AB86" i="4"/>
  <c r="AG86" i="4" s="1"/>
  <c r="AD86" i="4"/>
  <c r="AB87" i="4"/>
  <c r="AG87" i="4" s="1"/>
  <c r="AD87" i="4"/>
  <c r="AB88" i="4"/>
  <c r="AG88" i="4" s="1"/>
  <c r="AD88" i="4"/>
  <c r="AB89" i="4"/>
  <c r="AG89" i="4" s="1"/>
  <c r="AD89" i="4"/>
  <c r="AB90" i="4"/>
  <c r="AG90" i="4" s="1"/>
  <c r="AD90" i="4"/>
  <c r="AB91" i="4"/>
  <c r="AG91" i="4" s="1"/>
  <c r="AD91" i="4"/>
  <c r="AB92" i="4"/>
  <c r="AG92" i="4" s="1"/>
  <c r="AD92" i="4"/>
  <c r="AB93" i="4"/>
  <c r="AG93" i="4" s="1"/>
  <c r="AD93" i="4"/>
  <c r="AB94" i="4"/>
  <c r="AG94" i="4" s="1"/>
  <c r="AD94" i="4"/>
  <c r="AB95" i="4"/>
  <c r="AG95" i="4" s="1"/>
  <c r="AD95" i="4"/>
  <c r="AB96" i="4"/>
  <c r="AG96" i="4" s="1"/>
  <c r="AD96" i="4"/>
  <c r="AB97" i="4"/>
  <c r="AG97" i="4" s="1"/>
  <c r="AD97" i="4"/>
  <c r="AB98" i="4"/>
  <c r="AG98" i="4" s="1"/>
  <c r="AD98" i="4"/>
  <c r="AB99" i="4"/>
  <c r="AG99" i="4" s="1"/>
  <c r="AD99" i="4"/>
  <c r="AB100" i="4"/>
  <c r="AG100" i="4" s="1"/>
  <c r="AD100" i="4"/>
  <c r="AB101" i="4"/>
  <c r="AG101" i="4" s="1"/>
  <c r="AD101" i="4"/>
  <c r="AB102" i="4"/>
  <c r="AG102" i="4" s="1"/>
  <c r="AD102" i="4"/>
  <c r="AB103" i="4"/>
  <c r="AG103" i="4" s="1"/>
  <c r="AD103" i="4"/>
  <c r="AB104" i="4"/>
  <c r="AG104" i="4" s="1"/>
  <c r="AD104" i="4"/>
  <c r="AB105" i="4"/>
  <c r="AG105" i="4" s="1"/>
  <c r="AD105" i="4"/>
  <c r="AB106" i="4"/>
  <c r="AG106" i="4" s="1"/>
  <c r="AD106" i="4"/>
  <c r="AB107" i="4"/>
  <c r="AG107" i="4" s="1"/>
  <c r="AD107" i="4"/>
  <c r="AB108" i="4"/>
  <c r="AG108" i="4" s="1"/>
  <c r="AD108" i="4"/>
  <c r="AB109" i="4"/>
  <c r="AG109" i="4" s="1"/>
  <c r="AD109" i="4"/>
  <c r="AB110" i="4"/>
  <c r="AG110" i="4" s="1"/>
  <c r="AD110" i="4"/>
  <c r="AB111" i="4"/>
  <c r="AG111" i="4" s="1"/>
  <c r="AD111" i="4"/>
  <c r="AB112" i="4"/>
  <c r="AG112" i="4" s="1"/>
  <c r="AD112" i="4"/>
  <c r="AB113" i="4"/>
  <c r="AG113" i="4" s="1"/>
  <c r="AD113" i="4"/>
  <c r="AB114" i="4"/>
  <c r="AG114" i="4" s="1"/>
  <c r="AD114" i="4"/>
  <c r="AB115" i="4"/>
  <c r="AG115" i="4" s="1"/>
  <c r="AD115" i="4"/>
  <c r="E30" i="4"/>
  <c r="F168" i="4"/>
  <c r="AB26" i="4" s="1"/>
  <c r="F30" i="4"/>
  <c r="AB116" i="4"/>
  <c r="AG116" i="4" s="1"/>
  <c r="AB75" i="4"/>
  <c r="AB74" i="4"/>
  <c r="AB73" i="4"/>
  <c r="AB72" i="4"/>
  <c r="AB71" i="4"/>
  <c r="AB70" i="4"/>
  <c r="AB69" i="4"/>
  <c r="AB68" i="4"/>
  <c r="AB67" i="4"/>
  <c r="AB66" i="4"/>
  <c r="AB65" i="4"/>
  <c r="AB64" i="4"/>
  <c r="AB63" i="4"/>
  <c r="AB62" i="4"/>
  <c r="AB61" i="4"/>
  <c r="AB60" i="4"/>
  <c r="AB59" i="4"/>
  <c r="AB58" i="4"/>
  <c r="AB57" i="4"/>
  <c r="AB56" i="4"/>
  <c r="AB55" i="4"/>
  <c r="AB54" i="4"/>
  <c r="AB53" i="4"/>
  <c r="AB52" i="4"/>
  <c r="AB51" i="4"/>
  <c r="AB50" i="4"/>
  <c r="AB49" i="4"/>
  <c r="AB48" i="4"/>
  <c r="AB47" i="4"/>
  <c r="AB46" i="4"/>
  <c r="AB45" i="4"/>
  <c r="AB44" i="4"/>
  <c r="AB43" i="4"/>
  <c r="AB42" i="4"/>
  <c r="AB41" i="4"/>
  <c r="AB40" i="4"/>
  <c r="AT40" i="4" s="1"/>
  <c r="AB39" i="4"/>
  <c r="AB38" i="4"/>
  <c r="AB37" i="4"/>
  <c r="F169" i="4"/>
  <c r="AE26" i="4" s="1"/>
  <c r="D192" i="4"/>
  <c r="F160"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4" i="4"/>
  <c r="AD75" i="4"/>
  <c r="AD116" i="4"/>
  <c r="F150" i="4"/>
  <c r="AC27" i="4"/>
  <c r="AB27" i="4"/>
  <c r="AC23" i="4"/>
  <c r="AE23" i="4"/>
  <c r="F198" i="4"/>
  <c r="C99" i="5"/>
  <c r="C59" i="5"/>
  <c r="C16" i="5"/>
  <c r="C17" i="5" s="1"/>
  <c r="C19" i="5"/>
  <c r="C20" i="5"/>
  <c r="C23" i="5"/>
  <c r="C24" i="5"/>
  <c r="C29" i="5"/>
  <c r="C30" i="5"/>
  <c r="Q36" i="4"/>
  <c r="F185" i="4"/>
  <c r="E195" i="4"/>
  <c r="R26" i="4"/>
  <c r="F179" i="4"/>
  <c r="B36" i="4" s="1"/>
  <c r="M34" i="8"/>
  <c r="F178" i="4"/>
  <c r="AM34" i="4"/>
  <c r="AJ34" i="4"/>
  <c r="B50" i="8"/>
  <c r="B51" i="8"/>
  <c r="B52" i="8"/>
  <c r="B53" i="8"/>
  <c r="B54" i="8"/>
  <c r="B55" i="8"/>
  <c r="B56" i="8"/>
  <c r="B57" i="8"/>
  <c r="B58" i="8"/>
  <c r="B59" i="8"/>
  <c r="B60" i="8"/>
  <c r="B61" i="8"/>
  <c r="B62" i="8"/>
  <c r="C123" i="7"/>
  <c r="C5" i="7"/>
  <c r="C64" i="7"/>
  <c r="AI37" i="4"/>
  <c r="AB28" i="4"/>
  <c r="AD28" i="4"/>
  <c r="JJ21" i="9" l="1"/>
  <c r="JL21" i="9"/>
  <c r="JM21" i="9"/>
  <c r="JN21" i="9"/>
  <c r="JK21" i="9"/>
  <c r="FQ89" i="9"/>
  <c r="AM85" i="9" s="1"/>
  <c r="MH82" i="9"/>
  <c r="JP21" i="9"/>
  <c r="JO21" i="9"/>
  <c r="JR21" i="9"/>
  <c r="JQ21" i="9"/>
  <c r="KT24" i="9"/>
  <c r="KV17" i="9"/>
  <c r="KW17" i="9"/>
  <c r="KX17" i="9"/>
  <c r="KU17" i="9"/>
  <c r="KV18" i="9"/>
  <c r="KW18" i="9"/>
  <c r="KX18" i="9"/>
  <c r="KU18" i="9"/>
  <c r="KU22" i="9"/>
  <c r="KX22" i="9"/>
  <c r="KX26" i="9" s="1"/>
  <c r="KX28" i="9" s="1"/>
  <c r="KW22" i="9"/>
  <c r="KW26" i="9" s="1"/>
  <c r="KW28" i="9" s="1"/>
  <c r="KV22" i="9"/>
  <c r="KV26" i="9" s="1"/>
  <c r="KV28" i="9" s="1"/>
  <c r="JJ18" i="9"/>
  <c r="JL18" i="9"/>
  <c r="JM18" i="9"/>
  <c r="JN18" i="9"/>
  <c r="JK18" i="9"/>
  <c r="JJ17" i="9"/>
  <c r="JL17" i="9"/>
  <c r="JM17" i="9"/>
  <c r="JN17" i="9"/>
  <c r="JK17" i="9"/>
  <c r="JJ20" i="9"/>
  <c r="JL20" i="9"/>
  <c r="JM20" i="9"/>
  <c r="JN20" i="9"/>
  <c r="JK20" i="9"/>
  <c r="JO18" i="9"/>
  <c r="JP18" i="9"/>
  <c r="JR18" i="9"/>
  <c r="JQ18" i="9"/>
  <c r="JO17" i="9"/>
  <c r="JP17" i="9"/>
  <c r="JR17" i="9"/>
  <c r="JQ17" i="9"/>
  <c r="JO20" i="9"/>
  <c r="JR20" i="9"/>
  <c r="JQ20" i="9"/>
  <c r="JP20" i="9"/>
  <c r="MF83" i="9"/>
  <c r="MG82" i="9"/>
  <c r="MC82" i="9"/>
  <c r="ME83" i="9" s="1"/>
  <c r="ME78" i="9"/>
  <c r="MC73" i="9" s="1"/>
  <c r="MC94" i="9" s="1"/>
  <c r="FM89" i="9"/>
  <c r="AI85" i="9" s="1"/>
  <c r="FN89" i="9"/>
  <c r="AJ85" i="9" s="1"/>
  <c r="FX89" i="9"/>
  <c r="AT85" i="9" s="1"/>
  <c r="FW89" i="9"/>
  <c r="AS85" i="9" s="1"/>
  <c r="FV89" i="9"/>
  <c r="AR85" i="9" s="1"/>
  <c r="FU89" i="9"/>
  <c r="AQ85" i="9" s="1"/>
  <c r="FT89" i="9"/>
  <c r="AP85" i="9" s="1"/>
  <c r="FS89" i="9"/>
  <c r="AO85" i="9" s="1"/>
  <c r="FR89" i="9"/>
  <c r="AN85" i="9" s="1"/>
  <c r="FP89" i="9"/>
  <c r="AL85" i="9" s="1"/>
  <c r="FO89" i="9"/>
  <c r="AK85" i="9" s="1"/>
  <c r="FM91" i="9"/>
  <c r="FM100" i="9" s="1"/>
  <c r="F171" i="4"/>
  <c r="H171" i="4" s="1"/>
  <c r="N171" i="4" s="1"/>
  <c r="F165" i="4"/>
  <c r="H165" i="4" s="1"/>
  <c r="F167" i="4"/>
  <c r="H167" i="4" s="1"/>
  <c r="N167" i="4" s="1"/>
  <c r="E194" i="4"/>
  <c r="F170" i="4" s="1"/>
  <c r="AT54" i="4"/>
  <c r="AT74" i="4"/>
  <c r="AT66" i="4"/>
  <c r="AT70" i="4"/>
  <c r="AT116" i="4"/>
  <c r="AT72" i="4"/>
  <c r="AT60" i="4"/>
  <c r="AT61" i="4"/>
  <c r="AT62" i="4"/>
  <c r="AT48" i="4"/>
  <c r="AT56" i="4"/>
  <c r="AT42" i="4"/>
  <c r="AT50" i="4"/>
  <c r="AT58" i="4"/>
  <c r="AT64" i="4"/>
  <c r="AC116" i="4"/>
  <c r="AT52" i="4"/>
  <c r="AT46" i="4"/>
  <c r="AT44" i="4"/>
  <c r="AT38" i="4"/>
  <c r="AT68" i="4"/>
  <c r="AD26" i="4"/>
  <c r="AB29" i="4" s="1"/>
  <c r="S26" i="4" s="1"/>
  <c r="AC26" i="4"/>
  <c r="AC28" i="4" s="1"/>
  <c r="F188" i="4"/>
  <c r="C18" i="5"/>
  <c r="C21" i="5" s="1"/>
  <c r="AC48" i="4"/>
  <c r="F154" i="4"/>
  <c r="H154" i="4" s="1"/>
  <c r="AC57" i="4"/>
  <c r="F163" i="4"/>
  <c r="F153" i="4"/>
  <c r="AC71" i="4"/>
  <c r="AC47" i="4"/>
  <c r="AT49" i="4"/>
  <c r="AT53" i="4"/>
  <c r="AT55" i="4"/>
  <c r="AT57" i="4"/>
  <c r="AC56" i="4"/>
  <c r="AT71" i="4"/>
  <c r="AC72" i="4"/>
  <c r="AB35" i="4"/>
  <c r="AC64" i="4"/>
  <c r="AT43" i="4"/>
  <c r="AT115" i="4"/>
  <c r="AT113" i="4"/>
  <c r="AT111" i="4"/>
  <c r="AT37" i="4"/>
  <c r="AC37" i="4"/>
  <c r="AE37" i="4" s="1"/>
  <c r="AT39" i="4"/>
  <c r="AC39" i="4"/>
  <c r="AE39" i="4" s="1"/>
  <c r="AC38" i="4"/>
  <c r="AT41" i="4"/>
  <c r="AC41" i="4"/>
  <c r="AV41" i="4" s="1"/>
  <c r="AT45" i="4"/>
  <c r="AC45" i="4"/>
  <c r="AT47" i="4"/>
  <c r="AC46" i="4"/>
  <c r="AC50" i="4"/>
  <c r="AT51" i="4"/>
  <c r="AC51" i="4"/>
  <c r="AC53" i="4"/>
  <c r="AC54" i="4"/>
  <c r="AC55" i="4"/>
  <c r="AC58" i="4"/>
  <c r="AT59" i="4"/>
  <c r="AC59" i="4"/>
  <c r="AC61" i="4"/>
  <c r="AT63" i="4"/>
  <c r="AC62" i="4"/>
  <c r="AH62" i="4" s="1"/>
  <c r="AC63" i="4"/>
  <c r="AT65" i="4"/>
  <c r="AC66" i="4"/>
  <c r="AT67" i="4"/>
  <c r="AC67" i="4"/>
  <c r="AT69" i="4"/>
  <c r="AC69" i="4"/>
  <c r="AC70" i="4"/>
  <c r="AT73" i="4"/>
  <c r="AC73" i="4"/>
  <c r="AT75" i="4"/>
  <c r="AC74" i="4"/>
  <c r="AT114" i="4"/>
  <c r="AT112" i="4"/>
  <c r="AC44" i="4"/>
  <c r="AC42" i="4"/>
  <c r="AC40" i="4"/>
  <c r="AC75" i="4"/>
  <c r="AC65" i="4"/>
  <c r="AH65" i="4" s="1"/>
  <c r="AC49" i="4"/>
  <c r="AC43" i="4"/>
  <c r="AC68" i="4"/>
  <c r="AC60" i="4"/>
  <c r="AC52" i="4"/>
  <c r="AD35" i="4"/>
  <c r="AT110" i="4"/>
  <c r="AT109" i="4"/>
  <c r="AT108" i="4"/>
  <c r="AT107" i="4"/>
  <c r="AT106" i="4"/>
  <c r="AT105" i="4"/>
  <c r="AT104" i="4"/>
  <c r="AT103" i="4"/>
  <c r="AT102" i="4"/>
  <c r="AT101" i="4"/>
  <c r="AT100" i="4"/>
  <c r="AT99" i="4"/>
  <c r="AT98" i="4"/>
  <c r="AT97" i="4"/>
  <c r="AT96" i="4"/>
  <c r="AT95" i="4"/>
  <c r="AT94" i="4"/>
  <c r="AT93" i="4"/>
  <c r="AT92" i="4"/>
  <c r="AT91" i="4"/>
  <c r="AT90" i="4"/>
  <c r="AT89" i="4"/>
  <c r="AT88" i="4"/>
  <c r="AT87" i="4"/>
  <c r="AT86" i="4"/>
  <c r="AT85" i="4"/>
  <c r="AT84" i="4"/>
  <c r="AT83" i="4"/>
  <c r="AT82" i="4"/>
  <c r="AT81" i="4"/>
  <c r="AT80" i="4"/>
  <c r="AT79" i="4"/>
  <c r="AT78" i="4"/>
  <c r="AT77" i="4"/>
  <c r="AT76" i="4"/>
  <c r="AC115" i="4"/>
  <c r="AC114" i="4"/>
  <c r="AC113" i="4"/>
  <c r="AH113" i="4" s="1"/>
  <c r="AC112" i="4"/>
  <c r="AC111" i="4"/>
  <c r="AC110" i="4"/>
  <c r="AC109" i="4"/>
  <c r="AC108" i="4"/>
  <c r="AC107" i="4"/>
  <c r="AC106" i="4"/>
  <c r="AC105" i="4"/>
  <c r="AH105" i="4" s="1"/>
  <c r="AC104" i="4"/>
  <c r="AC103" i="4"/>
  <c r="AH103" i="4" s="1"/>
  <c r="AC102" i="4"/>
  <c r="AC101" i="4"/>
  <c r="AH101" i="4" s="1"/>
  <c r="AC100" i="4"/>
  <c r="AC99" i="4"/>
  <c r="AC98" i="4"/>
  <c r="AC97" i="4"/>
  <c r="AC96" i="4"/>
  <c r="AC95" i="4"/>
  <c r="AH95" i="4" s="1"/>
  <c r="AC94" i="4"/>
  <c r="AC93" i="4"/>
  <c r="AC92" i="4"/>
  <c r="AC91" i="4"/>
  <c r="AC90" i="4"/>
  <c r="AC89" i="4"/>
  <c r="AF89" i="4" s="1"/>
  <c r="AC88" i="4"/>
  <c r="AC87" i="4"/>
  <c r="AC86" i="4"/>
  <c r="AC85" i="4"/>
  <c r="AC84" i="4"/>
  <c r="AC83" i="4"/>
  <c r="AC81" i="4"/>
  <c r="AC80" i="4"/>
  <c r="AC79" i="4"/>
  <c r="AC78" i="4"/>
  <c r="AC77" i="4"/>
  <c r="AC76" i="4"/>
  <c r="AC82" i="4"/>
  <c r="F159" i="4"/>
  <c r="F156" i="4"/>
  <c r="F164" i="4"/>
  <c r="H164" i="4" s="1"/>
  <c r="N164" i="4" s="1"/>
  <c r="F155" i="4"/>
  <c r="F158" i="4"/>
  <c r="F166" i="4"/>
  <c r="B29" i="4" s="1"/>
  <c r="F187" i="4"/>
  <c r="F186" i="4"/>
  <c r="AE28" i="4"/>
  <c r="AI89" i="9" l="1"/>
  <c r="MD73" i="9"/>
  <c r="KX24" i="9"/>
  <c r="KU30" i="9" s="1"/>
  <c r="KU32" i="9" s="1"/>
  <c r="DV47" i="9" s="1"/>
  <c r="KU26" i="9"/>
  <c r="KU28" i="9" s="1"/>
  <c r="DV46" i="9" s="1"/>
  <c r="JQ25" i="9"/>
  <c r="JR25" i="9"/>
  <c r="JP25" i="9"/>
  <c r="JO25" i="9"/>
  <c r="JK25" i="9"/>
  <c r="JN25" i="9"/>
  <c r="JR29" i="9" s="1"/>
  <c r="JR31" i="9" s="1"/>
  <c r="JM25" i="9"/>
  <c r="JQ29" i="9" s="1"/>
  <c r="JQ31" i="9" s="1"/>
  <c r="JL25" i="9"/>
  <c r="JP29" i="9" s="1"/>
  <c r="JP31" i="9" s="1"/>
  <c r="JO29" i="9"/>
  <c r="JO31" i="9" s="1"/>
  <c r="CZ60" i="9" s="1"/>
  <c r="JR27" i="9"/>
  <c r="MD94" i="9"/>
  <c r="MC91" i="9"/>
  <c r="MC90" i="9"/>
  <c r="MC93" i="9" s="1"/>
  <c r="MD91" i="9"/>
  <c r="MD90" i="9"/>
  <c r="MD93" i="9" s="1"/>
  <c r="ME80" i="9"/>
  <c r="FM92" i="9"/>
  <c r="FQ102" i="9" s="1"/>
  <c r="H170" i="4"/>
  <c r="N170" i="4" s="1"/>
  <c r="H28" i="4"/>
  <c r="M165" i="4"/>
  <c r="B27" i="4"/>
  <c r="F27" i="4"/>
  <c r="H163" i="4"/>
  <c r="M163" i="4" s="1"/>
  <c r="H166" i="4"/>
  <c r="M166" i="4" s="1"/>
  <c r="H158" i="4"/>
  <c r="M158" i="4" s="1"/>
  <c r="H155" i="4"/>
  <c r="M155" i="4" s="1"/>
  <c r="O25" i="4"/>
  <c r="H153" i="4"/>
  <c r="M153" i="4" s="1"/>
  <c r="B25" i="4"/>
  <c r="H159" i="4"/>
  <c r="N159" i="4" s="1"/>
  <c r="H156" i="4"/>
  <c r="N156" i="4" s="1"/>
  <c r="AH107" i="4"/>
  <c r="AJ107" i="4" s="1"/>
  <c r="AE107" i="4"/>
  <c r="AF107" i="4"/>
  <c r="AH115" i="4"/>
  <c r="AE115" i="4"/>
  <c r="AJ115" i="4"/>
  <c r="AJ82" i="4"/>
  <c r="AH82" i="4"/>
  <c r="AL82" i="4" s="1"/>
  <c r="AF82" i="4"/>
  <c r="AE82" i="4"/>
  <c r="AE84" i="4"/>
  <c r="AF84" i="4"/>
  <c r="AH84" i="4"/>
  <c r="AJ84" i="4" s="1"/>
  <c r="AE88" i="4"/>
  <c r="AF88" i="4"/>
  <c r="AH88" i="4"/>
  <c r="AF92" i="4"/>
  <c r="AE92" i="4"/>
  <c r="AH92" i="4"/>
  <c r="AL92" i="4" s="1"/>
  <c r="AE96" i="4"/>
  <c r="AF96" i="4"/>
  <c r="AH96" i="4"/>
  <c r="AL96" i="4" s="1"/>
  <c r="AH100" i="4"/>
  <c r="AJ100" i="4" s="1"/>
  <c r="AE100" i="4"/>
  <c r="AF100" i="4"/>
  <c r="AF104" i="4"/>
  <c r="AH104" i="4"/>
  <c r="AE104" i="4"/>
  <c r="AH108" i="4"/>
  <c r="AJ108" i="4" s="1"/>
  <c r="AE108" i="4"/>
  <c r="AF108" i="4"/>
  <c r="AF112" i="4"/>
  <c r="AE112" i="4"/>
  <c r="AH112" i="4"/>
  <c r="AL112" i="4" s="1"/>
  <c r="AH52" i="4"/>
  <c r="AF52" i="4"/>
  <c r="AE52" i="4"/>
  <c r="Z49" i="4"/>
  <c r="AF49" i="4"/>
  <c r="AH49" i="4"/>
  <c r="AE49" i="4"/>
  <c r="AE42" i="4"/>
  <c r="AF42" i="4"/>
  <c r="AH42" i="4"/>
  <c r="AH74" i="4"/>
  <c r="AE74" i="4"/>
  <c r="AF74" i="4"/>
  <c r="AE70" i="4"/>
  <c r="AF70" i="4"/>
  <c r="AH70" i="4"/>
  <c r="AJ70" i="4"/>
  <c r="AH53" i="4"/>
  <c r="AE53" i="4"/>
  <c r="AF53" i="4"/>
  <c r="AH46" i="4"/>
  <c r="AF46" i="4"/>
  <c r="AE46" i="4"/>
  <c r="AV47" i="4"/>
  <c r="AH47" i="4"/>
  <c r="AE47" i="4"/>
  <c r="AF47" i="4"/>
  <c r="AE41" i="4"/>
  <c r="AF62" i="4"/>
  <c r="AH79" i="4"/>
  <c r="AL79" i="4" s="1"/>
  <c r="AF79" i="4"/>
  <c r="AE81" i="4"/>
  <c r="AF81" i="4"/>
  <c r="AH81" i="4"/>
  <c r="AE83" i="4"/>
  <c r="AH85" i="4"/>
  <c r="AH87" i="4"/>
  <c r="AJ87" i="4" s="1"/>
  <c r="AE93" i="4"/>
  <c r="AF101" i="4"/>
  <c r="AE101" i="4"/>
  <c r="AL103" i="4"/>
  <c r="AL115" i="4"/>
  <c r="AH99" i="4"/>
  <c r="AH76" i="4"/>
  <c r="AE76" i="4"/>
  <c r="AF76" i="4"/>
  <c r="AE97" i="4"/>
  <c r="AH97" i="4"/>
  <c r="AL97" i="4" s="1"/>
  <c r="AH109" i="4"/>
  <c r="AJ109" i="4" s="1"/>
  <c r="AE109" i="4"/>
  <c r="AH60" i="4"/>
  <c r="AJ60" i="4"/>
  <c r="AE60" i="4"/>
  <c r="AF60" i="4"/>
  <c r="AJ65" i="4"/>
  <c r="AF65" i="4"/>
  <c r="AL65" i="4"/>
  <c r="AO65" i="4" s="1"/>
  <c r="AE65" i="4"/>
  <c r="AE44" i="4"/>
  <c r="AF44" i="4"/>
  <c r="AH44" i="4"/>
  <c r="AV69" i="4"/>
  <c r="AF69" i="4"/>
  <c r="AE69" i="4"/>
  <c r="AE66" i="4"/>
  <c r="AH66" i="4"/>
  <c r="AF66" i="4"/>
  <c r="AF58" i="4"/>
  <c r="AE58" i="4"/>
  <c r="AH58" i="4"/>
  <c r="AV51" i="4"/>
  <c r="AE51" i="4"/>
  <c r="AF51" i="4"/>
  <c r="AH51" i="4"/>
  <c r="AF72" i="4"/>
  <c r="AE72" i="4"/>
  <c r="AH72" i="4"/>
  <c r="Z71" i="4"/>
  <c r="AF71" i="4"/>
  <c r="AE71" i="4"/>
  <c r="AH71" i="4"/>
  <c r="Z57" i="4"/>
  <c r="AH57" i="4"/>
  <c r="AF57" i="4"/>
  <c r="AE57" i="4"/>
  <c r="AH41" i="4"/>
  <c r="AE62" i="4"/>
  <c r="AL62" i="4"/>
  <c r="AE77" i="4"/>
  <c r="AF77" i="4"/>
  <c r="AE79" i="4"/>
  <c r="AJ81" i="4"/>
  <c r="AH83" i="4"/>
  <c r="AL83" i="4" s="1"/>
  <c r="AF87" i="4"/>
  <c r="AE91" i="4"/>
  <c r="AE99" i="4"/>
  <c r="AJ103" i="4"/>
  <c r="AL109" i="4"/>
  <c r="AH69" i="4"/>
  <c r="AH78" i="4"/>
  <c r="AJ78" i="4" s="1"/>
  <c r="AE78" i="4"/>
  <c r="AF78" i="4"/>
  <c r="AF95" i="4"/>
  <c r="AE95" i="4"/>
  <c r="AF111" i="4"/>
  <c r="AH111" i="4"/>
  <c r="AL111" i="4" s="1"/>
  <c r="AH80" i="4"/>
  <c r="AJ80" i="4" s="1"/>
  <c r="AE80" i="4"/>
  <c r="AF80" i="4"/>
  <c r="AJ105" i="4"/>
  <c r="AF105" i="4"/>
  <c r="AL105" i="4"/>
  <c r="AJ113" i="4"/>
  <c r="AE113" i="4"/>
  <c r="AL113" i="4"/>
  <c r="AF113" i="4"/>
  <c r="AE86" i="4"/>
  <c r="AF86" i="4"/>
  <c r="AH86" i="4"/>
  <c r="AL86" i="4" s="1"/>
  <c r="AE90" i="4"/>
  <c r="AF90" i="4"/>
  <c r="AH90" i="4"/>
  <c r="AF94" i="4"/>
  <c r="AE94" i="4"/>
  <c r="AH94" i="4"/>
  <c r="AL94" i="4" s="1"/>
  <c r="AH98" i="4"/>
  <c r="AJ98" i="4" s="1"/>
  <c r="AF98" i="4"/>
  <c r="AE98" i="4"/>
  <c r="AF102" i="4"/>
  <c r="AE102" i="4"/>
  <c r="AH102" i="4"/>
  <c r="AL102" i="4" s="1"/>
  <c r="AH106" i="4"/>
  <c r="AL106" i="4" s="1"/>
  <c r="AE106" i="4"/>
  <c r="AF106" i="4"/>
  <c r="AE110" i="4"/>
  <c r="AF110" i="4"/>
  <c r="AH110" i="4"/>
  <c r="AJ110" i="4" s="1"/>
  <c r="AH114" i="4"/>
  <c r="AE114" i="4"/>
  <c r="AF114" i="4"/>
  <c r="AH68" i="4"/>
  <c r="AE68" i="4"/>
  <c r="AF68" i="4"/>
  <c r="Z75" i="4"/>
  <c r="AE75" i="4"/>
  <c r="AH75" i="4"/>
  <c r="AF75" i="4"/>
  <c r="Z73" i="4"/>
  <c r="AH73" i="4"/>
  <c r="AE73" i="4"/>
  <c r="AV61" i="4"/>
  <c r="AE61" i="4"/>
  <c r="AH61" i="4"/>
  <c r="AF61" i="4"/>
  <c r="AF55" i="4"/>
  <c r="AH55" i="4"/>
  <c r="AE55" i="4"/>
  <c r="AH45" i="4"/>
  <c r="AE45" i="4"/>
  <c r="AF45" i="4"/>
  <c r="AF116" i="4"/>
  <c r="AH116" i="4"/>
  <c r="AE116" i="4"/>
  <c r="AJ62" i="4"/>
  <c r="AH77" i="4"/>
  <c r="AJ77" i="4"/>
  <c r="AF85" i="4"/>
  <c r="AL85" i="4"/>
  <c r="AE89" i="4"/>
  <c r="AH91" i="4"/>
  <c r="AJ91" i="4" s="1"/>
  <c r="AF93" i="4"/>
  <c r="AL101" i="4"/>
  <c r="AE111" i="4"/>
  <c r="AF73" i="4"/>
  <c r="AO103" i="4"/>
  <c r="AE103" i="4"/>
  <c r="AF103" i="4"/>
  <c r="AF43" i="4"/>
  <c r="AE43" i="4"/>
  <c r="AH43" i="4"/>
  <c r="AF40" i="4"/>
  <c r="AH40" i="4"/>
  <c r="Z67" i="4"/>
  <c r="AH67" i="4"/>
  <c r="AF67" i="4"/>
  <c r="AE67" i="4"/>
  <c r="AF63" i="4"/>
  <c r="AH63" i="4"/>
  <c r="AE63" i="4"/>
  <c r="AH59" i="4"/>
  <c r="AE59" i="4"/>
  <c r="AF59" i="4"/>
  <c r="AL59" i="4"/>
  <c r="AE54" i="4"/>
  <c r="AH54" i="4"/>
  <c r="AF54" i="4"/>
  <c r="AF50" i="4"/>
  <c r="AH50" i="4"/>
  <c r="AE50" i="4"/>
  <c r="AH39" i="4"/>
  <c r="AL39" i="4" s="1"/>
  <c r="AF39" i="4"/>
  <c r="AE64" i="4"/>
  <c r="AF64" i="4"/>
  <c r="AH64" i="4"/>
  <c r="AE56" i="4"/>
  <c r="AF56" i="4"/>
  <c r="AH56" i="4"/>
  <c r="AE48" i="4"/>
  <c r="AF48" i="4"/>
  <c r="AH48" i="4"/>
  <c r="AE40" i="4"/>
  <c r="AF41" i="4"/>
  <c r="AJ79" i="4"/>
  <c r="AF83" i="4"/>
  <c r="AE85" i="4"/>
  <c r="AE87" i="4"/>
  <c r="AH89" i="4"/>
  <c r="AF91" i="4"/>
  <c r="AH93" i="4"/>
  <c r="AL95" i="4"/>
  <c r="AJ95" i="4"/>
  <c r="AF97" i="4"/>
  <c r="AJ97" i="4"/>
  <c r="AF99" i="4"/>
  <c r="AJ101" i="4"/>
  <c r="AO101" i="4" s="1"/>
  <c r="AE105" i="4"/>
  <c r="AF109" i="4"/>
  <c r="AF115" i="4"/>
  <c r="AH38" i="4"/>
  <c r="AE38" i="4"/>
  <c r="AF38" i="4"/>
  <c r="Z116" i="4"/>
  <c r="AV116" i="4"/>
  <c r="AH37" i="4"/>
  <c r="N154" i="4"/>
  <c r="AV48" i="4"/>
  <c r="Z48" i="4"/>
  <c r="C22" i="5"/>
  <c r="C25" i="5" s="1"/>
  <c r="A25" i="4"/>
  <c r="AV57" i="4"/>
  <c r="Z38" i="4"/>
  <c r="AV38" i="4"/>
  <c r="AV37" i="4"/>
  <c r="AC35" i="4"/>
  <c r="AV71" i="4"/>
  <c r="AV75" i="4"/>
  <c r="AV67" i="4"/>
  <c r="AV63" i="4"/>
  <c r="Z77" i="4"/>
  <c r="AV77" i="4"/>
  <c r="Z111" i="4"/>
  <c r="Z113" i="4"/>
  <c r="Z115" i="4"/>
  <c r="Z78" i="4"/>
  <c r="AV78" i="4"/>
  <c r="Z80" i="4"/>
  <c r="AV80" i="4"/>
  <c r="Z83" i="4"/>
  <c r="AV83" i="4"/>
  <c r="Z85" i="4"/>
  <c r="AV85" i="4"/>
  <c r="Z87" i="4"/>
  <c r="AV87" i="4"/>
  <c r="Z89" i="4"/>
  <c r="AV89" i="4"/>
  <c r="Z91" i="4"/>
  <c r="AV91" i="4"/>
  <c r="Z93" i="4"/>
  <c r="AV93" i="4"/>
  <c r="Z95" i="4"/>
  <c r="AV95" i="4"/>
  <c r="Z97" i="4"/>
  <c r="AV97" i="4"/>
  <c r="Z99" i="4"/>
  <c r="AV99" i="4"/>
  <c r="Z101" i="4"/>
  <c r="AV101" i="4"/>
  <c r="Z103" i="4"/>
  <c r="AV103" i="4"/>
  <c r="Z105" i="4"/>
  <c r="AV105" i="4"/>
  <c r="Z60" i="4"/>
  <c r="AV60" i="4"/>
  <c r="Z43" i="4"/>
  <c r="AV43" i="4"/>
  <c r="Z65" i="4"/>
  <c r="AV65" i="4"/>
  <c r="Z40" i="4"/>
  <c r="AV40" i="4"/>
  <c r="Z42" i="4"/>
  <c r="AV42" i="4"/>
  <c r="AV111" i="4"/>
  <c r="AV115" i="4"/>
  <c r="AV113" i="4"/>
  <c r="Z70" i="4"/>
  <c r="AV70" i="4"/>
  <c r="Z66" i="4"/>
  <c r="AV66" i="4"/>
  <c r="Z53" i="4"/>
  <c r="Z50" i="4"/>
  <c r="AV50" i="4"/>
  <c r="Z41" i="4"/>
  <c r="Z39" i="4"/>
  <c r="Z72" i="4"/>
  <c r="AV72" i="4"/>
  <c r="Z56" i="4"/>
  <c r="AV56" i="4"/>
  <c r="Z47" i="4"/>
  <c r="Z82" i="4"/>
  <c r="Z76" i="4"/>
  <c r="Z79" i="4"/>
  <c r="Z81" i="4"/>
  <c r="Z84" i="4"/>
  <c r="Z86" i="4"/>
  <c r="Z88" i="4"/>
  <c r="Z90" i="4"/>
  <c r="Z92" i="4"/>
  <c r="Z94" i="4"/>
  <c r="Z96" i="4"/>
  <c r="Z98" i="4"/>
  <c r="Z100" i="4"/>
  <c r="Z102" i="4"/>
  <c r="Z104" i="4"/>
  <c r="Z106" i="4"/>
  <c r="Z107" i="4"/>
  <c r="Z108" i="4"/>
  <c r="Z109" i="4"/>
  <c r="Z110" i="4"/>
  <c r="Z112" i="4"/>
  <c r="Z114" i="4"/>
  <c r="Z52" i="4"/>
  <c r="AV52" i="4"/>
  <c r="Z68" i="4"/>
  <c r="AV68" i="4"/>
  <c r="Z44" i="4"/>
  <c r="AV44" i="4"/>
  <c r="Z74" i="4"/>
  <c r="AV74" i="4"/>
  <c r="Z69" i="4"/>
  <c r="Z63" i="4"/>
  <c r="Z62" i="4"/>
  <c r="AV62" i="4"/>
  <c r="Z61" i="4"/>
  <c r="Z59" i="4"/>
  <c r="Z58" i="4"/>
  <c r="AV58" i="4"/>
  <c r="Z55" i="4"/>
  <c r="AV55" i="4"/>
  <c r="Z54" i="4"/>
  <c r="AV54" i="4"/>
  <c r="Z51" i="4"/>
  <c r="Z46" i="4"/>
  <c r="AV46" i="4"/>
  <c r="Z45" i="4"/>
  <c r="AV45" i="4"/>
  <c r="Z64" i="4"/>
  <c r="AV64" i="4"/>
  <c r="AV73" i="4"/>
  <c r="AV76" i="4"/>
  <c r="AV79" i="4"/>
  <c r="AV81" i="4"/>
  <c r="AV82" i="4"/>
  <c r="AV84" i="4"/>
  <c r="AV86" i="4"/>
  <c r="AV88" i="4"/>
  <c r="AV90" i="4"/>
  <c r="AV92" i="4"/>
  <c r="AV94" i="4"/>
  <c r="AV96" i="4"/>
  <c r="AV98" i="4"/>
  <c r="AV100" i="4"/>
  <c r="AV102" i="4"/>
  <c r="AV104" i="4"/>
  <c r="AV106" i="4"/>
  <c r="AV107" i="4"/>
  <c r="AV108" i="4"/>
  <c r="AV109" i="4"/>
  <c r="AV110" i="4"/>
  <c r="AV112" i="4"/>
  <c r="AV114" i="4"/>
  <c r="AV49" i="4"/>
  <c r="AV39" i="4"/>
  <c r="AV59" i="4"/>
  <c r="AV53" i="4"/>
  <c r="X35" i="4" a="1"/>
  <c r="X35" i="4" s="1"/>
  <c r="G32" i="4" s="1"/>
  <c r="AF37" i="4"/>
  <c r="Z37" i="4"/>
  <c r="AW32" i="4"/>
  <c r="AC29" i="4"/>
  <c r="T26" i="4" s="1"/>
  <c r="AI95" i="9" l="1"/>
  <c r="AM95" i="9" s="1"/>
  <c r="DP58" i="9"/>
  <c r="DP55" i="9"/>
  <c r="DP57" i="9"/>
  <c r="DV57" i="9" s="1"/>
  <c r="JN27" i="9"/>
  <c r="JO33" i="9" s="1"/>
  <c r="JO35" i="9" s="1"/>
  <c r="CZ61" i="9" s="1"/>
  <c r="FM107" i="9"/>
  <c r="AI91" i="9" s="1"/>
  <c r="AL91" i="9" s="1"/>
  <c r="FM102" i="9"/>
  <c r="AL76" i="4"/>
  <c r="AL75" i="4"/>
  <c r="AL74" i="4"/>
  <c r="AL73" i="4"/>
  <c r="AL72" i="4"/>
  <c r="AL71" i="4"/>
  <c r="AJ69" i="4"/>
  <c r="AL68" i="4"/>
  <c r="AJ67" i="4"/>
  <c r="AL66" i="4"/>
  <c r="AL64" i="4"/>
  <c r="AL61" i="4"/>
  <c r="AL60" i="4"/>
  <c r="AJ59" i="4"/>
  <c r="AJ58" i="4"/>
  <c r="AL57" i="4"/>
  <c r="AL55" i="4"/>
  <c r="AJ54" i="4"/>
  <c r="AL53" i="4"/>
  <c r="AL52" i="4"/>
  <c r="AL51" i="4"/>
  <c r="AL50" i="4"/>
  <c r="AJ49" i="4"/>
  <c r="H30" i="4"/>
  <c r="N150" i="4"/>
  <c r="M150" i="4"/>
  <c r="AJ48" i="4"/>
  <c r="Y51" i="4"/>
  <c r="B51" i="4" s="1"/>
  <c r="AJ44" i="4"/>
  <c r="AL47" i="4"/>
  <c r="AJ46" i="4"/>
  <c r="AL38" i="4"/>
  <c r="AJ42" i="4"/>
  <c r="AJ39" i="4"/>
  <c r="AM39" i="4" s="1"/>
  <c r="AN39" i="4" s="1"/>
  <c r="AJ43" i="4"/>
  <c r="AJ50" i="4"/>
  <c r="AO50" i="4" s="1"/>
  <c r="AL108" i="4"/>
  <c r="AK108" i="4" s="1"/>
  <c r="AO60" i="4"/>
  <c r="AL54" i="4"/>
  <c r="AK54" i="4" s="1"/>
  <c r="AL110" i="4"/>
  <c r="AK110" i="4" s="1"/>
  <c r="AJ86" i="4"/>
  <c r="AK86" i="4" s="1"/>
  <c r="AO59" i="4"/>
  <c r="AJ73" i="4"/>
  <c r="AO73" i="4" s="1"/>
  <c r="AJ75" i="4"/>
  <c r="AK75" i="4" s="1"/>
  <c r="AL98" i="4"/>
  <c r="AM98" i="4" s="1"/>
  <c r="AN98" i="4" s="1"/>
  <c r="AL58" i="4"/>
  <c r="AK58" i="4" s="1"/>
  <c r="AL44" i="4"/>
  <c r="AJ76" i="4"/>
  <c r="AO76" i="4" s="1"/>
  <c r="AJ47" i="4"/>
  <c r="AL46" i="4"/>
  <c r="AL107" i="4"/>
  <c r="AK107" i="4" s="1"/>
  <c r="AO97" i="4"/>
  <c r="AJ55" i="4"/>
  <c r="AK55" i="4" s="1"/>
  <c r="AJ52" i="4"/>
  <c r="AK52" i="4" s="1"/>
  <c r="AJ64" i="4"/>
  <c r="AO64" i="4" s="1"/>
  <c r="AO55" i="4"/>
  <c r="AL42" i="4"/>
  <c r="AJ96" i="4"/>
  <c r="AK96" i="4" s="1"/>
  <c r="AO75" i="4"/>
  <c r="AL100" i="4"/>
  <c r="AK100" i="4" s="1"/>
  <c r="AL84" i="4"/>
  <c r="AM84" i="4" s="1"/>
  <c r="AN84" i="4" s="1"/>
  <c r="AO107" i="4"/>
  <c r="AK109" i="4"/>
  <c r="AM109" i="4"/>
  <c r="AO109" i="4"/>
  <c r="AM54" i="4"/>
  <c r="AN54" i="4" s="1"/>
  <c r="AO54" i="4"/>
  <c r="AM110" i="4"/>
  <c r="AN110" i="4" s="1"/>
  <c r="AK95" i="4"/>
  <c r="AM95" i="4"/>
  <c r="AJ63" i="4"/>
  <c r="AL63" i="4"/>
  <c r="AL67" i="4"/>
  <c r="AO67" i="4" s="1"/>
  <c r="AL40" i="4"/>
  <c r="AK62" i="4"/>
  <c r="AM62" i="4"/>
  <c r="AL45" i="4"/>
  <c r="AJ106" i="4"/>
  <c r="AJ102" i="4"/>
  <c r="AO102" i="4" s="1"/>
  <c r="AO86" i="4"/>
  <c r="AJ66" i="4"/>
  <c r="AO66" i="4" s="1"/>
  <c r="AL69" i="4"/>
  <c r="AK69" i="4" s="1"/>
  <c r="AJ99" i="4"/>
  <c r="AO105" i="4"/>
  <c r="AL99" i="4"/>
  <c r="AJ83" i="4"/>
  <c r="AL70" i="4"/>
  <c r="AK70" i="4" s="1"/>
  <c r="AO108" i="4"/>
  <c r="AJ88" i="4"/>
  <c r="AO82" i="4"/>
  <c r="AJ85" i="4"/>
  <c r="AJ90" i="4"/>
  <c r="AJ72" i="4"/>
  <c r="AJ51" i="4"/>
  <c r="AO51" i="4" s="1"/>
  <c r="AO95" i="4"/>
  <c r="AO85" i="4"/>
  <c r="AN62" i="4"/>
  <c r="AL49" i="4"/>
  <c r="AM49" i="4" s="1"/>
  <c r="AJ92" i="4"/>
  <c r="AK115" i="4"/>
  <c r="AM115" i="4"/>
  <c r="AN115" i="4" s="1"/>
  <c r="AM50" i="4"/>
  <c r="AN50" i="4" s="1"/>
  <c r="AJ40" i="4"/>
  <c r="AJ116" i="4"/>
  <c r="AL48" i="4"/>
  <c r="AM64" i="4"/>
  <c r="AN64" i="4" s="1"/>
  <c r="AK59" i="4"/>
  <c r="AM59" i="4"/>
  <c r="AN59" i="4" s="1"/>
  <c r="AJ45" i="4"/>
  <c r="AJ61" i="4"/>
  <c r="AJ68" i="4"/>
  <c r="AO68" i="4" s="1"/>
  <c r="AJ114" i="4"/>
  <c r="AJ94" i="4"/>
  <c r="AK113" i="4"/>
  <c r="AM113" i="4"/>
  <c r="AN113" i="4" s="1"/>
  <c r="AK105" i="4"/>
  <c r="AM105" i="4"/>
  <c r="AN105" i="4" s="1"/>
  <c r="AK103" i="4"/>
  <c r="AM103" i="4"/>
  <c r="AN103" i="4" s="1"/>
  <c r="AO62" i="4"/>
  <c r="AJ41" i="4"/>
  <c r="AJ57" i="4"/>
  <c r="AJ71" i="4"/>
  <c r="AN109" i="4"/>
  <c r="AN95" i="4"/>
  <c r="AL91" i="4"/>
  <c r="AK91" i="4" s="1"/>
  <c r="AL41" i="4"/>
  <c r="AM70" i="4"/>
  <c r="AJ74" i="4"/>
  <c r="AO52" i="4"/>
  <c r="AJ112" i="4"/>
  <c r="AJ104" i="4"/>
  <c r="AO96" i="4"/>
  <c r="AO92" i="4"/>
  <c r="AL88" i="4"/>
  <c r="AL81" i="4"/>
  <c r="AK97" i="4"/>
  <c r="AM97" i="4"/>
  <c r="AN97" i="4" s="1"/>
  <c r="AK101" i="4"/>
  <c r="AM101" i="4"/>
  <c r="AN101" i="4" s="1"/>
  <c r="AK79" i="4"/>
  <c r="AM79" i="4"/>
  <c r="AN79" i="4" s="1"/>
  <c r="AL56" i="4"/>
  <c r="AJ56" i="4"/>
  <c r="AL43" i="4"/>
  <c r="AL93" i="4"/>
  <c r="AJ89" i="4"/>
  <c r="AO116" i="4"/>
  <c r="AL116" i="4"/>
  <c r="AM55" i="4"/>
  <c r="AN55" i="4" s="1"/>
  <c r="AM75" i="4"/>
  <c r="AN75" i="4" s="1"/>
  <c r="AL114" i="4"/>
  <c r="AO110" i="4"/>
  <c r="AO98" i="4"/>
  <c r="AL90" i="4"/>
  <c r="AM86" i="4"/>
  <c r="AN86" i="4" s="1"/>
  <c r="AL80" i="4"/>
  <c r="AM80" i="4" s="1"/>
  <c r="AL78" i="4"/>
  <c r="AM78" i="4" s="1"/>
  <c r="AO79" i="4"/>
  <c r="AM58" i="4"/>
  <c r="AN58" i="4" s="1"/>
  <c r="AK65" i="4"/>
  <c r="AM65" i="4"/>
  <c r="AN65" i="4" s="1"/>
  <c r="AG65" i="4" s="1"/>
  <c r="AK60" i="4"/>
  <c r="AM60" i="4"/>
  <c r="AN60" i="4" s="1"/>
  <c r="AM76" i="4"/>
  <c r="AN76" i="4" s="1"/>
  <c r="AO113" i="4"/>
  <c r="AL89" i="4"/>
  <c r="AL77" i="4"/>
  <c r="AO77" i="4" s="1"/>
  <c r="AJ53" i="4"/>
  <c r="AM108" i="4"/>
  <c r="AN108" i="4" s="1"/>
  <c r="AL104" i="4"/>
  <c r="AM96" i="4"/>
  <c r="AN96" i="4" s="1"/>
  <c r="AO84" i="4"/>
  <c r="AK82" i="4"/>
  <c r="AM82" i="4"/>
  <c r="AN82" i="4" s="1"/>
  <c r="AO115" i="4"/>
  <c r="AJ111" i="4"/>
  <c r="AO111" i="4" s="1"/>
  <c r="AL87" i="4"/>
  <c r="AJ93" i="4"/>
  <c r="AJ38" i="4"/>
  <c r="AJ37" i="4"/>
  <c r="AL37" i="4"/>
  <c r="C26" i="5"/>
  <c r="C27" i="5" s="1"/>
  <c r="Y65" i="4"/>
  <c r="B65" i="4" s="1"/>
  <c r="Y44" i="4"/>
  <c r="B44" i="4" s="1"/>
  <c r="AE35" i="4"/>
  <c r="AH35" i="4"/>
  <c r="F180" i="4"/>
  <c r="F181" i="4" s="1"/>
  <c r="H181" i="4" s="1"/>
  <c r="Y62" i="4"/>
  <c r="B62" i="4" s="1"/>
  <c r="Y104" i="4"/>
  <c r="B104" i="4" s="1"/>
  <c r="Y41" i="4"/>
  <c r="B41" i="4" s="1"/>
  <c r="Y56" i="4"/>
  <c r="B56" i="4" s="1"/>
  <c r="Y112" i="4"/>
  <c r="B112" i="4" s="1"/>
  <c r="Y96" i="4"/>
  <c r="B96" i="4" s="1"/>
  <c r="Y69" i="4"/>
  <c r="B69" i="4" s="1"/>
  <c r="Y58" i="4"/>
  <c r="B58" i="4" s="1"/>
  <c r="Y39" i="4"/>
  <c r="B39" i="4" s="1"/>
  <c r="Y71" i="4"/>
  <c r="B71" i="4" s="1"/>
  <c r="Y116" i="4"/>
  <c r="B116" i="4" s="1"/>
  <c r="Y108" i="4"/>
  <c r="B108" i="4" s="1"/>
  <c r="Y100" i="4"/>
  <c r="B100" i="4" s="1"/>
  <c r="Y92" i="4"/>
  <c r="B92" i="4" s="1"/>
  <c r="Y46" i="4"/>
  <c r="B46" i="4" s="1"/>
  <c r="Y53" i="4"/>
  <c r="B53" i="4" s="1"/>
  <c r="Y74" i="4"/>
  <c r="B74" i="4" s="1"/>
  <c r="Y42" i="4"/>
  <c r="B42" i="4" s="1"/>
  <c r="Y49" i="4"/>
  <c r="B49" i="4" s="1"/>
  <c r="Y67" i="4"/>
  <c r="B67" i="4" s="1"/>
  <c r="Y60" i="4"/>
  <c r="B60" i="4" s="1"/>
  <c r="Y63" i="4"/>
  <c r="B63" i="4" s="1"/>
  <c r="Y55" i="4"/>
  <c r="B55" i="4" s="1"/>
  <c r="Y114" i="4"/>
  <c r="B114" i="4" s="1"/>
  <c r="Y110" i="4"/>
  <c r="B110" i="4" s="1"/>
  <c r="Y106" i="4"/>
  <c r="B106" i="4" s="1"/>
  <c r="Y102" i="4"/>
  <c r="B102" i="4" s="1"/>
  <c r="Y98" i="4"/>
  <c r="B98" i="4" s="1"/>
  <c r="Y94" i="4"/>
  <c r="B94" i="4" s="1"/>
  <c r="Y90" i="4"/>
  <c r="B90" i="4" s="1"/>
  <c r="Y88" i="4"/>
  <c r="B88" i="4" s="1"/>
  <c r="Y86" i="4"/>
  <c r="B86" i="4" s="1"/>
  <c r="Y84" i="4"/>
  <c r="B84" i="4" s="1"/>
  <c r="Y82" i="4"/>
  <c r="B82" i="4" s="1"/>
  <c r="Y80" i="4"/>
  <c r="B80" i="4" s="1"/>
  <c r="Y78" i="4"/>
  <c r="B78" i="4" s="1"/>
  <c r="Y76" i="4"/>
  <c r="B76" i="4" s="1"/>
  <c r="Y70" i="4"/>
  <c r="B70" i="4" s="1"/>
  <c r="Y54" i="4"/>
  <c r="B54" i="4" s="1"/>
  <c r="Y38" i="4"/>
  <c r="B38" i="4" s="1"/>
  <c r="Y61" i="4"/>
  <c r="B61" i="4" s="1"/>
  <c r="Y45" i="4"/>
  <c r="B45" i="4" s="1"/>
  <c r="Y37" i="4"/>
  <c r="B37" i="4" s="1"/>
  <c r="Y66" i="4"/>
  <c r="B66" i="4" s="1"/>
  <c r="Y50" i="4"/>
  <c r="B50" i="4" s="1"/>
  <c r="Y73" i="4"/>
  <c r="B73" i="4" s="1"/>
  <c r="Y57" i="4"/>
  <c r="B57" i="4" s="1"/>
  <c r="Y43" i="4"/>
  <c r="B43" i="4" s="1"/>
  <c r="Y59" i="4"/>
  <c r="B59" i="4" s="1"/>
  <c r="Y75" i="4"/>
  <c r="B75" i="4" s="1"/>
  <c r="Y52" i="4"/>
  <c r="B52" i="4" s="1"/>
  <c r="Y68" i="4"/>
  <c r="B68" i="4" s="1"/>
  <c r="Y47" i="4"/>
  <c r="B47" i="4" s="1"/>
  <c r="Y40" i="4"/>
  <c r="B40" i="4" s="1"/>
  <c r="Y72" i="4"/>
  <c r="B72" i="4" s="1"/>
  <c r="Y48" i="4"/>
  <c r="B48" i="4" s="1"/>
  <c r="Y64" i="4"/>
  <c r="B64" i="4" s="1"/>
  <c r="Y115" i="4"/>
  <c r="B115" i="4" s="1"/>
  <c r="Y113" i="4"/>
  <c r="B113" i="4" s="1"/>
  <c r="Y111" i="4"/>
  <c r="B111" i="4" s="1"/>
  <c r="Y109" i="4"/>
  <c r="B109" i="4" s="1"/>
  <c r="Y107" i="4"/>
  <c r="B107" i="4" s="1"/>
  <c r="Y105" i="4"/>
  <c r="B105" i="4" s="1"/>
  <c r="Y103" i="4"/>
  <c r="B103" i="4" s="1"/>
  <c r="Y101" i="4"/>
  <c r="B101" i="4" s="1"/>
  <c r="Y99" i="4"/>
  <c r="B99" i="4" s="1"/>
  <c r="Y97" i="4"/>
  <c r="B97" i="4" s="1"/>
  <c r="Y95" i="4"/>
  <c r="B95" i="4" s="1"/>
  <c r="Y93" i="4"/>
  <c r="B93" i="4" s="1"/>
  <c r="Y91" i="4"/>
  <c r="B91" i="4" s="1"/>
  <c r="Y89" i="4"/>
  <c r="B89" i="4" s="1"/>
  <c r="Y87" i="4"/>
  <c r="B87" i="4" s="1"/>
  <c r="Y85" i="4"/>
  <c r="B85" i="4" s="1"/>
  <c r="Y83" i="4"/>
  <c r="B83" i="4" s="1"/>
  <c r="Y81" i="4"/>
  <c r="B81" i="4" s="1"/>
  <c r="Y79" i="4"/>
  <c r="B79" i="4" s="1"/>
  <c r="Y77" i="4"/>
  <c r="B77" i="4" s="1"/>
  <c r="AF35" i="4"/>
  <c r="CT76" i="9" l="1"/>
  <c r="CY76" i="9"/>
  <c r="CT68" i="9"/>
  <c r="CT70" i="9"/>
  <c r="CT73" i="9"/>
  <c r="CT69" i="9"/>
  <c r="CT72" i="9"/>
  <c r="CT77" i="9"/>
  <c r="CY77" i="9"/>
  <c r="CY74" i="9"/>
  <c r="CY73" i="9"/>
  <c r="CY72" i="9"/>
  <c r="CY70" i="9"/>
  <c r="CY69" i="9"/>
  <c r="CY68" i="9"/>
  <c r="AJ92" i="9"/>
  <c r="AK92" i="9"/>
  <c r="AL92" i="9"/>
  <c r="AM92" i="9"/>
  <c r="AN92" i="9"/>
  <c r="AO92" i="9"/>
  <c r="AP92" i="9"/>
  <c r="AQ92" i="9"/>
  <c r="AR92" i="9"/>
  <c r="AS92" i="9"/>
  <c r="AT92" i="9"/>
  <c r="AJ93" i="9"/>
  <c r="AK93" i="9"/>
  <c r="AL93" i="9"/>
  <c r="AM93" i="9"/>
  <c r="AN93" i="9"/>
  <c r="AO93" i="9"/>
  <c r="AP93" i="9"/>
  <c r="AQ93" i="9"/>
  <c r="AR93" i="9"/>
  <c r="AS93" i="9"/>
  <c r="AT93" i="9"/>
  <c r="AI93" i="9"/>
  <c r="AI92" i="9"/>
  <c r="AG75" i="4"/>
  <c r="AG62" i="4"/>
  <c r="AP62" i="4" s="1"/>
  <c r="AQ62" i="4" s="1"/>
  <c r="AG60" i="4"/>
  <c r="AG59" i="4"/>
  <c r="AO58" i="4"/>
  <c r="AG58" i="4" s="1"/>
  <c r="AG54" i="4"/>
  <c r="AG55" i="4"/>
  <c r="AP54" i="4"/>
  <c r="AQ54" i="4" s="1"/>
  <c r="AK46" i="4"/>
  <c r="AO47" i="4"/>
  <c r="AK48" i="4"/>
  <c r="AK50" i="4"/>
  <c r="AG50" i="4" s="1"/>
  <c r="AP50" i="4" s="1"/>
  <c r="AQ50" i="4" s="1"/>
  <c r="Q150" i="4"/>
  <c r="AK98" i="4"/>
  <c r="AK76" i="4"/>
  <c r="AG76" i="4" s="1"/>
  <c r="AM42" i="4"/>
  <c r="AN42" i="4" s="1"/>
  <c r="AM47" i="4"/>
  <c r="AN47" i="4" s="1"/>
  <c r="AO38" i="4"/>
  <c r="AO43" i="4"/>
  <c r="AM46" i="4"/>
  <c r="AN46" i="4" s="1"/>
  <c r="AO42" i="4"/>
  <c r="AK47" i="4"/>
  <c r="AK39" i="4"/>
  <c r="AO39" i="4"/>
  <c r="AO46" i="4"/>
  <c r="AK44" i="4"/>
  <c r="AO40" i="4"/>
  <c r="AK64" i="4"/>
  <c r="AG64" i="4" s="1"/>
  <c r="AK84" i="4"/>
  <c r="AP98" i="4"/>
  <c r="AQ98" i="4" s="1"/>
  <c r="AR103" i="4"/>
  <c r="AS103" i="4" s="1"/>
  <c r="AK42" i="4"/>
  <c r="AM73" i="4"/>
  <c r="AN73" i="4" s="1"/>
  <c r="AO88" i="4"/>
  <c r="AM100" i="4"/>
  <c r="AN100" i="4" s="1"/>
  <c r="AM52" i="4"/>
  <c r="AN52" i="4" s="1"/>
  <c r="AM44" i="4"/>
  <c r="AN44" i="4" s="1"/>
  <c r="AK73" i="4"/>
  <c r="AG73" i="4" s="1"/>
  <c r="AM107" i="4"/>
  <c r="AN107" i="4" s="1"/>
  <c r="AO100" i="4"/>
  <c r="AO44" i="4"/>
  <c r="AO90" i="4"/>
  <c r="AR113" i="4"/>
  <c r="AS113" i="4" s="1"/>
  <c r="AP113" i="4"/>
  <c r="AQ113" i="4" s="1"/>
  <c r="AN78" i="4"/>
  <c r="AR105" i="4"/>
  <c r="AS105" i="4" s="1"/>
  <c r="AO48" i="4"/>
  <c r="AN80" i="4"/>
  <c r="AO91" i="4"/>
  <c r="AM91" i="4"/>
  <c r="AP86" i="4"/>
  <c r="AQ86" i="4" s="1"/>
  <c r="AR86" i="4"/>
  <c r="AS86" i="4" s="1"/>
  <c r="AR79" i="4"/>
  <c r="AS79" i="4" s="1"/>
  <c r="AP79" i="4"/>
  <c r="AQ79" i="4" s="1"/>
  <c r="AP105" i="4"/>
  <c r="AQ105" i="4" s="1"/>
  <c r="AR109" i="4"/>
  <c r="AS109" i="4" s="1"/>
  <c r="AP109" i="4"/>
  <c r="AQ109" i="4" s="1"/>
  <c r="AR96" i="4"/>
  <c r="AS96" i="4" s="1"/>
  <c r="AP96" i="4"/>
  <c r="AQ96" i="4" s="1"/>
  <c r="AP101" i="4"/>
  <c r="AQ101" i="4" s="1"/>
  <c r="AR101" i="4"/>
  <c r="AS101" i="4" s="1"/>
  <c r="AR75" i="4"/>
  <c r="AS75" i="4" s="1"/>
  <c r="AP75" i="4"/>
  <c r="AQ75" i="4" s="1"/>
  <c r="AR65" i="4"/>
  <c r="AS65" i="4" s="1"/>
  <c r="AP65" i="4"/>
  <c r="AQ65" i="4" s="1"/>
  <c r="AP59" i="4"/>
  <c r="AQ59" i="4" s="1"/>
  <c r="AR59" i="4"/>
  <c r="AS59" i="4" s="1"/>
  <c r="AP95" i="4"/>
  <c r="AQ95" i="4" s="1"/>
  <c r="AR95" i="4"/>
  <c r="AS95" i="4" s="1"/>
  <c r="AP110" i="4"/>
  <c r="AQ110" i="4" s="1"/>
  <c r="AR110" i="4"/>
  <c r="AS110" i="4" s="1"/>
  <c r="AP84" i="4"/>
  <c r="AQ84" i="4" s="1"/>
  <c r="AR84" i="4"/>
  <c r="AO87" i="4"/>
  <c r="AK104" i="4"/>
  <c r="AM104" i="4"/>
  <c r="AK74" i="4"/>
  <c r="AM74" i="4"/>
  <c r="AN74" i="4" s="1"/>
  <c r="AK83" i="4"/>
  <c r="AM83" i="4"/>
  <c r="AK99" i="4"/>
  <c r="AM99" i="4"/>
  <c r="AR62" i="4"/>
  <c r="AS62" i="4" s="1"/>
  <c r="AK106" i="4"/>
  <c r="AM106" i="4"/>
  <c r="AN106" i="4" s="1"/>
  <c r="AO106" i="4"/>
  <c r="AK63" i="4"/>
  <c r="AM63" i="4"/>
  <c r="AN63" i="4" s="1"/>
  <c r="AK49" i="4"/>
  <c r="AO69" i="4"/>
  <c r="AN99" i="4"/>
  <c r="AK111" i="4"/>
  <c r="AM111" i="4"/>
  <c r="AK53" i="4"/>
  <c r="AM53" i="4"/>
  <c r="AN53" i="4" s="1"/>
  <c r="AO41" i="4"/>
  <c r="AK77" i="4"/>
  <c r="AK112" i="4"/>
  <c r="AM112" i="4"/>
  <c r="AN112" i="4" s="1"/>
  <c r="AO74" i="4"/>
  <c r="AK94" i="4"/>
  <c r="AM94" i="4"/>
  <c r="AN94" i="4" s="1"/>
  <c r="AK114" i="4"/>
  <c r="AM114" i="4"/>
  <c r="AO114" i="4"/>
  <c r="AK45" i="4"/>
  <c r="AM45" i="4"/>
  <c r="AN45" i="4" s="1"/>
  <c r="AR54" i="4"/>
  <c r="AS54" i="4" s="1"/>
  <c r="AM43" i="4"/>
  <c r="AN43" i="4" s="1"/>
  <c r="AK72" i="4"/>
  <c r="AM72" i="4"/>
  <c r="AN72" i="4" s="1"/>
  <c r="AN91" i="4"/>
  <c r="AK80" i="4"/>
  <c r="AK88" i="4"/>
  <c r="AM88" i="4"/>
  <c r="AN88" i="4" s="1"/>
  <c r="AN70" i="4"/>
  <c r="AO70" i="4"/>
  <c r="AG70" i="4" s="1"/>
  <c r="AO72" i="4"/>
  <c r="AN111" i="4"/>
  <c r="AN104" i="4"/>
  <c r="AO61" i="4"/>
  <c r="AM67" i="4"/>
  <c r="AN67" i="4" s="1"/>
  <c r="AK78" i="4"/>
  <c r="AK93" i="4"/>
  <c r="AM93" i="4"/>
  <c r="AN93" i="4" s="1"/>
  <c r="AO78" i="4"/>
  <c r="AK89" i="4"/>
  <c r="AM89" i="4"/>
  <c r="AN89" i="4" s="1"/>
  <c r="AP103" i="4"/>
  <c r="AQ103" i="4" s="1"/>
  <c r="AM69" i="4"/>
  <c r="AN69" i="4" s="1"/>
  <c r="AO81" i="4"/>
  <c r="AK71" i="4"/>
  <c r="AM71" i="4"/>
  <c r="AN71" i="4" s="1"/>
  <c r="AO71" i="4"/>
  <c r="AK41" i="4"/>
  <c r="AM41" i="4"/>
  <c r="AN41" i="4" s="1"/>
  <c r="AO83" i="4"/>
  <c r="AR98" i="4"/>
  <c r="AS98" i="4" s="1"/>
  <c r="AK68" i="4"/>
  <c r="AM68" i="4"/>
  <c r="AN68" i="4" s="1"/>
  <c r="AK43" i="4"/>
  <c r="AO99" i="4"/>
  <c r="AK92" i="4"/>
  <c r="AM92" i="4"/>
  <c r="AN92" i="4" s="1"/>
  <c r="AM87" i="4"/>
  <c r="AN87" i="4" s="1"/>
  <c r="AO89" i="4"/>
  <c r="AK85" i="4"/>
  <c r="AM85" i="4"/>
  <c r="AO112" i="4"/>
  <c r="AM81" i="4"/>
  <c r="AN81" i="4" s="1"/>
  <c r="AO49" i="4"/>
  <c r="AO80" i="4"/>
  <c r="AO45" i="4"/>
  <c r="AK67" i="4"/>
  <c r="AG67" i="4" s="1"/>
  <c r="AM48" i="4"/>
  <c r="AN48" i="4" s="1"/>
  <c r="AM77" i="4"/>
  <c r="AN77" i="4" s="1"/>
  <c r="AN83" i="4"/>
  <c r="AK56" i="4"/>
  <c r="AM56" i="4"/>
  <c r="AN56" i="4" s="1"/>
  <c r="AO104" i="4"/>
  <c r="AN49" i="4"/>
  <c r="AK57" i="4"/>
  <c r="AM57" i="4"/>
  <c r="AN57" i="4" s="1"/>
  <c r="AK61" i="4"/>
  <c r="AM61" i="4"/>
  <c r="AN61" i="4" s="1"/>
  <c r="AK116" i="4"/>
  <c r="AM116" i="4"/>
  <c r="AN116" i="4" s="1"/>
  <c r="AK40" i="4"/>
  <c r="AM40" i="4"/>
  <c r="AN40" i="4" s="1"/>
  <c r="AK87" i="4"/>
  <c r="AK51" i="4"/>
  <c r="AM51" i="4"/>
  <c r="AN51" i="4" s="1"/>
  <c r="AK90" i="4"/>
  <c r="AM90" i="4"/>
  <c r="AN90" i="4" s="1"/>
  <c r="AO53" i="4"/>
  <c r="AK66" i="4"/>
  <c r="AM66" i="4"/>
  <c r="AN66" i="4" s="1"/>
  <c r="AK81" i="4"/>
  <c r="AO94" i="4"/>
  <c r="AK102" i="4"/>
  <c r="AM102" i="4"/>
  <c r="AN102" i="4" s="1"/>
  <c r="AO56" i="4"/>
  <c r="AO57" i="4"/>
  <c r="AO93" i="4"/>
  <c r="AO63" i="4"/>
  <c r="AG63" i="4" s="1"/>
  <c r="AN85" i="4"/>
  <c r="AN114" i="4"/>
  <c r="AK38" i="4"/>
  <c r="AM38" i="4"/>
  <c r="AN38" i="4" s="1"/>
  <c r="S27" i="4"/>
  <c r="AK37" i="4"/>
  <c r="AO37" i="4"/>
  <c r="AM37" i="4"/>
  <c r="F172" i="4"/>
  <c r="B34" i="4" s="1"/>
  <c r="C28" i="5"/>
  <c r="C31" i="5" s="1"/>
  <c r="C32" i="5" s="1"/>
  <c r="AJ35" i="4"/>
  <c r="AL35" i="4"/>
  <c r="CT74" i="9" l="1"/>
  <c r="CZ74" i="9" s="1"/>
  <c r="CZ72" i="9"/>
  <c r="CZ69" i="9"/>
  <c r="CZ73" i="9"/>
  <c r="CZ70" i="9"/>
  <c r="CZ76" i="9"/>
  <c r="CZ77" i="9"/>
  <c r="AG74" i="4"/>
  <c r="AG72" i="4"/>
  <c r="AG71" i="4"/>
  <c r="AG68" i="4"/>
  <c r="AG69" i="4"/>
  <c r="AG66" i="4"/>
  <c r="AG61" i="4"/>
  <c r="AR58" i="4"/>
  <c r="AS58" i="4" s="1"/>
  <c r="AP58" i="4"/>
  <c r="AQ58" i="4" s="1"/>
  <c r="AG57" i="4"/>
  <c r="AG56" i="4"/>
  <c r="AG53" i="4"/>
  <c r="AG51" i="4"/>
  <c r="AG52" i="4"/>
  <c r="AG49" i="4"/>
  <c r="S28" i="4"/>
  <c r="T27" i="4"/>
  <c r="AC30" i="4" s="1"/>
  <c r="T30" i="4" s="1"/>
  <c r="R27" i="4"/>
  <c r="R28" i="4"/>
  <c r="H172" i="4"/>
  <c r="BO101" i="4"/>
  <c r="BC101" i="4"/>
  <c r="BD101" i="4" s="1"/>
  <c r="F175" i="4"/>
  <c r="G175" i="4"/>
  <c r="H175" i="4"/>
  <c r="L175" i="4"/>
  <c r="M175" i="4"/>
  <c r="I175" i="4"/>
  <c r="J175" i="4"/>
  <c r="K175" i="4"/>
  <c r="AS84" i="4"/>
  <c r="AG48" i="4"/>
  <c r="AR48" i="4" s="1"/>
  <c r="BO109" i="4"/>
  <c r="BC109" i="4"/>
  <c r="BD109" i="4" s="1"/>
  <c r="BC113" i="4"/>
  <c r="BD113" i="4" s="1"/>
  <c r="AG47" i="4"/>
  <c r="AR47" i="4" s="1"/>
  <c r="AS47" i="4" s="1"/>
  <c r="AG39" i="4"/>
  <c r="AP39" i="4" s="1"/>
  <c r="AQ39" i="4" s="1"/>
  <c r="AG46" i="4"/>
  <c r="AP46" i="4" s="1"/>
  <c r="AG41" i="4"/>
  <c r="AR41" i="4" s="1"/>
  <c r="AS41" i="4" s="1"/>
  <c r="AG40" i="4"/>
  <c r="AG45" i="4"/>
  <c r="AG42" i="4"/>
  <c r="AG38" i="4"/>
  <c r="AG43" i="4"/>
  <c r="AG44" i="4"/>
  <c r="AP44" i="4" s="1"/>
  <c r="AQ44" i="4" s="1"/>
  <c r="AM35" i="4"/>
  <c r="AR107" i="4"/>
  <c r="AS107" i="4" s="1"/>
  <c r="AP107" i="4"/>
  <c r="AR50" i="4"/>
  <c r="AS50" i="4" s="1"/>
  <c r="AR56" i="4"/>
  <c r="AS56" i="4" s="1"/>
  <c r="AR82" i="4"/>
  <c r="AS82" i="4" s="1"/>
  <c r="AP82" i="4"/>
  <c r="AQ82" i="4" s="1"/>
  <c r="AR70" i="4"/>
  <c r="AS70" i="4" s="1"/>
  <c r="AP66" i="4"/>
  <c r="AP61" i="4"/>
  <c r="AP89" i="4"/>
  <c r="AP78" i="4"/>
  <c r="AP71" i="4"/>
  <c r="AQ71" i="4" s="1"/>
  <c r="AR71" i="4"/>
  <c r="AS71" i="4" s="1"/>
  <c r="AP69" i="4"/>
  <c r="AQ69" i="4" s="1"/>
  <c r="AR69" i="4"/>
  <c r="AS69" i="4" s="1"/>
  <c r="AR116" i="4"/>
  <c r="AS116" i="4" s="1"/>
  <c r="AP116" i="4"/>
  <c r="AR68" i="4"/>
  <c r="AS68" i="4" s="1"/>
  <c r="AP68" i="4"/>
  <c r="AQ68" i="4" s="1"/>
  <c r="AP104" i="4"/>
  <c r="AR104" i="4"/>
  <c r="AS104" i="4" s="1"/>
  <c r="AP70" i="4"/>
  <c r="AQ70" i="4" s="1"/>
  <c r="AR53" i="4"/>
  <c r="AS53" i="4" s="1"/>
  <c r="AP53" i="4"/>
  <c r="AQ53" i="4" s="1"/>
  <c r="AR61" i="4"/>
  <c r="AS61" i="4" s="1"/>
  <c r="AR89" i="4"/>
  <c r="AS89" i="4" s="1"/>
  <c r="AP91" i="4"/>
  <c r="AQ91" i="4" s="1"/>
  <c r="AR91" i="4"/>
  <c r="AS91" i="4" s="1"/>
  <c r="AR94" i="4"/>
  <c r="AS94" i="4" s="1"/>
  <c r="AP94" i="4"/>
  <c r="AQ94" i="4" s="1"/>
  <c r="AP99" i="4"/>
  <c r="AQ99" i="4" s="1"/>
  <c r="AR99" i="4"/>
  <c r="AS99" i="4" s="1"/>
  <c r="AR74" i="4"/>
  <c r="AS74" i="4" s="1"/>
  <c r="AP74" i="4"/>
  <c r="AQ74" i="4" s="1"/>
  <c r="AP106" i="4"/>
  <c r="AQ106" i="4" s="1"/>
  <c r="AR106" i="4"/>
  <c r="AS106" i="4" s="1"/>
  <c r="AR64" i="4"/>
  <c r="AS64" i="4" s="1"/>
  <c r="AP64" i="4"/>
  <c r="AQ64" i="4" s="1"/>
  <c r="AP51" i="4"/>
  <c r="AQ51" i="4" s="1"/>
  <c r="AR51" i="4"/>
  <c r="AS51" i="4" s="1"/>
  <c r="AR92" i="4"/>
  <c r="AS92" i="4" s="1"/>
  <c r="AP92" i="4"/>
  <c r="AP72" i="4"/>
  <c r="AQ72" i="4" s="1"/>
  <c r="AR72" i="4"/>
  <c r="AS72" i="4" s="1"/>
  <c r="AR108" i="4"/>
  <c r="AS108" i="4" s="1"/>
  <c r="AP108" i="4"/>
  <c r="AP73" i="4"/>
  <c r="AQ73" i="4" s="1"/>
  <c r="AR73" i="4"/>
  <c r="AS73" i="4" s="1"/>
  <c r="AP76" i="4"/>
  <c r="AR76" i="4"/>
  <c r="AS76" i="4" s="1"/>
  <c r="AR115" i="4"/>
  <c r="AS115" i="4" s="1"/>
  <c r="AP115" i="4"/>
  <c r="AQ115" i="4" s="1"/>
  <c r="AP97" i="4"/>
  <c r="AQ97" i="4" s="1"/>
  <c r="AR97" i="4"/>
  <c r="AS97" i="4" s="1"/>
  <c r="AR60" i="4"/>
  <c r="AS60" i="4" s="1"/>
  <c r="AP60" i="4"/>
  <c r="AQ60" i="4" s="1"/>
  <c r="AR55" i="4"/>
  <c r="AS55" i="4" s="1"/>
  <c r="AP55" i="4"/>
  <c r="AQ55" i="4" s="1"/>
  <c r="AR52" i="4"/>
  <c r="AS52" i="4" s="1"/>
  <c r="AP52" i="4"/>
  <c r="AQ52" i="4" s="1"/>
  <c r="AB30" i="4"/>
  <c r="S30" i="4" s="1"/>
  <c r="AN37" i="4"/>
  <c r="AG37" i="4" s="1"/>
  <c r="BO113" i="4"/>
  <c r="BO96" i="4"/>
  <c r="BC84" i="4"/>
  <c r="BD84" i="4" s="1"/>
  <c r="BC96" i="4"/>
  <c r="BJ96" i="4" s="1"/>
  <c r="BO84" i="4"/>
  <c r="BC98" i="4"/>
  <c r="BC79" i="4"/>
  <c r="BC62" i="4"/>
  <c r="BC110" i="4"/>
  <c r="BC65" i="4"/>
  <c r="BC95" i="4"/>
  <c r="BC50" i="4"/>
  <c r="BC54" i="4"/>
  <c r="BC103" i="4"/>
  <c r="BI103" i="4" s="1"/>
  <c r="BC86" i="4"/>
  <c r="BC58" i="4"/>
  <c r="BO110" i="4"/>
  <c r="BO103" i="4"/>
  <c r="BC75" i="4"/>
  <c r="BC59" i="4"/>
  <c r="BC105" i="4"/>
  <c r="BO95" i="4"/>
  <c r="C33" i="5"/>
  <c r="C34" i="5" s="1"/>
  <c r="C35" i="5" s="1"/>
  <c r="BE113" i="4"/>
  <c r="BO105" i="4"/>
  <c r="AJ32" i="4"/>
  <c r="BO98" i="4"/>
  <c r="BO79" i="4"/>
  <c r="BO86" i="4"/>
  <c r="BI113" i="4" l="1"/>
  <c r="AP48" i="4"/>
  <c r="AQ48" i="4" s="1"/>
  <c r="BC91" i="4"/>
  <c r="BC53" i="4"/>
  <c r="T28" i="4"/>
  <c r="BE101" i="4"/>
  <c r="BF101" i="4" s="1"/>
  <c r="BI101" i="4"/>
  <c r="BO82" i="4"/>
  <c r="BC82" i="4"/>
  <c r="BO91" i="4"/>
  <c r="BC68" i="4"/>
  <c r="BC71" i="4"/>
  <c r="AS48" i="4"/>
  <c r="BC51" i="4"/>
  <c r="BI96" i="4"/>
  <c r="BK96" i="4" s="1"/>
  <c r="BC55" i="4"/>
  <c r="BO94" i="4"/>
  <c r="BI109" i="4"/>
  <c r="BC69" i="4"/>
  <c r="BC64" i="4"/>
  <c r="BO99" i="4"/>
  <c r="BC99" i="4"/>
  <c r="BI99" i="4" s="1"/>
  <c r="BC74" i="4"/>
  <c r="BC73" i="4"/>
  <c r="BO97" i="4"/>
  <c r="BO115" i="4"/>
  <c r="BC94" i="4"/>
  <c r="BJ84" i="4"/>
  <c r="AP47" i="4"/>
  <c r="AQ47" i="4" s="1"/>
  <c r="AR46" i="4"/>
  <c r="AS46" i="4" s="1"/>
  <c r="AP41" i="4"/>
  <c r="AQ41" i="4" s="1"/>
  <c r="AR44" i="4"/>
  <c r="AS44" i="4" s="1"/>
  <c r="AR39" i="4"/>
  <c r="AS39" i="4" s="1"/>
  <c r="BC44" i="4"/>
  <c r="BC39" i="4"/>
  <c r="AQ46" i="4"/>
  <c r="BC46" i="4"/>
  <c r="BC97" i="4"/>
  <c r="BD97" i="4" s="1"/>
  <c r="AR42" i="4"/>
  <c r="AS42" i="4" s="1"/>
  <c r="AP42" i="4"/>
  <c r="AQ89" i="4"/>
  <c r="BO89" i="4"/>
  <c r="BC89" i="4"/>
  <c r="BI89" i="4" s="1"/>
  <c r="AQ61" i="4"/>
  <c r="BC61" i="4"/>
  <c r="BC60" i="4"/>
  <c r="AP56" i="4"/>
  <c r="AQ78" i="4"/>
  <c r="BO78" i="4"/>
  <c r="BC78" i="4"/>
  <c r="AR100" i="4"/>
  <c r="AS100" i="4" s="1"/>
  <c r="AP100" i="4"/>
  <c r="AR78" i="4"/>
  <c r="AS78" i="4" s="1"/>
  <c r="AR66" i="4"/>
  <c r="AS66" i="4" s="1"/>
  <c r="BC70" i="4"/>
  <c r="BC72" i="4"/>
  <c r="AQ107" i="4"/>
  <c r="BO107" i="4"/>
  <c r="BC107" i="4"/>
  <c r="BD107" i="4" s="1"/>
  <c r="BO106" i="4"/>
  <c r="BC115" i="4"/>
  <c r="BD115" i="4" s="1"/>
  <c r="BC106" i="4"/>
  <c r="BC52" i="4"/>
  <c r="BI84" i="4"/>
  <c r="AP57" i="4"/>
  <c r="AR57" i="4"/>
  <c r="AS57" i="4" s="1"/>
  <c r="AQ76" i="4"/>
  <c r="BC76" i="4"/>
  <c r="AR45" i="4"/>
  <c r="AS45" i="4" s="1"/>
  <c r="AP45" i="4"/>
  <c r="AP87" i="4"/>
  <c r="AR87" i="4"/>
  <c r="AS87" i="4" s="1"/>
  <c r="AP102" i="4"/>
  <c r="AR102" i="4"/>
  <c r="AS102" i="4" s="1"/>
  <c r="AP85" i="4"/>
  <c r="AR85" i="4"/>
  <c r="AS85" i="4" s="1"/>
  <c r="AR83" i="4"/>
  <c r="AS83" i="4" s="1"/>
  <c r="AP83" i="4"/>
  <c r="AR80" i="4"/>
  <c r="AS80" i="4" s="1"/>
  <c r="AP80" i="4"/>
  <c r="AP90" i="4"/>
  <c r="AR90" i="4"/>
  <c r="AS90" i="4" s="1"/>
  <c r="AR49" i="4"/>
  <c r="AS49" i="4" s="1"/>
  <c r="AP49" i="4"/>
  <c r="AP67" i="4"/>
  <c r="AR67" i="4"/>
  <c r="AS67" i="4" s="1"/>
  <c r="AP112" i="4"/>
  <c r="AR112" i="4"/>
  <c r="AS112" i="4" s="1"/>
  <c r="AR63" i="4"/>
  <c r="AS63" i="4" s="1"/>
  <c r="AP63" i="4"/>
  <c r="AR77" i="4"/>
  <c r="AS77" i="4" s="1"/>
  <c r="AP77" i="4"/>
  <c r="AQ92" i="4"/>
  <c r="BO92" i="4"/>
  <c r="BC92" i="4"/>
  <c r="AP88" i="4"/>
  <c r="AR88" i="4"/>
  <c r="AS88" i="4" s="1"/>
  <c r="AP40" i="4"/>
  <c r="AR40" i="4"/>
  <c r="AS40" i="4" s="1"/>
  <c r="AQ116" i="4"/>
  <c r="BC116" i="4"/>
  <c r="BD116" i="4" s="1"/>
  <c r="BO116" i="4"/>
  <c r="AP43" i="4"/>
  <c r="AR43" i="4"/>
  <c r="AS43" i="4" s="1"/>
  <c r="AP111" i="4"/>
  <c r="AR111" i="4"/>
  <c r="AS111" i="4" s="1"/>
  <c r="AQ66" i="4"/>
  <c r="BC66" i="4"/>
  <c r="AQ108" i="4"/>
  <c r="BO108" i="4"/>
  <c r="BC108" i="4"/>
  <c r="BD108" i="4" s="1"/>
  <c r="AP114" i="4"/>
  <c r="AR114" i="4"/>
  <c r="AS114" i="4" s="1"/>
  <c r="AR93" i="4"/>
  <c r="AS93" i="4" s="1"/>
  <c r="AP93" i="4"/>
  <c r="AR81" i="4"/>
  <c r="AS81" i="4" s="1"/>
  <c r="AP81" i="4"/>
  <c r="AQ104" i="4"/>
  <c r="BC104" i="4"/>
  <c r="BO104" i="4"/>
  <c r="AP38" i="4"/>
  <c r="AR38" i="4"/>
  <c r="AS38" i="4" s="1"/>
  <c r="AN35" i="4"/>
  <c r="BE105" i="4"/>
  <c r="BF113" i="4"/>
  <c r="BI82" i="4"/>
  <c r="BJ110" i="4"/>
  <c r="BE110" i="4"/>
  <c r="BJ109" i="4"/>
  <c r="BE109" i="4"/>
  <c r="BF109" i="4" s="1"/>
  <c r="BI105" i="4"/>
  <c r="BJ101" i="4"/>
  <c r="BI110" i="4"/>
  <c r="BD110" i="4"/>
  <c r="BI95" i="4"/>
  <c r="BJ105" i="4"/>
  <c r="BD105" i="4"/>
  <c r="BD82" i="4"/>
  <c r="BE82" i="4"/>
  <c r="BJ82" i="4"/>
  <c r="BD86" i="4"/>
  <c r="C36" i="5"/>
  <c r="BC48" i="4" l="1"/>
  <c r="BE97" i="4"/>
  <c r="BF97" i="4" s="1"/>
  <c r="BK101" i="4"/>
  <c r="BK109" i="4"/>
  <c r="BJ99" i="4"/>
  <c r="BK99" i="4" s="1"/>
  <c r="BJ107" i="4"/>
  <c r="BJ97" i="4"/>
  <c r="BI97" i="4"/>
  <c r="BI115" i="4"/>
  <c r="BK84" i="4"/>
  <c r="BJ116" i="4"/>
  <c r="BI108" i="4"/>
  <c r="BE116" i="4"/>
  <c r="BF116" i="4" s="1"/>
  <c r="BC41" i="4"/>
  <c r="BC47" i="4"/>
  <c r="AQ42" i="4"/>
  <c r="BC42" i="4"/>
  <c r="C37" i="5"/>
  <c r="C38" i="5" s="1"/>
  <c r="C41" i="5" s="1"/>
  <c r="C42" i="5" s="1"/>
  <c r="C43" i="5" s="1"/>
  <c r="C44" i="5" s="1"/>
  <c r="C45" i="5" s="1"/>
  <c r="C46" i="5" s="1"/>
  <c r="C49" i="5" s="1"/>
  <c r="C50" i="5" s="1"/>
  <c r="C51" i="5" s="1"/>
  <c r="C52" i="5" s="1"/>
  <c r="C55" i="5" s="1"/>
  <c r="AQ56" i="4"/>
  <c r="BC56" i="4"/>
  <c r="AQ100" i="4"/>
  <c r="BO100" i="4"/>
  <c r="BC100" i="4"/>
  <c r="BE100" i="4" s="1"/>
  <c r="AQ114" i="4"/>
  <c r="BO114" i="4"/>
  <c r="BC114" i="4"/>
  <c r="BI114" i="4" s="1"/>
  <c r="BI104" i="4"/>
  <c r="BD104" i="4"/>
  <c r="BJ104" i="4"/>
  <c r="AQ93" i="4"/>
  <c r="BO93" i="4"/>
  <c r="BC93" i="4"/>
  <c r="BD93" i="4" s="1"/>
  <c r="AQ88" i="4"/>
  <c r="BC88" i="4"/>
  <c r="BD88" i="4" s="1"/>
  <c r="BO88" i="4"/>
  <c r="AQ77" i="4"/>
  <c r="BC77" i="4"/>
  <c r="BD77" i="4" s="1"/>
  <c r="BO77" i="4"/>
  <c r="AQ49" i="4"/>
  <c r="BC49" i="4"/>
  <c r="AQ80" i="4"/>
  <c r="BO80" i="4"/>
  <c r="BC80" i="4"/>
  <c r="BI80" i="4" s="1"/>
  <c r="AQ43" i="4"/>
  <c r="BC43" i="4"/>
  <c r="BE92" i="4"/>
  <c r="BD92" i="4"/>
  <c r="AQ112" i="4"/>
  <c r="BO112" i="4"/>
  <c r="BC112" i="4"/>
  <c r="AQ85" i="4"/>
  <c r="BC85" i="4"/>
  <c r="BJ85" i="4" s="1"/>
  <c r="BO85" i="4"/>
  <c r="AQ87" i="4"/>
  <c r="BO87" i="4"/>
  <c r="BC87" i="4"/>
  <c r="AQ81" i="4"/>
  <c r="BC81" i="4"/>
  <c r="BD81" i="4" s="1"/>
  <c r="BO81" i="4"/>
  <c r="AQ40" i="4"/>
  <c r="BC40" i="4"/>
  <c r="AQ63" i="4"/>
  <c r="BC63" i="4"/>
  <c r="AQ83" i="4"/>
  <c r="BC83" i="4"/>
  <c r="BD83" i="4" s="1"/>
  <c r="BO83" i="4"/>
  <c r="AQ45" i="4"/>
  <c r="BC45" i="4"/>
  <c r="AQ111" i="4"/>
  <c r="BC111" i="4"/>
  <c r="BO111" i="4"/>
  <c r="AQ67" i="4"/>
  <c r="BC67" i="4"/>
  <c r="AQ90" i="4"/>
  <c r="BC90" i="4"/>
  <c r="BD90" i="4" s="1"/>
  <c r="BO90" i="4"/>
  <c r="AQ102" i="4"/>
  <c r="BC102" i="4"/>
  <c r="BE102" i="4" s="1"/>
  <c r="BO102" i="4"/>
  <c r="AQ57" i="4"/>
  <c r="BC57" i="4"/>
  <c r="AQ38" i="4"/>
  <c r="BC38" i="4"/>
  <c r="BJ113" i="4"/>
  <c r="BK113" i="4" s="1"/>
  <c r="BK82" i="4"/>
  <c r="BF105" i="4"/>
  <c r="BF110" i="4"/>
  <c r="BK105" i="4"/>
  <c r="BK110" i="4"/>
  <c r="BI98" i="4"/>
  <c r="BI106" i="4"/>
  <c r="BE98" i="4"/>
  <c r="BJ98" i="4"/>
  <c r="BE103" i="4"/>
  <c r="BJ103" i="4"/>
  <c r="BK103" i="4" s="1"/>
  <c r="BE89" i="4"/>
  <c r="BJ89" i="4"/>
  <c r="BK89" i="4" s="1"/>
  <c r="BE115" i="4"/>
  <c r="BF115" i="4" s="1"/>
  <c r="BJ115" i="4"/>
  <c r="BD98" i="4"/>
  <c r="BD78" i="4"/>
  <c r="BE94" i="4"/>
  <c r="BJ106" i="4"/>
  <c r="BI91" i="4"/>
  <c r="BD79" i="4"/>
  <c r="BD94" i="4"/>
  <c r="BE108" i="4"/>
  <c r="BF108" i="4" s="1"/>
  <c r="BJ108" i="4"/>
  <c r="BJ95" i="4"/>
  <c r="BK95" i="4" s="1"/>
  <c r="BE95" i="4"/>
  <c r="BF82" i="4"/>
  <c r="BK115" i="4" l="1"/>
  <c r="BK97" i="4"/>
  <c r="BK108" i="4"/>
  <c r="BI81" i="4"/>
  <c r="BE85" i="4"/>
  <c r="BD102" i="4"/>
  <c r="BF102" i="4" s="1"/>
  <c r="BJ81" i="4"/>
  <c r="BE81" i="4"/>
  <c r="BF81" i="4" s="1"/>
  <c r="BJ88" i="4"/>
  <c r="BF92" i="4"/>
  <c r="C56" i="5"/>
  <c r="C57" i="5" s="1"/>
  <c r="BD100" i="4"/>
  <c r="BF100" i="4" s="1"/>
  <c r="BE88" i="4"/>
  <c r="BF88" i="4" s="1"/>
  <c r="BJ112" i="4"/>
  <c r="BE112" i="4"/>
  <c r="BI112" i="4"/>
  <c r="BE111" i="4"/>
  <c r="BD111" i="4"/>
  <c r="BJ87" i="4"/>
  <c r="BD87" i="4"/>
  <c r="BE87" i="4"/>
  <c r="BD85" i="4"/>
  <c r="BI85" i="4"/>
  <c r="BK85" i="4" s="1"/>
  <c r="BD80" i="4"/>
  <c r="BE80" i="4"/>
  <c r="BJ80" i="4"/>
  <c r="BK80" i="4" s="1"/>
  <c r="BK104" i="4"/>
  <c r="BI111" i="4"/>
  <c r="BE99" i="4"/>
  <c r="BE104" i="4"/>
  <c r="BF104" i="4" s="1"/>
  <c r="BJ100" i="4"/>
  <c r="BJ92" i="4"/>
  <c r="BE96" i="4"/>
  <c r="BE84" i="4"/>
  <c r="BF84" i="4" s="1"/>
  <c r="BF98" i="4"/>
  <c r="BK98" i="4"/>
  <c r="BK106" i="4"/>
  <c r="BJ77" i="4"/>
  <c r="BE77" i="4"/>
  <c r="BF77" i="4" s="1"/>
  <c r="BF94" i="4"/>
  <c r="BE78" i="4"/>
  <c r="BF78" i="4" s="1"/>
  <c r="BJ78" i="4"/>
  <c r="BJ90" i="4"/>
  <c r="BE90" i="4"/>
  <c r="BF90" i="4" s="1"/>
  <c r="BE86" i="4"/>
  <c r="BF86" i="4" s="1"/>
  <c r="BJ86" i="4"/>
  <c r="BJ79" i="4"/>
  <c r="BE79" i="4"/>
  <c r="BF79" i="4" s="1"/>
  <c r="BE93" i="4"/>
  <c r="BF93" i="4" s="1"/>
  <c r="BJ93" i="4"/>
  <c r="BE91" i="4"/>
  <c r="BJ91" i="4"/>
  <c r="BK91" i="4" s="1"/>
  <c r="BJ114" i="4"/>
  <c r="BK114" i="4" s="1"/>
  <c r="BE114" i="4"/>
  <c r="BE83" i="4"/>
  <c r="BF83" i="4" s="1"/>
  <c r="BJ83" i="4"/>
  <c r="BF85" i="4" l="1"/>
  <c r="BK81" i="4"/>
  <c r="BF80" i="4"/>
  <c r="BF87" i="4"/>
  <c r="BF111" i="4"/>
  <c r="BK112" i="4"/>
  <c r="BJ111" i="4"/>
  <c r="BK111" i="4" s="1"/>
  <c r="BJ94" i="4" l="1"/>
  <c r="BE107" i="4"/>
  <c r="BF107" i="4" s="1"/>
  <c r="BJ102" i="4"/>
  <c r="BE106" i="4"/>
  <c r="BQ109" i="4"/>
  <c r="BQ96" i="4"/>
  <c r="BQ100" i="4"/>
  <c r="BQ88" i="4"/>
  <c r="BQ116" i="4"/>
  <c r="BQ84" i="4"/>
  <c r="BQ80" i="4"/>
  <c r="BQ104" i="4"/>
  <c r="BQ92" i="4"/>
  <c r="BQ110" i="4"/>
  <c r="BQ95" i="4"/>
  <c r="BQ99" i="4"/>
  <c r="BQ103" i="4"/>
  <c r="BQ108" i="4"/>
  <c r="BQ89" i="4"/>
  <c r="BQ111" i="4"/>
  <c r="BQ87" i="4"/>
  <c r="BQ101" i="4"/>
  <c r="BQ97" i="4"/>
  <c r="BQ107" i="4"/>
  <c r="BQ115" i="4"/>
  <c r="BQ113" i="4"/>
  <c r="BQ82" i="4"/>
  <c r="BQ77" i="4"/>
  <c r="BQ98" i="4"/>
  <c r="BQ91" i="4"/>
  <c r="BQ79" i="4"/>
  <c r="BQ94" i="4"/>
  <c r="BQ81" i="4"/>
  <c r="BQ114" i="4"/>
  <c r="BQ78" i="4"/>
  <c r="BQ86" i="4"/>
  <c r="BQ83" i="4"/>
  <c r="BQ106" i="4"/>
  <c r="BQ105" i="4"/>
  <c r="BQ102" i="4"/>
  <c r="BQ90" i="4"/>
  <c r="BQ85" i="4"/>
  <c r="BQ93" i="4"/>
  <c r="BQ112" i="4"/>
  <c r="BR113" i="4" l="1"/>
  <c r="BR100" i="4"/>
  <c r="BR112" i="4"/>
  <c r="BR104" i="4"/>
  <c r="BR111" i="4"/>
  <c r="BR80" i="4"/>
  <c r="BR87" i="4"/>
  <c r="BR96" i="4"/>
  <c r="BR92" i="4"/>
  <c r="BR88" i="4"/>
  <c r="BR84" i="4"/>
  <c r="BR116" i="4"/>
  <c r="BR101" i="4"/>
  <c r="BR109" i="4"/>
  <c r="BR95" i="4"/>
  <c r="BR103" i="4"/>
  <c r="BR89" i="4"/>
  <c r="BR85" i="4"/>
  <c r="BR97" i="4"/>
  <c r="BR82" i="4"/>
  <c r="BR108" i="4"/>
  <c r="BR107" i="4"/>
  <c r="BR105" i="4"/>
  <c r="BR110" i="4"/>
  <c r="BR99" i="4"/>
  <c r="BR83" i="4"/>
  <c r="BR114" i="4"/>
  <c r="BR81" i="4"/>
  <c r="BR90" i="4"/>
  <c r="BR106" i="4"/>
  <c r="BR79" i="4"/>
  <c r="BR86" i="4"/>
  <c r="BR115" i="4"/>
  <c r="BR102" i="4"/>
  <c r="BR78" i="4"/>
  <c r="BR94" i="4"/>
  <c r="BR98" i="4"/>
  <c r="BR77" i="4"/>
  <c r="BR91" i="4"/>
  <c r="BR93" i="4"/>
  <c r="BI94" i="4" l="1"/>
  <c r="BK94" i="4" s="1"/>
  <c r="BD91" i="4"/>
  <c r="BF91" i="4" s="1"/>
  <c r="BI102" i="4"/>
  <c r="BK102" i="4" s="1"/>
  <c r="BI83" i="4"/>
  <c r="BK83" i="4" s="1"/>
  <c r="BD103" i="4"/>
  <c r="BF103" i="4" s="1"/>
  <c r="BI93" i="4"/>
  <c r="BK93" i="4" s="1"/>
  <c r="BD89" i="4"/>
  <c r="BF89" i="4" s="1"/>
  <c r="BI79" i="4"/>
  <c r="BK79" i="4" s="1"/>
  <c r="BD99" i="4"/>
  <c r="BF99" i="4" s="1"/>
  <c r="BI116" i="4"/>
  <c r="BK116" i="4" s="1"/>
  <c r="BI90" i="4"/>
  <c r="BK90" i="4" s="1"/>
  <c r="BI92" i="4"/>
  <c r="BK92" i="4" s="1"/>
  <c r="BD106" i="4"/>
  <c r="BF106" i="4" s="1"/>
  <c r="BI87" i="4"/>
  <c r="BK87" i="4" s="1"/>
  <c r="BI100" i="4"/>
  <c r="BK100" i="4" s="1"/>
  <c r="BD112" i="4"/>
  <c r="BF112" i="4" s="1"/>
  <c r="BD114" i="4"/>
  <c r="BF114" i="4" s="1"/>
  <c r="BD96" i="4"/>
  <c r="BF96" i="4" s="1"/>
  <c r="BI77" i="4"/>
  <c r="BK77" i="4" s="1"/>
  <c r="BI78" i="4"/>
  <c r="BK78" i="4" s="1"/>
  <c r="BI86" i="4"/>
  <c r="BK86" i="4" s="1"/>
  <c r="BI88" i="4"/>
  <c r="BK88" i="4" s="1"/>
  <c r="BD95" i="4"/>
  <c r="BF95" i="4" s="1"/>
  <c r="BI107" i="4"/>
  <c r="BK107" i="4" s="1"/>
  <c r="AG35" i="4"/>
  <c r="AG32" i="4" s="1"/>
  <c r="AO35" i="4"/>
  <c r="AM32" i="4" s="1"/>
  <c r="AP32" i="4" l="1"/>
  <c r="AP37" i="4"/>
  <c r="AR37" i="4"/>
  <c r="AR26" i="4" l="1" a="1"/>
  <c r="AR26" i="4" s="1"/>
  <c r="AR29" i="4" s="1"/>
  <c r="AS37" i="4"/>
  <c r="AR35" i="4"/>
  <c r="AQ37" i="4"/>
  <c r="AP35" i="4"/>
  <c r="BC37" i="4"/>
  <c r="N32" i="4" l="1"/>
  <c r="N37" i="4"/>
  <c r="O102" i="4"/>
  <c r="O85" i="4"/>
  <c r="O103" i="4"/>
  <c r="O84" i="4"/>
  <c r="O87" i="4"/>
  <c r="O113" i="4"/>
  <c r="O107" i="4"/>
  <c r="N73" i="4"/>
  <c r="AU73" i="4" s="1"/>
  <c r="N64" i="4"/>
  <c r="AU64" i="4" s="1"/>
  <c r="O89" i="4"/>
  <c r="O116" i="4"/>
  <c r="O110" i="4"/>
  <c r="O81" i="4"/>
  <c r="O94" i="4"/>
  <c r="O82" i="4"/>
  <c r="O115" i="4"/>
  <c r="O104" i="4"/>
  <c r="O78" i="4"/>
  <c r="O108" i="4"/>
  <c r="O100" i="4"/>
  <c r="N98" i="4"/>
  <c r="AU98" i="4" s="1"/>
  <c r="N63" i="4"/>
  <c r="AU63" i="4" s="1"/>
  <c r="O92" i="4"/>
  <c r="O106" i="4"/>
  <c r="O80" i="4"/>
  <c r="O112" i="4"/>
  <c r="O99" i="4"/>
  <c r="O93" i="4"/>
  <c r="O88" i="4"/>
  <c r="O96" i="4"/>
  <c r="N75" i="4"/>
  <c r="AU75" i="4" s="1"/>
  <c r="O95" i="4"/>
  <c r="O109" i="4"/>
  <c r="O101" i="4"/>
  <c r="O91" i="4"/>
  <c r="O97" i="4"/>
  <c r="O86" i="4"/>
  <c r="O77" i="4"/>
  <c r="O114" i="4"/>
  <c r="O90" i="4"/>
  <c r="O105" i="4"/>
  <c r="O83" i="4"/>
  <c r="O98" i="4"/>
  <c r="O111" i="4"/>
  <c r="O79" i="4"/>
  <c r="N54" i="4"/>
  <c r="AU54" i="4" s="1"/>
  <c r="N82" i="4"/>
  <c r="AU82" i="4" s="1"/>
  <c r="N39" i="4"/>
  <c r="AU39" i="4" s="1"/>
  <c r="N113" i="4"/>
  <c r="AU113" i="4" s="1"/>
  <c r="N83" i="4"/>
  <c r="AU83" i="4" s="1"/>
  <c r="N111" i="4"/>
  <c r="AU111" i="4" s="1"/>
  <c r="P75" i="4"/>
  <c r="BO75" i="4" s="1"/>
  <c r="P68" i="4"/>
  <c r="BO68" i="4" s="1"/>
  <c r="N74" i="4"/>
  <c r="AU74" i="4" s="1"/>
  <c r="N76" i="4"/>
  <c r="AU76" i="4" s="1"/>
  <c r="N85" i="4"/>
  <c r="AU85" i="4" s="1"/>
  <c r="N50" i="4"/>
  <c r="AU50" i="4" s="1"/>
  <c r="N110" i="4"/>
  <c r="AU110" i="4" s="1"/>
  <c r="N68" i="4"/>
  <c r="AU68" i="4" s="1"/>
  <c r="N58" i="4"/>
  <c r="AU58" i="4" s="1"/>
  <c r="N56" i="4"/>
  <c r="AU56" i="4" s="1"/>
  <c r="N106" i="4"/>
  <c r="AU106" i="4" s="1"/>
  <c r="N53" i="4"/>
  <c r="AU53" i="4" s="1"/>
  <c r="N97" i="4"/>
  <c r="AU97" i="4" s="1"/>
  <c r="N105" i="4"/>
  <c r="AU105" i="4" s="1"/>
  <c r="N61" i="4"/>
  <c r="AU61" i="4" s="1"/>
  <c r="N114" i="4"/>
  <c r="AU114" i="4" s="1"/>
  <c r="N41" i="4"/>
  <c r="N81" i="4"/>
  <c r="AU81" i="4" s="1"/>
  <c r="N48" i="4"/>
  <c r="AU48" i="4" s="1"/>
  <c r="N116" i="4"/>
  <c r="AU116" i="4" s="1"/>
  <c r="N103" i="4"/>
  <c r="AU103" i="4" s="1"/>
  <c r="N88" i="4"/>
  <c r="AU88" i="4" s="1"/>
  <c r="N91" i="4"/>
  <c r="AU91" i="4" s="1"/>
  <c r="P82" i="4"/>
  <c r="N57" i="4"/>
  <c r="AU57" i="4" s="1"/>
  <c r="P93" i="4"/>
  <c r="P85" i="4"/>
  <c r="N44" i="4"/>
  <c r="AU44" i="4" s="1"/>
  <c r="P78" i="4"/>
  <c r="P73" i="4"/>
  <c r="BO73" i="4" s="1"/>
  <c r="P91" i="4"/>
  <c r="N104" i="4"/>
  <c r="AU104" i="4" s="1"/>
  <c r="N100" i="4"/>
  <c r="AU100" i="4" s="1"/>
  <c r="N84" i="4"/>
  <c r="AU84" i="4" s="1"/>
  <c r="N78" i="4"/>
  <c r="AU78" i="4" s="1"/>
  <c r="N51" i="4"/>
  <c r="AU51" i="4" s="1"/>
  <c r="N47" i="4"/>
  <c r="AU47" i="4" s="1"/>
  <c r="P103" i="4"/>
  <c r="P41" i="4"/>
  <c r="BO41" i="4" s="1"/>
  <c r="N79" i="4"/>
  <c r="AU79" i="4" s="1"/>
  <c r="P67" i="4"/>
  <c r="BO67" i="4" s="1"/>
  <c r="N71" i="4"/>
  <c r="AU71" i="4" s="1"/>
  <c r="N96" i="4"/>
  <c r="AU96" i="4" s="1"/>
  <c r="P56" i="4"/>
  <c r="BO56" i="4" s="1"/>
  <c r="P98" i="4"/>
  <c r="P58" i="4"/>
  <c r="BO58" i="4" s="1"/>
  <c r="P63" i="4"/>
  <c r="BO63" i="4" s="1"/>
  <c r="P76" i="4"/>
  <c r="BO76" i="4" s="1"/>
  <c r="N112" i="4"/>
  <c r="AU112" i="4" s="1"/>
  <c r="N95" i="4"/>
  <c r="AU95" i="4" s="1"/>
  <c r="P104" i="4"/>
  <c r="N38" i="4"/>
  <c r="AU38" i="4" s="1"/>
  <c r="P100" i="4"/>
  <c r="N69" i="4"/>
  <c r="AU69" i="4" s="1"/>
  <c r="N60" i="4"/>
  <c r="AU60" i="4" s="1"/>
  <c r="N46" i="4"/>
  <c r="AU46" i="4" s="1"/>
  <c r="N92" i="4"/>
  <c r="AU92" i="4" s="1"/>
  <c r="P64" i="4"/>
  <c r="BO64" i="4" s="1"/>
  <c r="N102" i="4"/>
  <c r="AU102" i="4" s="1"/>
  <c r="P105" i="4"/>
  <c r="N49" i="4"/>
  <c r="AU49" i="4" s="1"/>
  <c r="N101" i="4"/>
  <c r="AU101" i="4" s="1"/>
  <c r="N87" i="4"/>
  <c r="AU87" i="4" s="1"/>
  <c r="P60" i="4"/>
  <c r="BO60" i="4" s="1"/>
  <c r="N90" i="4"/>
  <c r="AU90" i="4" s="1"/>
  <c r="N67" i="4"/>
  <c r="AU67" i="4" s="1"/>
  <c r="N93" i="4"/>
  <c r="AU93" i="4" s="1"/>
  <c r="N99" i="4"/>
  <c r="AU99" i="4" s="1"/>
  <c r="P44" i="4"/>
  <c r="BO44" i="4" s="1"/>
  <c r="N107" i="4"/>
  <c r="AU107" i="4" s="1"/>
  <c r="N77" i="4"/>
  <c r="AU77" i="4" s="1"/>
  <c r="P114" i="4"/>
  <c r="P86" i="4"/>
  <c r="P99" i="4"/>
  <c r="P81" i="4"/>
  <c r="P61" i="4"/>
  <c r="BO61" i="4" s="1"/>
  <c r="N86" i="4"/>
  <c r="AU86" i="4" s="1"/>
  <c r="N70" i="4"/>
  <c r="AU70" i="4" s="1"/>
  <c r="N72" i="4"/>
  <c r="AU72" i="4" s="1"/>
  <c r="N45" i="4"/>
  <c r="AU45" i="4" s="1"/>
  <c r="P110" i="4"/>
  <c r="P92" i="4"/>
  <c r="N40" i="4"/>
  <c r="AU40" i="4" s="1"/>
  <c r="N108" i="4"/>
  <c r="AU108" i="4" s="1"/>
  <c r="N59" i="4"/>
  <c r="AU59" i="4" s="1"/>
  <c r="N42" i="4"/>
  <c r="AU42" i="4" s="1"/>
  <c r="P111" i="4"/>
  <c r="P71" i="4"/>
  <c r="BO71" i="4" s="1"/>
  <c r="P80" i="4"/>
  <c r="P57" i="4"/>
  <c r="BO57" i="4" s="1"/>
  <c r="P97" i="4"/>
  <c r="P52" i="4"/>
  <c r="BO52" i="4" s="1"/>
  <c r="N94" i="4"/>
  <c r="AU94" i="4" s="1"/>
  <c r="P113" i="4"/>
  <c r="P48" i="4"/>
  <c r="BO48" i="4" s="1"/>
  <c r="P109" i="4"/>
  <c r="P96" i="4"/>
  <c r="P50" i="4"/>
  <c r="BO50" i="4" s="1"/>
  <c r="P95" i="4"/>
  <c r="N43" i="4"/>
  <c r="AU43" i="4" s="1"/>
  <c r="N66" i="4"/>
  <c r="AU66" i="4" s="1"/>
  <c r="P54" i="4"/>
  <c r="BO54" i="4" s="1"/>
  <c r="P89" i="4"/>
  <c r="P53" i="4"/>
  <c r="BO53" i="4" s="1"/>
  <c r="P70" i="4"/>
  <c r="BO70" i="4" s="1"/>
  <c r="N115" i="4"/>
  <c r="AU115" i="4" s="1"/>
  <c r="N52" i="4"/>
  <c r="AU52" i="4" s="1"/>
  <c r="N89" i="4"/>
  <c r="AU89" i="4" s="1"/>
  <c r="P107" i="4"/>
  <c r="P49" i="4"/>
  <c r="BO49" i="4" s="1"/>
  <c r="P74" i="4"/>
  <c r="BO74" i="4" s="1"/>
  <c r="P116" i="4"/>
  <c r="N55" i="4"/>
  <c r="AU55" i="4" s="1"/>
  <c r="N109" i="4"/>
  <c r="AU109" i="4" s="1"/>
  <c r="P65" i="4"/>
  <c r="BO65" i="4" s="1"/>
  <c r="P84" i="4"/>
  <c r="P77" i="4"/>
  <c r="N62" i="4"/>
  <c r="AU62" i="4" s="1"/>
  <c r="N65" i="4"/>
  <c r="AU65" i="4" s="1"/>
  <c r="P79" i="4"/>
  <c r="P55" i="4"/>
  <c r="BO55" i="4" s="1"/>
  <c r="P88" i="4"/>
  <c r="P94" i="4"/>
  <c r="P42" i="4"/>
  <c r="BO42" i="4" s="1"/>
  <c r="P59" i="4"/>
  <c r="BO59" i="4" s="1"/>
  <c r="P112" i="4"/>
  <c r="P102" i="4"/>
  <c r="P83" i="4"/>
  <c r="P47" i="4"/>
  <c r="BO47" i="4" s="1"/>
  <c r="P43" i="4"/>
  <c r="BO43" i="4" s="1"/>
  <c r="P62" i="4"/>
  <c r="BO62" i="4" s="1"/>
  <c r="P90" i="4"/>
  <c r="P108" i="4"/>
  <c r="P66" i="4"/>
  <c r="BO66" i="4" s="1"/>
  <c r="P101" i="4"/>
  <c r="P46" i="4"/>
  <c r="BO46" i="4" s="1"/>
  <c r="P40" i="4"/>
  <c r="BO40" i="4" s="1"/>
  <c r="P51" i="4"/>
  <c r="BO51" i="4" s="1"/>
  <c r="P69" i="4"/>
  <c r="BO69" i="4" s="1"/>
  <c r="N80" i="4"/>
  <c r="AU80" i="4" s="1"/>
  <c r="P87" i="4"/>
  <c r="P72" i="4"/>
  <c r="BO72" i="4" s="1"/>
  <c r="P115" i="4"/>
  <c r="P38" i="4"/>
  <c r="BO38" i="4" s="1"/>
  <c r="P106" i="4"/>
  <c r="P45" i="4"/>
  <c r="BO45" i="4" s="1"/>
  <c r="P37" i="4"/>
  <c r="BO37" i="4" s="1"/>
  <c r="P39" i="4"/>
  <c r="BO39" i="4" s="1"/>
  <c r="AU37" i="4" l="1"/>
  <c r="AY37" i="4"/>
  <c r="AZ37" i="4" s="1"/>
  <c r="AY65" i="4"/>
  <c r="AY109" i="4"/>
  <c r="AZ109" i="4"/>
  <c r="AY42" i="4"/>
  <c r="AZ42" i="4" s="1"/>
  <c r="AY70" i="4"/>
  <c r="AZ70" i="4"/>
  <c r="AY107" i="4"/>
  <c r="AZ107" i="4"/>
  <c r="AZ101" i="4"/>
  <c r="AY101" i="4"/>
  <c r="AY95" i="4"/>
  <c r="AZ95" i="4"/>
  <c r="AY84" i="4"/>
  <c r="AZ84" i="4"/>
  <c r="AY88" i="4"/>
  <c r="AZ88" i="4"/>
  <c r="AY55" i="4"/>
  <c r="AZ55" i="4"/>
  <c r="AY66" i="4"/>
  <c r="AZ66" i="4"/>
  <c r="AY94" i="4"/>
  <c r="AZ94" i="4"/>
  <c r="AY59" i="4"/>
  <c r="AZ59" i="4"/>
  <c r="AY86" i="4"/>
  <c r="AZ86" i="4"/>
  <c r="AY90" i="4"/>
  <c r="AZ90" i="4"/>
  <c r="AY49" i="4"/>
  <c r="AZ49" i="4" s="1"/>
  <c r="AY92" i="4"/>
  <c r="AZ92" i="4"/>
  <c r="AY112" i="4"/>
  <c r="AZ112" i="4"/>
  <c r="AY47" i="4"/>
  <c r="AY100" i="4"/>
  <c r="AZ100" i="4"/>
  <c r="AY57" i="4"/>
  <c r="AZ57" i="4"/>
  <c r="AY103" i="4"/>
  <c r="AZ103" i="4"/>
  <c r="AU41" i="4"/>
  <c r="AY41" i="4"/>
  <c r="AZ41" i="4" s="1"/>
  <c r="AZ97" i="4"/>
  <c r="AY97" i="4"/>
  <c r="AY58" i="4"/>
  <c r="AZ58" i="4"/>
  <c r="AY85" i="4"/>
  <c r="AZ85" i="4"/>
  <c r="AY39" i="4"/>
  <c r="AY63" i="4"/>
  <c r="AY89" i="4"/>
  <c r="AZ89" i="4"/>
  <c r="AY43" i="4"/>
  <c r="AZ43" i="4" s="1"/>
  <c r="AY108" i="4"/>
  <c r="AZ108" i="4"/>
  <c r="AY45" i="4"/>
  <c r="AZ45" i="4" s="1"/>
  <c r="AY99" i="4"/>
  <c r="AZ99" i="4"/>
  <c r="AY46" i="4"/>
  <c r="AZ46" i="4" s="1"/>
  <c r="AY38" i="4"/>
  <c r="AY79" i="4"/>
  <c r="AZ79" i="4"/>
  <c r="AY51" i="4"/>
  <c r="AZ51" i="4"/>
  <c r="AZ104" i="4"/>
  <c r="AY104" i="4"/>
  <c r="AY44" i="4"/>
  <c r="AZ44" i="4" s="1"/>
  <c r="AY116" i="4"/>
  <c r="AZ116" i="4"/>
  <c r="AY114" i="4"/>
  <c r="AZ114" i="4"/>
  <c r="AY53" i="4"/>
  <c r="AY68" i="4"/>
  <c r="AY76" i="4"/>
  <c r="AZ76" i="4"/>
  <c r="AY111" i="4"/>
  <c r="AZ111" i="4"/>
  <c r="AY82" i="4"/>
  <c r="AZ82" i="4"/>
  <c r="AY98" i="4"/>
  <c r="AZ98" i="4"/>
  <c r="AY80" i="4"/>
  <c r="AZ80" i="4"/>
  <c r="AY52" i="4"/>
  <c r="AZ52" i="4"/>
  <c r="AY40" i="4"/>
  <c r="AZ40" i="4" s="1"/>
  <c r="AY72" i="4"/>
  <c r="AZ72" i="4"/>
  <c r="AY77" i="4"/>
  <c r="AZ77" i="4"/>
  <c r="AY93" i="4"/>
  <c r="AZ93" i="4"/>
  <c r="AY87" i="4"/>
  <c r="AZ87" i="4"/>
  <c r="AY102" i="4"/>
  <c r="AZ102" i="4"/>
  <c r="AY60" i="4"/>
  <c r="AZ60" i="4"/>
  <c r="AY96" i="4"/>
  <c r="AZ96" i="4"/>
  <c r="AY78" i="4"/>
  <c r="AZ78" i="4"/>
  <c r="AZ91" i="4"/>
  <c r="AY91" i="4"/>
  <c r="AY48" i="4"/>
  <c r="AZ48" i="4" s="1"/>
  <c r="AY61" i="4"/>
  <c r="AZ61" i="4"/>
  <c r="AY106" i="4"/>
  <c r="AZ106" i="4"/>
  <c r="AY110" i="4"/>
  <c r="AZ110" i="4"/>
  <c r="AY74" i="4"/>
  <c r="AZ74" i="4"/>
  <c r="AZ83" i="4"/>
  <c r="AY83" i="4"/>
  <c r="AY54" i="4"/>
  <c r="AZ54" i="4"/>
  <c r="AY64" i="4"/>
  <c r="AZ64" i="4"/>
  <c r="AC32" i="4"/>
  <c r="AY62" i="4"/>
  <c r="AZ62" i="4"/>
  <c r="AY115" i="4"/>
  <c r="AZ115" i="4"/>
  <c r="AY67" i="4"/>
  <c r="AZ67" i="4"/>
  <c r="AY69" i="4"/>
  <c r="AZ69" i="4"/>
  <c r="AY71" i="4"/>
  <c r="AZ71" i="4"/>
  <c r="AY81" i="4"/>
  <c r="AZ81" i="4"/>
  <c r="AZ105" i="4"/>
  <c r="AY105" i="4"/>
  <c r="AY56" i="4"/>
  <c r="AZ56" i="4"/>
  <c r="AY50" i="4"/>
  <c r="AZ50" i="4"/>
  <c r="AY113" i="4"/>
  <c r="AZ113" i="4"/>
  <c r="AY75" i="4"/>
  <c r="AZ75" i="4"/>
  <c r="AY73" i="4"/>
  <c r="BD73" i="4" l="1"/>
  <c r="BI73" i="4"/>
  <c r="AZ73" i="4"/>
  <c r="BJ75" i="4"/>
  <c r="BE75" i="4"/>
  <c r="BI75" i="4"/>
  <c r="BK75" i="4" s="1"/>
  <c r="BD75" i="4"/>
  <c r="BF75" i="4" s="1"/>
  <c r="BJ50" i="4"/>
  <c r="BE50" i="4"/>
  <c r="BD50" i="4"/>
  <c r="BI50" i="4"/>
  <c r="BK50" i="4" s="1"/>
  <c r="BE56" i="4"/>
  <c r="BJ56" i="4"/>
  <c r="BI56" i="4"/>
  <c r="BD56" i="4"/>
  <c r="BF56" i="4" s="1"/>
  <c r="BJ71" i="4"/>
  <c r="BE71" i="4"/>
  <c r="BD71" i="4"/>
  <c r="BI71" i="4"/>
  <c r="BK71" i="4" s="1"/>
  <c r="BJ69" i="4"/>
  <c r="BE69" i="4"/>
  <c r="BD69" i="4"/>
  <c r="BI69" i="4"/>
  <c r="BK69" i="4" s="1"/>
  <c r="BE67" i="4"/>
  <c r="BJ67" i="4"/>
  <c r="BD67" i="4"/>
  <c r="BI67" i="4"/>
  <c r="BK67" i="4" s="1"/>
  <c r="BJ62" i="4"/>
  <c r="BE62" i="4"/>
  <c r="BI62" i="4"/>
  <c r="BD62" i="4"/>
  <c r="BF62" i="4" s="1"/>
  <c r="BJ64" i="4"/>
  <c r="BE64" i="4"/>
  <c r="BI64" i="4"/>
  <c r="BD64" i="4"/>
  <c r="BJ54" i="4"/>
  <c r="BE54" i="4"/>
  <c r="BD54" i="4"/>
  <c r="BF54" i="4" s="1"/>
  <c r="BI54" i="4"/>
  <c r="BK54" i="4" s="1"/>
  <c r="BE74" i="4"/>
  <c r="BJ74" i="4"/>
  <c r="BD74" i="4"/>
  <c r="BF74" i="4" s="1"/>
  <c r="BI74" i="4"/>
  <c r="BK74" i="4" s="1"/>
  <c r="BJ61" i="4"/>
  <c r="BE61" i="4"/>
  <c r="BD61" i="4"/>
  <c r="BI61" i="4"/>
  <c r="BK61" i="4" s="1"/>
  <c r="BJ60" i="4"/>
  <c r="BE60" i="4"/>
  <c r="BD60" i="4"/>
  <c r="BF60" i="4" s="1"/>
  <c r="BI60" i="4"/>
  <c r="BK60" i="4" s="1"/>
  <c r="BE72" i="4"/>
  <c r="BJ72" i="4"/>
  <c r="BD72" i="4"/>
  <c r="BI72" i="4"/>
  <c r="BK72" i="4" s="1"/>
  <c r="BE52" i="4"/>
  <c r="BJ52" i="4"/>
  <c r="BD52" i="4"/>
  <c r="BF52" i="4" s="1"/>
  <c r="BI52" i="4"/>
  <c r="BK52" i="4" s="1"/>
  <c r="BE76" i="4"/>
  <c r="BJ76" i="4"/>
  <c r="BD76" i="4"/>
  <c r="BF76" i="4" s="1"/>
  <c r="BI76" i="4"/>
  <c r="BK76" i="4" s="1"/>
  <c r="BD53" i="4"/>
  <c r="BI53" i="4"/>
  <c r="AZ53" i="4"/>
  <c r="BJ51" i="4"/>
  <c r="BE51" i="4"/>
  <c r="BD51" i="4"/>
  <c r="BI51" i="4"/>
  <c r="BI63" i="4"/>
  <c r="BD63" i="4"/>
  <c r="AZ63" i="4"/>
  <c r="BJ58" i="4"/>
  <c r="BE58" i="4"/>
  <c r="BI58" i="4"/>
  <c r="BD58" i="4"/>
  <c r="BJ57" i="4"/>
  <c r="BE57" i="4"/>
  <c r="BI57" i="4"/>
  <c r="BD57" i="4"/>
  <c r="BJ59" i="4"/>
  <c r="BE59" i="4"/>
  <c r="BI59" i="4"/>
  <c r="BD59" i="4"/>
  <c r="BE66" i="4"/>
  <c r="BJ66" i="4"/>
  <c r="BD66" i="4"/>
  <c r="BI66" i="4"/>
  <c r="BE55" i="4"/>
  <c r="BJ55" i="4"/>
  <c r="BD55" i="4"/>
  <c r="BF55" i="4" s="1"/>
  <c r="BI55" i="4"/>
  <c r="BE70" i="4"/>
  <c r="BJ70" i="4"/>
  <c r="BD70" i="4"/>
  <c r="BF70" i="4" s="1"/>
  <c r="BI70" i="4"/>
  <c r="BI65" i="4"/>
  <c r="BD65" i="4"/>
  <c r="AZ65" i="4"/>
  <c r="BI68" i="4"/>
  <c r="BD68" i="4"/>
  <c r="AZ68" i="4"/>
  <c r="BD49" i="4"/>
  <c r="BI49" i="4"/>
  <c r="BJ49" i="4"/>
  <c r="BE49" i="4"/>
  <c r="BD48" i="4"/>
  <c r="BI48" i="4"/>
  <c r="BJ48" i="4"/>
  <c r="BE48" i="4"/>
  <c r="BE43" i="4"/>
  <c r="BJ43" i="4"/>
  <c r="BE40" i="4"/>
  <c r="BJ40" i="4"/>
  <c r="BJ45" i="4"/>
  <c r="BE45" i="4"/>
  <c r="BI38" i="4"/>
  <c r="BD38" i="4"/>
  <c r="BI39" i="4"/>
  <c r="BD39" i="4"/>
  <c r="BD47" i="4"/>
  <c r="BI47" i="4"/>
  <c r="BJ42" i="4"/>
  <c r="BE42" i="4"/>
  <c r="BD46" i="4"/>
  <c r="BI46" i="4"/>
  <c r="BJ44" i="4"/>
  <c r="BE44" i="4"/>
  <c r="BI44" i="4"/>
  <c r="BD44" i="4"/>
  <c r="BD40" i="4"/>
  <c r="BI40" i="4"/>
  <c r="BE46" i="4"/>
  <c r="BJ46" i="4"/>
  <c r="BD45" i="4"/>
  <c r="BI45" i="4"/>
  <c r="BD43" i="4"/>
  <c r="BI43" i="4"/>
  <c r="AZ38" i="4"/>
  <c r="AZ39" i="4"/>
  <c r="BA39" i="4" s="1"/>
  <c r="BB39" i="4" s="1"/>
  <c r="AZ47" i="4"/>
  <c r="BA47" i="4" s="1"/>
  <c r="BB47" i="4" s="1"/>
  <c r="BI42" i="4"/>
  <c r="BD42" i="4"/>
  <c r="BE37" i="4"/>
  <c r="BJ37" i="4"/>
  <c r="BJ41" i="4"/>
  <c r="BE41" i="4"/>
  <c r="BD41" i="4"/>
  <c r="BI41" i="4"/>
  <c r="BA110" i="4"/>
  <c r="BB110" i="4" s="1"/>
  <c r="BG110" i="4" s="1"/>
  <c r="BP110" i="4" s="1"/>
  <c r="BA81" i="4"/>
  <c r="BB81" i="4" s="1"/>
  <c r="BG81" i="4" s="1"/>
  <c r="BP81" i="4" s="1"/>
  <c r="BA69" i="4"/>
  <c r="BB69" i="4" s="1"/>
  <c r="BL69" i="4" s="1"/>
  <c r="BM69" i="4" s="1"/>
  <c r="BA115" i="4"/>
  <c r="BB115" i="4" s="1"/>
  <c r="BL115" i="4" s="1"/>
  <c r="BM115" i="4" s="1"/>
  <c r="BA42" i="4"/>
  <c r="BB42" i="4" s="1"/>
  <c r="BA65" i="4"/>
  <c r="BB65" i="4" s="1"/>
  <c r="BA37" i="4"/>
  <c r="BB37" i="4" s="1"/>
  <c r="BI37" i="4"/>
  <c r="BD37" i="4"/>
  <c r="BA58" i="4"/>
  <c r="BB58" i="4" s="1"/>
  <c r="BA41" i="4"/>
  <c r="BB41" i="4" s="1"/>
  <c r="BA74" i="4"/>
  <c r="BB74" i="4" s="1"/>
  <c r="BL74" i="4" s="1"/>
  <c r="BM74" i="4" s="1"/>
  <c r="BA78" i="4"/>
  <c r="BB78" i="4" s="1"/>
  <c r="BL78" i="4" s="1"/>
  <c r="BM78" i="4" s="1"/>
  <c r="BA60" i="4"/>
  <c r="BB60" i="4" s="1"/>
  <c r="BG60" i="4" s="1"/>
  <c r="BA87" i="4"/>
  <c r="BB87" i="4" s="1"/>
  <c r="BG87" i="4" s="1"/>
  <c r="BP87" i="4" s="1"/>
  <c r="BA77" i="4"/>
  <c r="BB77" i="4" s="1"/>
  <c r="BG77" i="4" s="1"/>
  <c r="BP77" i="4" s="1"/>
  <c r="BA40" i="4"/>
  <c r="BB40" i="4" s="1"/>
  <c r="BA80" i="4"/>
  <c r="BB80" i="4" s="1"/>
  <c r="BG80" i="4" s="1"/>
  <c r="BP80" i="4" s="1"/>
  <c r="BA68" i="4"/>
  <c r="BB68" i="4" s="1"/>
  <c r="BA73" i="4"/>
  <c r="BB73" i="4" s="1"/>
  <c r="BA82" i="4"/>
  <c r="BB82" i="4" s="1"/>
  <c r="BL82" i="4" s="1"/>
  <c r="BM82" i="4" s="1"/>
  <c r="BA79" i="4"/>
  <c r="BB79" i="4" s="1"/>
  <c r="BL79" i="4" s="1"/>
  <c r="BM79" i="4" s="1"/>
  <c r="BA45" i="4"/>
  <c r="BB45" i="4" s="1"/>
  <c r="BA43" i="4"/>
  <c r="BB43" i="4" s="1"/>
  <c r="BA100" i="4"/>
  <c r="BB100" i="4" s="1"/>
  <c r="BG100" i="4" s="1"/>
  <c r="BP100" i="4" s="1"/>
  <c r="BA112" i="4"/>
  <c r="BB112" i="4" s="1"/>
  <c r="BG112" i="4" s="1"/>
  <c r="BP112" i="4" s="1"/>
  <c r="BA86" i="4"/>
  <c r="BB86" i="4" s="1"/>
  <c r="BL86" i="4" s="1"/>
  <c r="BM86" i="4" s="1"/>
  <c r="BA94" i="4"/>
  <c r="BB94" i="4" s="1"/>
  <c r="BL94" i="4" s="1"/>
  <c r="BM94" i="4" s="1"/>
  <c r="BA55" i="4"/>
  <c r="BB55" i="4" s="1"/>
  <c r="BG55" i="4" s="1"/>
  <c r="BA84" i="4"/>
  <c r="BB84" i="4" s="1"/>
  <c r="BL84" i="4" s="1"/>
  <c r="BM84" i="4" s="1"/>
  <c r="BA70" i="4"/>
  <c r="BB70" i="4" s="1"/>
  <c r="BG70" i="4" s="1"/>
  <c r="BA109" i="4"/>
  <c r="BB109" i="4" s="1"/>
  <c r="BL109" i="4" s="1"/>
  <c r="BM109" i="4" s="1"/>
  <c r="BA105" i="4"/>
  <c r="BB105" i="4" s="1"/>
  <c r="BG105" i="4" s="1"/>
  <c r="BP105" i="4" s="1"/>
  <c r="BA54" i="4"/>
  <c r="BB54" i="4" s="1"/>
  <c r="BL54" i="4" s="1"/>
  <c r="BM54" i="4" s="1"/>
  <c r="BA111" i="4"/>
  <c r="BB111" i="4" s="1"/>
  <c r="BG111" i="4" s="1"/>
  <c r="BP111" i="4" s="1"/>
  <c r="BA114" i="4"/>
  <c r="BB114" i="4" s="1"/>
  <c r="BG114" i="4" s="1"/>
  <c r="BP114" i="4" s="1"/>
  <c r="BA97" i="4"/>
  <c r="BB97" i="4" s="1"/>
  <c r="BL97" i="4" s="1"/>
  <c r="BM97" i="4" s="1"/>
  <c r="BA88" i="4"/>
  <c r="BB88" i="4" s="1"/>
  <c r="BL88" i="4" s="1"/>
  <c r="BM88" i="4" s="1"/>
  <c r="BA103" i="4"/>
  <c r="BB103" i="4" s="1"/>
  <c r="BG103" i="4" s="1"/>
  <c r="BP103" i="4" s="1"/>
  <c r="BA98" i="4"/>
  <c r="BB98" i="4" s="1"/>
  <c r="BA113" i="4"/>
  <c r="BB113" i="4" s="1"/>
  <c r="BA56" i="4"/>
  <c r="BB56" i="4" s="1"/>
  <c r="BA71" i="4"/>
  <c r="BB71" i="4" s="1"/>
  <c r="BA83" i="4"/>
  <c r="BB83" i="4" s="1"/>
  <c r="BA106" i="4"/>
  <c r="BB106" i="4" s="1"/>
  <c r="BA61" i="4"/>
  <c r="BB61" i="4" s="1"/>
  <c r="BA48" i="4"/>
  <c r="BB48" i="4" s="1"/>
  <c r="BA102" i="4"/>
  <c r="BB102" i="4" s="1"/>
  <c r="BA52" i="4"/>
  <c r="BB52" i="4" s="1"/>
  <c r="BA76" i="4"/>
  <c r="BB76" i="4" s="1"/>
  <c r="BA53" i="4"/>
  <c r="BB53" i="4" s="1"/>
  <c r="BA116" i="4"/>
  <c r="BB116" i="4" s="1"/>
  <c r="BA51" i="4"/>
  <c r="BB51" i="4" s="1"/>
  <c r="BA99" i="4"/>
  <c r="BB99" i="4" s="1"/>
  <c r="BA89" i="4"/>
  <c r="BB89" i="4" s="1"/>
  <c r="BA90" i="4"/>
  <c r="BB90" i="4" s="1"/>
  <c r="BA59" i="4"/>
  <c r="BB59" i="4" s="1"/>
  <c r="BA95" i="4"/>
  <c r="BB95" i="4" s="1"/>
  <c r="BA107" i="4"/>
  <c r="BB107" i="4" s="1"/>
  <c r="BA75" i="4"/>
  <c r="BB75" i="4" s="1"/>
  <c r="BA50" i="4"/>
  <c r="BB50" i="4" s="1"/>
  <c r="BA67" i="4"/>
  <c r="BB67" i="4" s="1"/>
  <c r="BA62" i="4"/>
  <c r="BB62" i="4" s="1"/>
  <c r="E31" i="4"/>
  <c r="G31" i="4"/>
  <c r="F31" i="4"/>
  <c r="BA64" i="4"/>
  <c r="BB64" i="4" s="1"/>
  <c r="BA91" i="4"/>
  <c r="BB91" i="4" s="1"/>
  <c r="BA96" i="4"/>
  <c r="BB96" i="4" s="1"/>
  <c r="BA93" i="4"/>
  <c r="BB93" i="4" s="1"/>
  <c r="BA72" i="4"/>
  <c r="BB72" i="4" s="1"/>
  <c r="BA44" i="4"/>
  <c r="BB44" i="4" s="1"/>
  <c r="BA104" i="4"/>
  <c r="BB104" i="4" s="1"/>
  <c r="BA38" i="4"/>
  <c r="BB38" i="4" s="1"/>
  <c r="BA46" i="4"/>
  <c r="BB46" i="4" s="1"/>
  <c r="BA108" i="4"/>
  <c r="BB108" i="4" s="1"/>
  <c r="BA85" i="4"/>
  <c r="BB85" i="4" s="1"/>
  <c r="BA57" i="4"/>
  <c r="BB57" i="4" s="1"/>
  <c r="BA92" i="4"/>
  <c r="BB92" i="4" s="1"/>
  <c r="BA49" i="4"/>
  <c r="BB49" i="4" s="1"/>
  <c r="BA66" i="4"/>
  <c r="BB66" i="4" s="1"/>
  <c r="BA101" i="4"/>
  <c r="BB101" i="4" s="1"/>
  <c r="BA63" i="4"/>
  <c r="BB63" i="4" s="1"/>
  <c r="BK70" i="4" l="1"/>
  <c r="BK55" i="4"/>
  <c r="BK66" i="4"/>
  <c r="BF57" i="4"/>
  <c r="BF58" i="4"/>
  <c r="BP70" i="4"/>
  <c r="O70" i="4"/>
  <c r="BP55" i="4"/>
  <c r="O55" i="4"/>
  <c r="BP60" i="4"/>
  <c r="O60" i="4"/>
  <c r="BE65" i="4"/>
  <c r="BF65" i="4" s="1"/>
  <c r="BG65" i="4" s="1"/>
  <c r="BJ65" i="4"/>
  <c r="BK65" i="4" s="1"/>
  <c r="BL65" i="4" s="1"/>
  <c r="BM65" i="4" s="1"/>
  <c r="BF66" i="4"/>
  <c r="BF59" i="4"/>
  <c r="BK59" i="4"/>
  <c r="BK57" i="4"/>
  <c r="BK58" i="4"/>
  <c r="BL58" i="4" s="1"/>
  <c r="BM58" i="4" s="1"/>
  <c r="BJ63" i="4"/>
  <c r="BK63" i="4" s="1"/>
  <c r="BE63" i="4"/>
  <c r="BF63" i="4" s="1"/>
  <c r="BG63" i="4" s="1"/>
  <c r="BF51" i="4"/>
  <c r="BK51" i="4"/>
  <c r="BJ53" i="4"/>
  <c r="BK53" i="4" s="1"/>
  <c r="BL53" i="4" s="1"/>
  <c r="BM53" i="4" s="1"/>
  <c r="BE53" i="4"/>
  <c r="BF53" i="4" s="1"/>
  <c r="BF72" i="4"/>
  <c r="BF61" i="4"/>
  <c r="BF64" i="4"/>
  <c r="BK64" i="4"/>
  <c r="BK62" i="4"/>
  <c r="BF67" i="4"/>
  <c r="BF69" i="4"/>
  <c r="BF71" i="4"/>
  <c r="BK56" i="4"/>
  <c r="BF50" i="4"/>
  <c r="BJ73" i="4"/>
  <c r="BE73" i="4"/>
  <c r="BF73" i="4" s="1"/>
  <c r="BG73" i="4" s="1"/>
  <c r="BK73" i="4"/>
  <c r="BJ68" i="4"/>
  <c r="BE68" i="4"/>
  <c r="BF68" i="4" s="1"/>
  <c r="BG68" i="4" s="1"/>
  <c r="BK68" i="4"/>
  <c r="BK49" i="4"/>
  <c r="BF49" i="4"/>
  <c r="BF48" i="4"/>
  <c r="BG48" i="4" s="1"/>
  <c r="BK48" i="4"/>
  <c r="BK37" i="4"/>
  <c r="BL37" i="4" s="1"/>
  <c r="BM37" i="4" s="1"/>
  <c r="BF46" i="4"/>
  <c r="BG46" i="4" s="1"/>
  <c r="BF40" i="4"/>
  <c r="BG40" i="4" s="1"/>
  <c r="BK45" i="4"/>
  <c r="BL45" i="4" s="1"/>
  <c r="BM45" i="4" s="1"/>
  <c r="BK42" i="4"/>
  <c r="BL42" i="4" s="1"/>
  <c r="BM42" i="4" s="1"/>
  <c r="BK43" i="4"/>
  <c r="BL43" i="4" s="1"/>
  <c r="BM43" i="4" s="1"/>
  <c r="BF42" i="4"/>
  <c r="BG42" i="4" s="1"/>
  <c r="BF45" i="4"/>
  <c r="BG45" i="4" s="1"/>
  <c r="BF44" i="4"/>
  <c r="BG44" i="4" s="1"/>
  <c r="BK46" i="4"/>
  <c r="BL46" i="4" s="1"/>
  <c r="BM46" i="4" s="1"/>
  <c r="BJ47" i="4"/>
  <c r="BK47" i="4" s="1"/>
  <c r="BL47" i="4" s="1"/>
  <c r="BM47" i="4" s="1"/>
  <c r="BE47" i="4"/>
  <c r="BF47" i="4" s="1"/>
  <c r="BG47" i="4" s="1"/>
  <c r="BK44" i="4"/>
  <c r="BL44" i="4" s="1"/>
  <c r="BM44" i="4" s="1"/>
  <c r="BJ39" i="4"/>
  <c r="BK39" i="4" s="1"/>
  <c r="BL39" i="4" s="1"/>
  <c r="BM39" i="4" s="1"/>
  <c r="BE39" i="4"/>
  <c r="BF39" i="4" s="1"/>
  <c r="BG39" i="4" s="1"/>
  <c r="BK40" i="4"/>
  <c r="BL40" i="4" s="1"/>
  <c r="BM40" i="4" s="1"/>
  <c r="BJ38" i="4"/>
  <c r="BK38" i="4" s="1"/>
  <c r="BL38" i="4" s="1"/>
  <c r="BM38" i="4" s="1"/>
  <c r="BE38" i="4"/>
  <c r="BF38" i="4" s="1"/>
  <c r="BG38" i="4" s="1"/>
  <c r="BF43" i="4"/>
  <c r="BG43" i="4" s="1"/>
  <c r="BL81" i="4"/>
  <c r="BM81" i="4" s="1"/>
  <c r="BG74" i="4"/>
  <c r="BL110" i="4"/>
  <c r="BM110" i="4" s="1"/>
  <c r="BF37" i="4"/>
  <c r="BG37" i="4" s="1"/>
  <c r="BK41" i="4"/>
  <c r="BL41" i="4" s="1"/>
  <c r="BM41" i="4" s="1"/>
  <c r="BF41" i="4"/>
  <c r="BG41" i="4" s="1"/>
  <c r="BL100" i="4"/>
  <c r="BM100" i="4" s="1"/>
  <c r="BG78" i="4"/>
  <c r="BP78" i="4" s="1"/>
  <c r="BV78" i="4" s="1"/>
  <c r="BG84" i="4"/>
  <c r="BP84" i="4" s="1"/>
  <c r="BU84" i="4" s="1"/>
  <c r="BG58" i="4"/>
  <c r="BG79" i="4"/>
  <c r="BP79" i="4" s="1"/>
  <c r="BU79" i="4" s="1"/>
  <c r="BG69" i="4"/>
  <c r="BG54" i="4"/>
  <c r="BL77" i="4"/>
  <c r="BM77" i="4" s="1"/>
  <c r="BG97" i="4"/>
  <c r="BP97" i="4" s="1"/>
  <c r="BV97" i="4" s="1"/>
  <c r="BL68" i="4"/>
  <c r="BM68" i="4" s="1"/>
  <c r="BL103" i="4"/>
  <c r="BM103" i="4" s="1"/>
  <c r="BL111" i="4"/>
  <c r="BM111" i="4" s="1"/>
  <c r="BL114" i="4"/>
  <c r="BM114" i="4" s="1"/>
  <c r="BL105" i="4"/>
  <c r="BM105" i="4" s="1"/>
  <c r="BL73" i="4"/>
  <c r="BM73" i="4" s="1"/>
  <c r="BG88" i="4"/>
  <c r="BP88" i="4" s="1"/>
  <c r="BV88" i="4" s="1"/>
  <c r="BL80" i="4"/>
  <c r="BM80" i="4" s="1"/>
  <c r="BG94" i="4"/>
  <c r="BP94" i="4" s="1"/>
  <c r="BU94" i="4" s="1"/>
  <c r="BG115" i="4"/>
  <c r="BP115" i="4" s="1"/>
  <c r="BT115" i="4" s="1"/>
  <c r="BG109" i="4"/>
  <c r="BP109" i="4" s="1"/>
  <c r="BT109" i="4" s="1"/>
  <c r="BG86" i="4"/>
  <c r="BP86" i="4" s="1"/>
  <c r="BU86" i="4" s="1"/>
  <c r="BL87" i="4"/>
  <c r="BM87" i="4" s="1"/>
  <c r="BL60" i="4"/>
  <c r="BM60" i="4" s="1"/>
  <c r="BL55" i="4"/>
  <c r="BM55" i="4" s="1"/>
  <c r="BL70" i="4"/>
  <c r="BM70" i="4" s="1"/>
  <c r="BG82" i="4"/>
  <c r="BP82" i="4" s="1"/>
  <c r="BS82" i="4" s="1"/>
  <c r="BL112" i="4"/>
  <c r="BM112" i="4" s="1"/>
  <c r="BG57" i="4"/>
  <c r="BL57" i="4"/>
  <c r="BM57" i="4" s="1"/>
  <c r="BT103" i="4"/>
  <c r="BS103" i="4"/>
  <c r="BV103" i="4"/>
  <c r="BU103" i="4"/>
  <c r="BL63" i="4"/>
  <c r="BM63" i="4" s="1"/>
  <c r="BG108" i="4"/>
  <c r="BP108" i="4" s="1"/>
  <c r="BL108" i="4"/>
  <c r="BM108" i="4" s="1"/>
  <c r="BL91" i="4"/>
  <c r="BM91" i="4" s="1"/>
  <c r="BG91" i="4"/>
  <c r="BP91" i="4" s="1"/>
  <c r="BL75" i="4"/>
  <c r="BM75" i="4" s="1"/>
  <c r="BG75" i="4"/>
  <c r="BG116" i="4"/>
  <c r="BP116" i="4" s="1"/>
  <c r="BL116" i="4"/>
  <c r="BM116" i="4" s="1"/>
  <c r="BG102" i="4"/>
  <c r="BP102" i="4" s="1"/>
  <c r="BL102" i="4"/>
  <c r="BM102" i="4" s="1"/>
  <c r="BG98" i="4"/>
  <c r="BP98" i="4" s="1"/>
  <c r="BL98" i="4"/>
  <c r="BM98" i="4" s="1"/>
  <c r="BV81" i="4"/>
  <c r="BU81" i="4"/>
  <c r="BT81" i="4"/>
  <c r="BS81" i="4"/>
  <c r="BU111" i="4"/>
  <c r="BV111" i="4"/>
  <c r="BS111" i="4"/>
  <c r="BT111" i="4"/>
  <c r="BV112" i="4"/>
  <c r="BS112" i="4"/>
  <c r="BT112" i="4"/>
  <c r="BU112" i="4"/>
  <c r="BG101" i="4"/>
  <c r="BP101" i="4" s="1"/>
  <c r="BL101" i="4"/>
  <c r="BM101" i="4" s="1"/>
  <c r="BL72" i="4"/>
  <c r="BM72" i="4" s="1"/>
  <c r="BG72" i="4"/>
  <c r="BL64" i="4"/>
  <c r="BM64" i="4" s="1"/>
  <c r="BG64" i="4"/>
  <c r="BL62" i="4"/>
  <c r="BM62" i="4" s="1"/>
  <c r="BG62" i="4"/>
  <c r="BL107" i="4"/>
  <c r="BM107" i="4" s="1"/>
  <c r="BG107" i="4"/>
  <c r="BP107" i="4" s="1"/>
  <c r="BG89" i="4"/>
  <c r="BP89" i="4" s="1"/>
  <c r="BL89" i="4"/>
  <c r="BM89" i="4" s="1"/>
  <c r="BG53" i="4"/>
  <c r="BL48" i="4"/>
  <c r="BM48" i="4" s="1"/>
  <c r="BG71" i="4"/>
  <c r="BL71" i="4"/>
  <c r="BM71" i="4" s="1"/>
  <c r="BU114" i="4"/>
  <c r="BS114" i="4"/>
  <c r="BV114" i="4"/>
  <c r="BT114" i="4"/>
  <c r="BS77" i="4"/>
  <c r="BT77" i="4"/>
  <c r="BU77" i="4"/>
  <c r="BV77" i="4"/>
  <c r="BG95" i="4"/>
  <c r="BP95" i="4" s="1"/>
  <c r="BL95" i="4"/>
  <c r="BM95" i="4" s="1"/>
  <c r="BL99" i="4"/>
  <c r="BM99" i="4" s="1"/>
  <c r="BG99" i="4"/>
  <c r="BP99" i="4" s="1"/>
  <c r="BL61" i="4"/>
  <c r="BM61" i="4" s="1"/>
  <c r="BG61" i="4"/>
  <c r="BG56" i="4"/>
  <c r="BL56" i="4"/>
  <c r="BM56" i="4" s="1"/>
  <c r="BV87" i="4"/>
  <c r="BS87" i="4"/>
  <c r="BU87" i="4"/>
  <c r="BT87" i="4"/>
  <c r="BG93" i="4"/>
  <c r="BP93" i="4" s="1"/>
  <c r="BL93" i="4"/>
  <c r="BM93" i="4" s="1"/>
  <c r="BL76" i="4"/>
  <c r="BM76" i="4" s="1"/>
  <c r="BG76" i="4"/>
  <c r="BL49" i="4"/>
  <c r="BM49" i="4" s="1"/>
  <c r="BG49" i="4"/>
  <c r="BG85" i="4"/>
  <c r="BP85" i="4" s="1"/>
  <c r="BL85" i="4"/>
  <c r="BM85" i="4" s="1"/>
  <c r="BL104" i="4"/>
  <c r="BM104" i="4" s="1"/>
  <c r="BG104" i="4"/>
  <c r="BP104" i="4" s="1"/>
  <c r="BL96" i="4"/>
  <c r="BM96" i="4" s="1"/>
  <c r="BG96" i="4"/>
  <c r="BP96" i="4" s="1"/>
  <c r="BG50" i="4"/>
  <c r="BL50" i="4"/>
  <c r="BM50" i="4" s="1"/>
  <c r="BL59" i="4"/>
  <c r="BM59" i="4" s="1"/>
  <c r="BG59" i="4"/>
  <c r="BG51" i="4"/>
  <c r="BL51" i="4"/>
  <c r="BM51" i="4" s="1"/>
  <c r="BL52" i="4"/>
  <c r="BM52" i="4" s="1"/>
  <c r="BG52" i="4"/>
  <c r="BL106" i="4"/>
  <c r="BM106" i="4" s="1"/>
  <c r="BG106" i="4"/>
  <c r="BP106" i="4" s="1"/>
  <c r="BL113" i="4"/>
  <c r="BM113" i="4" s="1"/>
  <c r="BG113" i="4"/>
  <c r="BP113" i="4" s="1"/>
  <c r="BU105" i="4"/>
  <c r="BT105" i="4"/>
  <c r="BV105" i="4"/>
  <c r="BS105" i="4"/>
  <c r="BU110" i="4"/>
  <c r="BT110" i="4"/>
  <c r="BV110" i="4"/>
  <c r="BS110" i="4"/>
  <c r="BT100" i="4"/>
  <c r="BS100" i="4"/>
  <c r="BV100" i="4"/>
  <c r="BU100" i="4"/>
  <c r="BG66" i="4"/>
  <c r="BL66" i="4"/>
  <c r="BM66" i="4" s="1"/>
  <c r="BG67" i="4"/>
  <c r="BL67" i="4"/>
  <c r="BM67" i="4" s="1"/>
  <c r="BL92" i="4"/>
  <c r="BM92" i="4" s="1"/>
  <c r="BG92" i="4"/>
  <c r="BP92" i="4" s="1"/>
  <c r="BL90" i="4"/>
  <c r="BM90" i="4" s="1"/>
  <c r="BG90" i="4"/>
  <c r="BP90" i="4" s="1"/>
  <c r="BG83" i="4"/>
  <c r="BP83" i="4" s="1"/>
  <c r="BL83" i="4"/>
  <c r="BM83" i="4" s="1"/>
  <c r="BS80" i="4"/>
  <c r="BV80" i="4"/>
  <c r="BU80" i="4"/>
  <c r="BT80" i="4"/>
  <c r="BP73" i="4" l="1"/>
  <c r="O73" i="4"/>
  <c r="BP67" i="4"/>
  <c r="O67" i="4"/>
  <c r="BP66" i="4"/>
  <c r="O66" i="4"/>
  <c r="BP52" i="4"/>
  <c r="O52" i="4"/>
  <c r="BP51" i="4"/>
  <c r="O51" i="4"/>
  <c r="BP59" i="4"/>
  <c r="O59" i="4"/>
  <c r="BP50" i="4"/>
  <c r="O50" i="4"/>
  <c r="BP76" i="4"/>
  <c r="O76" i="4"/>
  <c r="BP56" i="4"/>
  <c r="O56" i="4"/>
  <c r="BP61" i="4"/>
  <c r="O61" i="4"/>
  <c r="BP71" i="4"/>
  <c r="O71" i="4"/>
  <c r="BP53" i="4"/>
  <c r="O53" i="4"/>
  <c r="BP62" i="4"/>
  <c r="O62" i="4"/>
  <c r="BP64" i="4"/>
  <c r="O64" i="4"/>
  <c r="BP72" i="4"/>
  <c r="O72" i="4"/>
  <c r="BP75" i="4"/>
  <c r="O75" i="4"/>
  <c r="BP63" i="4"/>
  <c r="O63" i="4"/>
  <c r="BP57" i="4"/>
  <c r="O57" i="4"/>
  <c r="BP54" i="4"/>
  <c r="O54" i="4"/>
  <c r="BP69" i="4"/>
  <c r="O69" i="4"/>
  <c r="BP58" i="4"/>
  <c r="O58" i="4"/>
  <c r="BP65" i="4"/>
  <c r="O65" i="4"/>
  <c r="BP74" i="4"/>
  <c r="O74" i="4"/>
  <c r="BP68" i="4"/>
  <c r="O68" i="4"/>
  <c r="BP49" i="4"/>
  <c r="O49" i="4"/>
  <c r="BP48" i="4"/>
  <c r="O48" i="4"/>
  <c r="BP42" i="4"/>
  <c r="O42" i="4"/>
  <c r="BP39" i="4"/>
  <c r="O39" i="4"/>
  <c r="BP38" i="4"/>
  <c r="O38" i="4"/>
  <c r="BP43" i="4"/>
  <c r="O43" i="4"/>
  <c r="BP46" i="4"/>
  <c r="O46" i="4"/>
  <c r="BP40" i="4"/>
  <c r="O40" i="4"/>
  <c r="BP44" i="4"/>
  <c r="O44" i="4"/>
  <c r="BP45" i="4"/>
  <c r="O45" i="4"/>
  <c r="BP47" i="4"/>
  <c r="O47" i="4"/>
  <c r="BT82" i="4"/>
  <c r="AW82" i="4" s="1"/>
  <c r="BT97" i="4"/>
  <c r="BV79" i="4"/>
  <c r="BT79" i="4"/>
  <c r="BU97" i="4"/>
  <c r="BV109" i="4"/>
  <c r="BS97" i="4"/>
  <c r="BS79" i="4"/>
  <c r="BU82" i="4"/>
  <c r="BV82" i="4"/>
  <c r="BS78" i="4"/>
  <c r="BT78" i="4"/>
  <c r="BU78" i="4"/>
  <c r="BP37" i="4"/>
  <c r="O37" i="4"/>
  <c r="BP41" i="4"/>
  <c r="O41" i="4"/>
  <c r="BS84" i="4"/>
  <c r="BT86" i="4"/>
  <c r="BV86" i="4"/>
  <c r="BV84" i="4"/>
  <c r="BS86" i="4"/>
  <c r="BT84" i="4"/>
  <c r="BV115" i="4"/>
  <c r="BT88" i="4"/>
  <c r="BS109" i="4"/>
  <c r="AW109" i="4" s="1"/>
  <c r="BV94" i="4"/>
  <c r="BS94" i="4"/>
  <c r="BU109" i="4"/>
  <c r="BT94" i="4"/>
  <c r="BS88" i="4"/>
  <c r="BU115" i="4"/>
  <c r="BS115" i="4"/>
  <c r="AW115" i="4" s="1"/>
  <c r="BU88" i="4"/>
  <c r="AW87" i="4"/>
  <c r="AW103" i="4"/>
  <c r="AW112" i="4"/>
  <c r="AW77" i="4"/>
  <c r="AW111" i="4"/>
  <c r="BS90" i="4"/>
  <c r="BU90" i="4"/>
  <c r="BT90" i="4"/>
  <c r="BV90" i="4"/>
  <c r="AW80" i="4"/>
  <c r="AW105" i="4"/>
  <c r="BT113" i="4"/>
  <c r="BV113" i="4"/>
  <c r="BS113" i="4"/>
  <c r="BU113" i="4"/>
  <c r="BS96" i="4"/>
  <c r="BU96" i="4"/>
  <c r="BT96" i="4"/>
  <c r="BV96" i="4"/>
  <c r="BS99" i="4"/>
  <c r="BV99" i="4"/>
  <c r="BU99" i="4"/>
  <c r="BT99" i="4"/>
  <c r="AW114" i="4"/>
  <c r="AW81" i="4"/>
  <c r="BT91" i="4"/>
  <c r="BS91" i="4"/>
  <c r="BV91" i="4"/>
  <c r="BU91" i="4"/>
  <c r="BT92" i="4"/>
  <c r="BU92" i="4"/>
  <c r="BS92" i="4"/>
  <c r="BV92" i="4"/>
  <c r="AW100" i="4"/>
  <c r="BT85" i="4"/>
  <c r="BV85" i="4"/>
  <c r="BU85" i="4"/>
  <c r="BS85" i="4"/>
  <c r="BM35" i="4"/>
  <c r="BU89" i="4"/>
  <c r="BS89" i="4"/>
  <c r="BT89" i="4"/>
  <c r="BV89" i="4"/>
  <c r="BU98" i="4"/>
  <c r="BV98" i="4"/>
  <c r="BT98" i="4"/>
  <c r="BS98" i="4"/>
  <c r="BU116" i="4"/>
  <c r="BS116" i="4"/>
  <c r="BT116" i="4"/>
  <c r="BV116" i="4"/>
  <c r="BS108" i="4"/>
  <c r="BV108" i="4"/>
  <c r="BU108" i="4"/>
  <c r="BT108" i="4"/>
  <c r="BT107" i="4"/>
  <c r="BS107" i="4"/>
  <c r="BU107" i="4"/>
  <c r="BV107" i="4"/>
  <c r="BV83" i="4"/>
  <c r="BS83" i="4"/>
  <c r="BT83" i="4"/>
  <c r="BU83" i="4"/>
  <c r="BS106" i="4"/>
  <c r="BU106" i="4"/>
  <c r="BV106" i="4"/>
  <c r="BT106" i="4"/>
  <c r="BU104" i="4"/>
  <c r="BV104" i="4"/>
  <c r="BS104" i="4"/>
  <c r="BT104" i="4"/>
  <c r="AW110" i="4"/>
  <c r="BT93" i="4"/>
  <c r="BS93" i="4"/>
  <c r="BU93" i="4"/>
  <c r="BV93" i="4"/>
  <c r="BU95" i="4"/>
  <c r="BT95" i="4"/>
  <c r="BV95" i="4"/>
  <c r="BS95" i="4"/>
  <c r="BU101" i="4"/>
  <c r="BV101" i="4"/>
  <c r="BT101" i="4"/>
  <c r="BS101" i="4"/>
  <c r="BV102" i="4"/>
  <c r="BU102" i="4"/>
  <c r="BT102" i="4"/>
  <c r="BS102" i="4"/>
  <c r="BP26" i="4" l="1"/>
  <c r="AW97" i="4"/>
  <c r="AW79" i="4"/>
  <c r="AW78" i="4"/>
  <c r="AW84" i="4"/>
  <c r="AW86" i="4"/>
  <c r="AW88" i="4"/>
  <c r="AW94" i="4"/>
  <c r="AW95" i="4"/>
  <c r="AW113" i="4"/>
  <c r="AW90" i="4"/>
  <c r="AW92" i="4"/>
  <c r="AW93" i="4"/>
  <c r="AW107" i="4"/>
  <c r="AW104" i="4"/>
  <c r="AW85" i="4"/>
  <c r="AW91" i="4"/>
  <c r="AW102" i="4"/>
  <c r="AW101" i="4"/>
  <c r="AW106" i="4"/>
  <c r="AW108" i="4"/>
  <c r="AW96" i="4"/>
  <c r="AW98" i="4"/>
  <c r="BO26" i="4"/>
  <c r="AR32" i="4"/>
  <c r="AW99" i="4"/>
  <c r="AW83" i="4"/>
  <c r="AW116" i="4"/>
  <c r="AW89" i="4"/>
  <c r="BR68" i="4" l="1"/>
  <c r="BR60" i="4"/>
  <c r="BR55" i="4"/>
  <c r="BR70" i="4"/>
  <c r="BR73" i="4"/>
  <c r="BR67" i="4"/>
  <c r="BR66" i="4"/>
  <c r="BR52" i="4"/>
  <c r="BR51" i="4"/>
  <c r="BR59" i="4"/>
  <c r="BR50" i="4"/>
  <c r="BR76" i="4"/>
  <c r="BR56" i="4"/>
  <c r="BR61" i="4"/>
  <c r="BR71" i="4"/>
  <c r="BR53" i="4"/>
  <c r="BR62" i="4"/>
  <c r="BR64" i="4"/>
  <c r="BR72" i="4"/>
  <c r="BR75" i="4"/>
  <c r="BR63" i="4"/>
  <c r="BR57" i="4"/>
  <c r="BR54" i="4"/>
  <c r="BR69" i="4"/>
  <c r="BR58" i="4"/>
  <c r="BR65" i="4"/>
  <c r="BR74" i="4"/>
  <c r="BR37" i="4"/>
  <c r="BR49" i="4"/>
  <c r="BR48" i="4"/>
  <c r="BP27" i="4"/>
  <c r="BR40" i="4"/>
  <c r="BP28" i="4"/>
  <c r="BV37" i="4" s="1"/>
  <c r="T37" i="4" s="1"/>
  <c r="MA109" i="9" s="1"/>
  <c r="AC96" i="9" s="1"/>
  <c r="BR41" i="4"/>
  <c r="BR38" i="4"/>
  <c r="BR46" i="4"/>
  <c r="BR43" i="4"/>
  <c r="BR47" i="4"/>
  <c r="BR42" i="4"/>
  <c r="BR39" i="4"/>
  <c r="BR45" i="4"/>
  <c r="BR44" i="4"/>
  <c r="BO28" i="4"/>
  <c r="BO34" i="4"/>
  <c r="BO27" i="4"/>
  <c r="S76" i="4"/>
  <c r="S100" i="4"/>
  <c r="T94" i="4"/>
  <c r="R78" i="4"/>
  <c r="T107" i="4"/>
  <c r="T93" i="4"/>
  <c r="R85" i="4"/>
  <c r="S41" i="4"/>
  <c r="S38" i="4"/>
  <c r="T78" i="4"/>
  <c r="S90" i="4"/>
  <c r="S61" i="4"/>
  <c r="Q97" i="4"/>
  <c r="T84" i="4"/>
  <c r="T79" i="4"/>
  <c r="R93" i="4"/>
  <c r="Q107" i="4"/>
  <c r="S40" i="4"/>
  <c r="T83" i="4"/>
  <c r="R82" i="4"/>
  <c r="R110" i="4"/>
  <c r="T108" i="4"/>
  <c r="R104" i="4"/>
  <c r="S107" i="4"/>
  <c r="S67" i="4"/>
  <c r="Q75" i="4"/>
  <c r="Q76" i="4"/>
  <c r="Q37" i="4"/>
  <c r="Q50" i="4"/>
  <c r="R96" i="4"/>
  <c r="T98" i="4"/>
  <c r="R90" i="4"/>
  <c r="Q110" i="4"/>
  <c r="R97" i="4"/>
  <c r="Q55" i="4"/>
  <c r="Q64" i="4"/>
  <c r="R111" i="4"/>
  <c r="S59" i="4"/>
  <c r="R86" i="4"/>
  <c r="Q89" i="4"/>
  <c r="T99" i="4"/>
  <c r="R92" i="4"/>
  <c r="Q43" i="4"/>
  <c r="Q41" i="4"/>
  <c r="Q84" i="4"/>
  <c r="S103" i="4"/>
  <c r="T95" i="4"/>
  <c r="Q83" i="4"/>
  <c r="T109" i="4"/>
  <c r="Q72" i="4"/>
  <c r="S89" i="4"/>
  <c r="R98" i="4"/>
  <c r="T113" i="4"/>
  <c r="R88" i="4"/>
  <c r="S111" i="4"/>
  <c r="Q51" i="4"/>
  <c r="Q113" i="4"/>
  <c r="Q111" i="4"/>
  <c r="S101" i="4"/>
  <c r="Q60" i="4"/>
  <c r="Q101" i="4"/>
  <c r="S77" i="4"/>
  <c r="S105" i="4"/>
  <c r="S58" i="4"/>
  <c r="S64" i="4"/>
  <c r="S80" i="4"/>
  <c r="Q115" i="4"/>
  <c r="S81" i="4"/>
  <c r="Q58" i="4"/>
  <c r="T103" i="4"/>
  <c r="R102" i="4"/>
  <c r="S43" i="4"/>
  <c r="S62" i="4"/>
  <c r="T115" i="4"/>
  <c r="R114" i="4"/>
  <c r="T101" i="4"/>
  <c r="R108" i="4"/>
  <c r="R100" i="4"/>
  <c r="Q42" i="4"/>
  <c r="S48" i="4"/>
  <c r="T105" i="4"/>
  <c r="T82" i="4"/>
  <c r="R95" i="4"/>
  <c r="Q104" i="4"/>
  <c r="S98" i="4"/>
  <c r="Q40" i="4"/>
  <c r="R80" i="4"/>
  <c r="Q95" i="4"/>
  <c r="Q65" i="4"/>
  <c r="Q67" i="4"/>
  <c r="T100" i="4"/>
  <c r="T90" i="4"/>
  <c r="Q46" i="4"/>
  <c r="S83" i="4"/>
  <c r="S46" i="4"/>
  <c r="S102" i="4"/>
  <c r="Q49" i="4"/>
  <c r="R116" i="4"/>
  <c r="R107" i="4"/>
  <c r="T91" i="4"/>
  <c r="Q114" i="4"/>
  <c r="R83" i="4"/>
  <c r="Q78" i="4"/>
  <c r="T89" i="4"/>
  <c r="S116" i="4"/>
  <c r="S115" i="4"/>
  <c r="S68" i="4"/>
  <c r="Q62" i="4"/>
  <c r="R77" i="4"/>
  <c r="T92" i="4"/>
  <c r="S45" i="4"/>
  <c r="Q109" i="4"/>
  <c r="Q71" i="4"/>
  <c r="S71" i="4"/>
  <c r="S70" i="4"/>
  <c r="S37" i="4"/>
  <c r="S39" i="4"/>
  <c r="Q91" i="4"/>
  <c r="S74" i="4"/>
  <c r="S95" i="4"/>
  <c r="R84" i="4"/>
  <c r="Q73" i="4"/>
  <c r="S49" i="4"/>
  <c r="S60" i="4"/>
  <c r="T110" i="4"/>
  <c r="Q57" i="4"/>
  <c r="S65" i="4"/>
  <c r="S87" i="4"/>
  <c r="T112" i="4"/>
  <c r="T104" i="4"/>
  <c r="Q81" i="4"/>
  <c r="S44" i="4"/>
  <c r="Q112" i="4"/>
  <c r="S69" i="4"/>
  <c r="S114" i="4"/>
  <c r="Q68" i="4"/>
  <c r="S57" i="4"/>
  <c r="S72" i="4"/>
  <c r="S104" i="4"/>
  <c r="T77" i="4"/>
  <c r="Q98" i="4"/>
  <c r="S88" i="4"/>
  <c r="R94" i="4"/>
  <c r="T81" i="4"/>
  <c r="Q93" i="4"/>
  <c r="Q86" i="4"/>
  <c r="S86" i="4"/>
  <c r="S75" i="4"/>
  <c r="Q39" i="4"/>
  <c r="Q77" i="4"/>
  <c r="Q59" i="4"/>
  <c r="T86" i="4"/>
  <c r="S99" i="4"/>
  <c r="S78" i="4"/>
  <c r="T96" i="4"/>
  <c r="T114" i="4"/>
  <c r="Q54" i="4"/>
  <c r="S108" i="4"/>
  <c r="S109" i="4"/>
  <c r="T106" i="4"/>
  <c r="Q92" i="4"/>
  <c r="S94" i="4"/>
  <c r="R79" i="4"/>
  <c r="Q96" i="4"/>
  <c r="R101" i="4"/>
  <c r="R113" i="4"/>
  <c r="T102" i="4"/>
  <c r="R103" i="4"/>
  <c r="R106" i="4"/>
  <c r="Q94" i="4"/>
  <c r="Q105" i="4"/>
  <c r="S51" i="4"/>
  <c r="S92" i="4"/>
  <c r="Q88" i="4"/>
  <c r="S54" i="4"/>
  <c r="S97" i="4"/>
  <c r="S96" i="4"/>
  <c r="Q87" i="4"/>
  <c r="S47" i="4"/>
  <c r="Q106" i="4"/>
  <c r="Q38" i="4"/>
  <c r="S93" i="4"/>
  <c r="R99" i="4"/>
  <c r="Q100" i="4"/>
  <c r="S91" i="4"/>
  <c r="Q47" i="4"/>
  <c r="Q63" i="4"/>
  <c r="R115" i="4"/>
  <c r="T116" i="4"/>
  <c r="R87" i="4"/>
  <c r="Q103" i="4"/>
  <c r="Q61" i="4"/>
  <c r="T111" i="4"/>
  <c r="T97" i="4"/>
  <c r="R89" i="4"/>
  <c r="S42" i="4"/>
  <c r="S63" i="4"/>
  <c r="Q66" i="4"/>
  <c r="Q69" i="4"/>
  <c r="S56" i="4"/>
  <c r="S73" i="4"/>
  <c r="S85" i="4"/>
  <c r="T80" i="4"/>
  <c r="S66" i="4"/>
  <c r="Q108" i="4"/>
  <c r="S53" i="4"/>
  <c r="Q52" i="4"/>
  <c r="Q48" i="4"/>
  <c r="S55" i="4"/>
  <c r="Q70" i="4"/>
  <c r="Q99" i="4"/>
  <c r="Q85" i="4"/>
  <c r="S82" i="4"/>
  <c r="R81" i="4"/>
  <c r="S50" i="4"/>
  <c r="Q102" i="4"/>
  <c r="S106" i="4"/>
  <c r="T88" i="4"/>
  <c r="Q90" i="4"/>
  <c r="S112" i="4"/>
  <c r="R109" i="4"/>
  <c r="T87" i="4"/>
  <c r="R91" i="4"/>
  <c r="Q74" i="4"/>
  <c r="T85" i="4"/>
  <c r="R105" i="4"/>
  <c r="Q44" i="4"/>
  <c r="Q80" i="4"/>
  <c r="Q79" i="4"/>
  <c r="Q116" i="4"/>
  <c r="S113" i="4"/>
  <c r="S79" i="4"/>
  <c r="S52" i="4"/>
  <c r="Q56" i="4"/>
  <c r="Q82" i="4"/>
  <c r="S110" i="4"/>
  <c r="R112" i="4"/>
  <c r="Q53" i="4"/>
  <c r="Q45" i="4"/>
  <c r="S84" i="4"/>
  <c r="BS68" i="4" l="1"/>
  <c r="BS70" i="4"/>
  <c r="BS55" i="4"/>
  <c r="BS60" i="4"/>
  <c r="BS74" i="4"/>
  <c r="BS65" i="4"/>
  <c r="BS54" i="4"/>
  <c r="BS69" i="4"/>
  <c r="BS66" i="4"/>
  <c r="BS67" i="4"/>
  <c r="BS52" i="4"/>
  <c r="BS59" i="4"/>
  <c r="BS76" i="4"/>
  <c r="BS62" i="4"/>
  <c r="BS72" i="4"/>
  <c r="BS56" i="4"/>
  <c r="BS57" i="4"/>
  <c r="BS61" i="4"/>
  <c r="BS53" i="4"/>
  <c r="BS64" i="4"/>
  <c r="BS75" i="4"/>
  <c r="BS51" i="4"/>
  <c r="BS50" i="4"/>
  <c r="BS71" i="4"/>
  <c r="BS63" i="4"/>
  <c r="BS58" i="4"/>
  <c r="BS73" i="4"/>
  <c r="BQ68" i="4"/>
  <c r="BU68" i="4" s="1"/>
  <c r="R68" i="4" s="1"/>
  <c r="BQ72" i="4"/>
  <c r="BU72" i="4" s="1"/>
  <c r="R72" i="4" s="1"/>
  <c r="BQ69" i="4"/>
  <c r="BU69" i="4" s="1"/>
  <c r="R69" i="4" s="1"/>
  <c r="BQ51" i="4"/>
  <c r="BU51" i="4" s="1"/>
  <c r="R51" i="4" s="1"/>
  <c r="BQ66" i="4"/>
  <c r="BU66" i="4" s="1"/>
  <c r="R66" i="4" s="1"/>
  <c r="BQ62" i="4"/>
  <c r="BU62" i="4" s="1"/>
  <c r="R62" i="4" s="1"/>
  <c r="BQ59" i="4"/>
  <c r="BU59" i="4" s="1"/>
  <c r="R59" i="4" s="1"/>
  <c r="BQ55" i="4"/>
  <c r="BU55" i="4" s="1"/>
  <c r="R55" i="4" s="1"/>
  <c r="BQ65" i="4"/>
  <c r="BU65" i="4" s="1"/>
  <c r="R65" i="4" s="1"/>
  <c r="BQ74" i="4"/>
  <c r="BU74" i="4" s="1"/>
  <c r="R74" i="4" s="1"/>
  <c r="BQ70" i="4"/>
  <c r="BU70" i="4" s="1"/>
  <c r="R70" i="4" s="1"/>
  <c r="BQ53" i="4"/>
  <c r="BU53" i="4" s="1"/>
  <c r="R53" i="4" s="1"/>
  <c r="BQ54" i="4"/>
  <c r="BU54" i="4" s="1"/>
  <c r="R54" i="4" s="1"/>
  <c r="BQ50" i="4"/>
  <c r="BU50" i="4" s="1"/>
  <c r="R50" i="4" s="1"/>
  <c r="BQ52" i="4"/>
  <c r="BU52" i="4" s="1"/>
  <c r="R52" i="4" s="1"/>
  <c r="BQ57" i="4"/>
  <c r="BU57" i="4" s="1"/>
  <c r="R57" i="4" s="1"/>
  <c r="BQ71" i="4"/>
  <c r="BU71" i="4" s="1"/>
  <c r="R71" i="4" s="1"/>
  <c r="BQ61" i="4"/>
  <c r="BU61" i="4" s="1"/>
  <c r="R61" i="4" s="1"/>
  <c r="BQ60" i="4"/>
  <c r="BU60" i="4" s="1"/>
  <c r="R60" i="4" s="1"/>
  <c r="BQ64" i="4"/>
  <c r="BU64" i="4" s="1"/>
  <c r="R64" i="4" s="1"/>
  <c r="BQ76" i="4"/>
  <c r="BU76" i="4" s="1"/>
  <c r="R76" i="4" s="1"/>
  <c r="BQ63" i="4"/>
  <c r="BU63" i="4" s="1"/>
  <c r="R63" i="4" s="1"/>
  <c r="BQ58" i="4"/>
  <c r="BU58" i="4" s="1"/>
  <c r="R58" i="4" s="1"/>
  <c r="BQ56" i="4"/>
  <c r="BU56" i="4" s="1"/>
  <c r="R56" i="4" s="1"/>
  <c r="BQ67" i="4"/>
  <c r="BU67" i="4" s="1"/>
  <c r="R67" i="4" s="1"/>
  <c r="BQ73" i="4"/>
  <c r="BU73" i="4" s="1"/>
  <c r="R73" i="4" s="1"/>
  <c r="BQ75" i="4"/>
  <c r="BU75" i="4" s="1"/>
  <c r="R75" i="4" s="1"/>
  <c r="BT70" i="4"/>
  <c r="BT55" i="4"/>
  <c r="BT60" i="4"/>
  <c r="BT74" i="4"/>
  <c r="BT65" i="4"/>
  <c r="BT58" i="4"/>
  <c r="AW58" i="4" s="1"/>
  <c r="BT66" i="4"/>
  <c r="BT67" i="4"/>
  <c r="BT52" i="4"/>
  <c r="BT59" i="4"/>
  <c r="BT76" i="4"/>
  <c r="BT62" i="4"/>
  <c r="BT72" i="4"/>
  <c r="BT56" i="4"/>
  <c r="BT57" i="4"/>
  <c r="BT61" i="4"/>
  <c r="BT53" i="4"/>
  <c r="BT64" i="4"/>
  <c r="BT75" i="4"/>
  <c r="BT51" i="4"/>
  <c r="BT50" i="4"/>
  <c r="BT71" i="4"/>
  <c r="BT63" i="4"/>
  <c r="BT69" i="4"/>
  <c r="BT54" i="4"/>
  <c r="BT73" i="4"/>
  <c r="BV74" i="4"/>
  <c r="T74" i="4" s="1"/>
  <c r="BV65" i="4"/>
  <c r="T65" i="4" s="1"/>
  <c r="BV58" i="4"/>
  <c r="T58" i="4" s="1"/>
  <c r="BV69" i="4"/>
  <c r="T69" i="4" s="1"/>
  <c r="BV54" i="4"/>
  <c r="T54" i="4" s="1"/>
  <c r="BV57" i="4"/>
  <c r="T57" i="4" s="1"/>
  <c r="BV63" i="4"/>
  <c r="T63" i="4" s="1"/>
  <c r="BV75" i="4"/>
  <c r="T75" i="4" s="1"/>
  <c r="BV72" i="4"/>
  <c r="T72" i="4" s="1"/>
  <c r="BV64" i="4"/>
  <c r="T64" i="4" s="1"/>
  <c r="BV62" i="4"/>
  <c r="T62" i="4" s="1"/>
  <c r="BV53" i="4"/>
  <c r="T53" i="4" s="1"/>
  <c r="BV71" i="4"/>
  <c r="T71" i="4" s="1"/>
  <c r="BV61" i="4"/>
  <c r="T61" i="4" s="1"/>
  <c r="BV56" i="4"/>
  <c r="T56" i="4" s="1"/>
  <c r="BV76" i="4"/>
  <c r="T76" i="4" s="1"/>
  <c r="BV50" i="4"/>
  <c r="T50" i="4" s="1"/>
  <c r="BV59" i="4"/>
  <c r="T59" i="4" s="1"/>
  <c r="BV51" i="4"/>
  <c r="T51" i="4" s="1"/>
  <c r="BV52" i="4"/>
  <c r="T52" i="4" s="1"/>
  <c r="BV66" i="4"/>
  <c r="T66" i="4" s="1"/>
  <c r="BV67" i="4"/>
  <c r="T67" i="4" s="1"/>
  <c r="BV73" i="4"/>
  <c r="T73" i="4" s="1"/>
  <c r="BV70" i="4"/>
  <c r="T70" i="4" s="1"/>
  <c r="BV55" i="4"/>
  <c r="T55" i="4" s="1"/>
  <c r="BV60" i="4"/>
  <c r="T60" i="4" s="1"/>
  <c r="BT49" i="4"/>
  <c r="BT68" i="4"/>
  <c r="AW68" i="4" s="1"/>
  <c r="BV68" i="4"/>
  <c r="T68" i="4" s="1"/>
  <c r="MA113" i="9"/>
  <c r="AC92" i="9" s="1"/>
  <c r="AD96" i="9"/>
  <c r="BS48" i="4"/>
  <c r="BS49" i="4"/>
  <c r="AW49" i="4" s="1"/>
  <c r="BV49" i="4"/>
  <c r="T49" i="4" s="1"/>
  <c r="BQ48" i="4"/>
  <c r="BQ49" i="4"/>
  <c r="BU49" i="4" s="1"/>
  <c r="R49" i="4" s="1"/>
  <c r="BV48" i="4"/>
  <c r="T48" i="4" s="1"/>
  <c r="BU48" i="4"/>
  <c r="R48" i="4" s="1"/>
  <c r="BT45" i="4"/>
  <c r="BT48" i="4"/>
  <c r="AW48" i="4" s="1"/>
  <c r="BV43" i="4"/>
  <c r="T43" i="4" s="1"/>
  <c r="BV45" i="4"/>
  <c r="T45" i="4" s="1"/>
  <c r="BT42" i="4"/>
  <c r="BV42" i="4"/>
  <c r="T42" i="4" s="1"/>
  <c r="BT44" i="4"/>
  <c r="BT47" i="4"/>
  <c r="BV46" i="4"/>
  <c r="T46" i="4" s="1"/>
  <c r="BV40" i="4"/>
  <c r="T40" i="4" s="1"/>
  <c r="BT37" i="4"/>
  <c r="BP29" i="4"/>
  <c r="BV41" i="4"/>
  <c r="T41" i="4" s="1"/>
  <c r="BT39" i="4"/>
  <c r="BT46" i="4"/>
  <c r="BT43" i="4"/>
  <c r="BT40" i="4"/>
  <c r="BT41" i="4"/>
  <c r="BT38" i="4"/>
  <c r="BV44" i="4"/>
  <c r="T44" i="4" s="1"/>
  <c r="BV47" i="4"/>
  <c r="T47" i="4" s="1"/>
  <c r="BV39" i="4"/>
  <c r="T39" i="4" s="1"/>
  <c r="BV38" i="4"/>
  <c r="T38" i="4" s="1"/>
  <c r="BS42" i="4"/>
  <c r="BS38" i="4"/>
  <c r="BS44" i="4"/>
  <c r="BS39" i="4"/>
  <c r="BS43" i="4"/>
  <c r="BS47" i="4"/>
  <c r="BS46" i="4"/>
  <c r="BS40" i="4"/>
  <c r="BS45" i="4"/>
  <c r="BQ46" i="4"/>
  <c r="BU46" i="4" s="1"/>
  <c r="R46" i="4" s="1"/>
  <c r="BQ42" i="4"/>
  <c r="BU42" i="4" s="1"/>
  <c r="R42" i="4" s="1"/>
  <c r="BQ43" i="4"/>
  <c r="BU43" i="4" s="1"/>
  <c r="R43" i="4" s="1"/>
  <c r="BQ40" i="4"/>
  <c r="BU40" i="4" s="1"/>
  <c r="R40" i="4" s="1"/>
  <c r="BQ38" i="4"/>
  <c r="BU38" i="4" s="1"/>
  <c r="R38" i="4" s="1"/>
  <c r="BQ47" i="4"/>
  <c r="BU47" i="4" s="1"/>
  <c r="R47" i="4" s="1"/>
  <c r="BQ39" i="4"/>
  <c r="BU39" i="4" s="1"/>
  <c r="R39" i="4" s="1"/>
  <c r="BQ44" i="4"/>
  <c r="BU44" i="4" s="1"/>
  <c r="R44" i="4" s="1"/>
  <c r="BQ45" i="4"/>
  <c r="BU45" i="4" s="1"/>
  <c r="R45" i="4" s="1"/>
  <c r="BO29" i="4"/>
  <c r="BS41" i="4"/>
  <c r="BS37" i="4"/>
  <c r="BQ37" i="4"/>
  <c r="BU37" i="4" s="1"/>
  <c r="R37" i="4" s="1"/>
  <c r="MA108" i="9" s="1"/>
  <c r="AC95" i="9" s="1"/>
  <c r="BQ41" i="4"/>
  <c r="BU41" i="4" s="1"/>
  <c r="R41" i="4" s="1"/>
  <c r="AW73" i="4" l="1"/>
  <c r="AW63" i="4"/>
  <c r="AW71" i="4"/>
  <c r="AW50" i="4"/>
  <c r="AW51" i="4"/>
  <c r="AW75" i="4"/>
  <c r="AW64" i="4"/>
  <c r="AW53" i="4"/>
  <c r="AW61" i="4"/>
  <c r="AW57" i="4"/>
  <c r="AW56" i="4"/>
  <c r="AW72" i="4"/>
  <c r="AW62" i="4"/>
  <c r="AW76" i="4"/>
  <c r="AW59" i="4"/>
  <c r="AW52" i="4"/>
  <c r="AW67" i="4"/>
  <c r="AW66" i="4"/>
  <c r="AW69" i="4"/>
  <c r="AW54" i="4"/>
  <c r="AW65" i="4"/>
  <c r="AW74" i="4"/>
  <c r="AW60" i="4"/>
  <c r="AW55" i="4"/>
  <c r="AW70" i="4"/>
  <c r="MA112" i="9"/>
  <c r="AC91" i="9" s="1"/>
  <c r="AD95" i="9"/>
  <c r="AW45" i="4"/>
  <c r="AW43" i="4"/>
  <c r="AW42" i="4"/>
  <c r="AW37" i="4"/>
  <c r="AW44" i="4"/>
  <c r="AW47" i="4"/>
  <c r="AW41" i="4"/>
  <c r="AW39" i="4"/>
  <c r="BP30" i="4"/>
  <c r="S35" i="4"/>
  <c r="AW40" i="4"/>
  <c r="AW46" i="4"/>
  <c r="AW38" i="4"/>
  <c r="BO30" i="4"/>
  <c r="Q35" i="4"/>
  <c r="AW35" i="4" l="1"/>
  <c r="T118" i="4" s="1"/>
  <c r="Q34" i="4"/>
  <c r="S118" i="4"/>
  <c r="HQ88" i="9"/>
  <c r="HR88" i="9"/>
  <c r="HS88" i="9"/>
  <c r="HT88" i="9"/>
  <c r="HU88" i="9"/>
  <c r="HV88" i="9"/>
  <c r="HW88" i="9"/>
  <c r="HX88" i="9"/>
  <c r="HY88" i="9"/>
  <c r="HZ88" i="9"/>
  <c r="IA88" i="9"/>
  <c r="HS79" i="9"/>
  <c r="HS87" i="9"/>
  <c r="IA79" i="9"/>
  <c r="IA81" i="9" s="1"/>
  <c r="IA87" i="9"/>
  <c r="HZ79" i="9"/>
  <c r="HZ81" i="9" s="1"/>
  <c r="HZ87" i="9"/>
  <c r="HY79" i="9"/>
  <c r="HY81" i="9" s="1"/>
  <c r="HY87" i="9"/>
  <c r="HX79" i="9"/>
  <c r="HX87" i="9"/>
  <c r="HW79" i="9"/>
  <c r="HW87" i="9"/>
  <c r="HV79" i="9"/>
  <c r="HV87" i="9"/>
  <c r="HU79" i="9"/>
  <c r="HU87" i="9"/>
  <c r="HT79" i="9"/>
  <c r="HT87" i="9"/>
  <c r="BP78" i="9" l="1"/>
  <c r="HT86" i="9"/>
  <c r="HT85" i="9"/>
  <c r="HU85" i="9"/>
  <c r="HU84" i="9"/>
  <c r="HV84" i="9"/>
  <c r="HV83" i="9"/>
  <c r="HW83" i="9"/>
  <c r="HW82" i="9"/>
  <c r="HX82" i="9"/>
  <c r="HX81" i="9"/>
  <c r="HS86" i="9"/>
  <c r="HU86" i="9"/>
  <c r="HV86" i="9"/>
  <c r="HV85" i="9"/>
  <c r="HW86" i="9"/>
  <c r="HW85" i="9"/>
  <c r="HW84" i="9"/>
  <c r="HX86" i="9"/>
  <c r="HX85" i="9"/>
  <c r="HX84" i="9"/>
  <c r="HX83" i="9"/>
  <c r="HY86" i="9"/>
  <c r="HY85" i="9"/>
  <c r="HY84" i="9"/>
  <c r="HY83" i="9"/>
  <c r="HY82" i="9"/>
  <c r="HZ86" i="9"/>
  <c r="HZ85" i="9"/>
  <c r="HZ84" i="9"/>
  <c r="HZ83" i="9"/>
  <c r="HZ82" i="9"/>
  <c r="IA86" i="9"/>
  <c r="IA85" i="9"/>
  <c r="IA84" i="9"/>
  <c r="IA83" i="9"/>
  <c r="IA82" i="9"/>
  <c r="DP54" i="9"/>
  <c r="DV54" i="9" s="1"/>
</calcChain>
</file>

<file path=xl/comments1.xml><?xml version="1.0" encoding="utf-8"?>
<comments xmlns="http://schemas.openxmlformats.org/spreadsheetml/2006/main">
  <authors>
    <author>Bruce Lightfoot</author>
  </authors>
  <commentList>
    <comment ref="AB26" authorId="0">
      <text>
        <r>
          <rPr>
            <b/>
            <sz val="8"/>
            <color indexed="81"/>
            <rFont val="Tahoma"/>
            <family val="2"/>
          </rPr>
          <t>Bruce Lightfoot:</t>
        </r>
        <r>
          <rPr>
            <sz val="8"/>
            <color indexed="81"/>
            <rFont val="Tahoma"/>
            <family val="2"/>
          </rPr>
          <t xml:space="preserve">
Modified formula assumes that Cu does not vary with Air Movement level and reads only from the Standard Air Movement zone of the named range. (Formerly used second zone when Air Movement = H.)</t>
        </r>
      </text>
    </comment>
    <comment ref="AD26" authorId="0">
      <text>
        <r>
          <rPr>
            <b/>
            <sz val="8"/>
            <color indexed="81"/>
            <rFont val="Tahoma"/>
            <family val="2"/>
          </rPr>
          <t>Bruce Lightfoot:</t>
        </r>
        <r>
          <rPr>
            <sz val="8"/>
            <color indexed="81"/>
            <rFont val="Tahoma"/>
            <family val="2"/>
          </rPr>
          <t xml:space="preserve">
Modified formula assumes that Cu does not vary with Air Movement level and reads only from the Standard Air Movement zone of the named range. (Formerly used second zone when Air Movement = H.)</t>
        </r>
      </text>
    </comment>
    <comment ref="AR26" authorId="0">
      <text>
        <r>
          <rPr>
            <b/>
            <sz val="9"/>
            <color indexed="81"/>
            <rFont val="Tahoma"/>
            <family val="2"/>
          </rPr>
          <t>Bruce Lightfoot:</t>
        </r>
        <r>
          <rPr>
            <sz val="9"/>
            <color indexed="81"/>
            <rFont val="Tahoma"/>
            <family val="2"/>
          </rPr>
          <t xml:space="preserve">
Array formula (for compatibility with Excel 2003) counts upper level input issues and inactive rows in the glazing elements table with flagged issues (but not alerts).</t>
        </r>
      </text>
    </comment>
    <comment ref="BO26" authorId="0">
      <text>
        <r>
          <rPr>
            <b/>
            <sz val="8"/>
            <color indexed="81"/>
            <rFont val="Tahoma"/>
            <family val="2"/>
          </rPr>
          <t>Bruce Lightfoot:</t>
        </r>
        <r>
          <rPr>
            <sz val="8"/>
            <color indexed="81"/>
            <rFont val="Tahoma"/>
            <family val="2"/>
          </rPr>
          <t xml:space="preserve">
Set to zero if ConductanceAccess is zero to avoid Divide by Zero errors. Result is not displayed.</t>
        </r>
      </text>
    </comment>
    <comment ref="AC27" authorId="0">
      <text>
        <r>
          <rPr>
            <b/>
            <sz val="8"/>
            <color indexed="81"/>
            <rFont val="Tahoma"/>
            <family val="2"/>
          </rPr>
          <t>Bruce Lightfoot:</t>
        </r>
        <r>
          <rPr>
            <sz val="8"/>
            <color indexed="81"/>
            <rFont val="Tahoma"/>
            <family val="2"/>
          </rPr>
          <t xml:space="preserve">
This formula and its Type B companion may be redundant.</t>
        </r>
      </text>
    </comment>
    <comment ref="AD27" authorId="0">
      <text>
        <r>
          <rPr>
            <b/>
            <sz val="8"/>
            <color indexed="81"/>
            <rFont val="Tahoma"/>
            <family val="2"/>
          </rPr>
          <t>Bruce Lightfoot:</t>
        </r>
        <r>
          <rPr>
            <sz val="8"/>
            <color indexed="81"/>
            <rFont val="Tahoma"/>
            <family val="2"/>
          </rPr>
          <t xml:space="preserve">
Formulae deleted after changing references in former dependent (below) to refer to equivalent for Type A.</t>
        </r>
      </text>
    </comment>
    <comment ref="AE27" authorId="0">
      <text>
        <r>
          <rPr>
            <b/>
            <sz val="8"/>
            <color indexed="81"/>
            <rFont val="Tahoma"/>
            <family val="2"/>
          </rPr>
          <t>Bruce Lightfoot:</t>
        </r>
        <r>
          <rPr>
            <sz val="8"/>
            <color indexed="81"/>
            <rFont val="Tahoma"/>
            <family val="2"/>
          </rPr>
          <t xml:space="preserve">
Formulae deleted after changing references in former dependent (below) to refer to equivalent for Type A.</t>
        </r>
      </text>
    </comment>
    <comment ref="B28" authorId="0">
      <text>
        <r>
          <rPr>
            <b/>
            <sz val="8"/>
            <color indexed="81"/>
            <rFont val="Tahoma"/>
            <family val="2"/>
          </rPr>
          <t>Storey :</t>
        </r>
        <r>
          <rPr>
            <sz val="8"/>
            <color indexed="81"/>
            <rFont val="Tahoma"/>
            <family val="2"/>
          </rPr>
          <t xml:space="preserve">
Each storey must be assessed on a separate calculator form.</t>
        </r>
      </text>
    </comment>
    <comment ref="AB28" authorId="0">
      <text>
        <r>
          <rPr>
            <b/>
            <sz val="8"/>
            <color indexed="81"/>
            <rFont val="Tahoma"/>
            <family val="2"/>
          </rPr>
          <t>Bruce Lightfoot:</t>
        </r>
        <r>
          <rPr>
            <sz val="8"/>
            <color indexed="81"/>
            <rFont val="Tahoma"/>
            <family val="2"/>
          </rPr>
          <t xml:space="preserve">
Reviewed and considered suitable for retention.</t>
        </r>
      </text>
    </comment>
    <comment ref="AC28" authorId="0">
      <text>
        <r>
          <rPr>
            <b/>
            <sz val="8"/>
            <color indexed="81"/>
            <rFont val="Tahoma"/>
            <family val="2"/>
          </rPr>
          <t>Bruce Lightfoot:</t>
        </r>
        <r>
          <rPr>
            <sz val="8"/>
            <color indexed="81"/>
            <rFont val="Tahoma"/>
            <family val="2"/>
          </rPr>
          <t xml:space="preserve">
Reviewed and considered suitable for retention.</t>
        </r>
      </text>
    </comment>
    <comment ref="S29" authorId="0">
      <text>
        <r>
          <rPr>
            <b/>
            <sz val="8"/>
            <color indexed="81"/>
            <rFont val="Tahoma"/>
            <family val="2"/>
          </rPr>
          <t>BCA reference:</t>
        </r>
        <r>
          <rPr>
            <sz val="8"/>
            <color indexed="81"/>
            <rFont val="Tahoma"/>
            <family val="2"/>
          </rPr>
          <t xml:space="preserve">
Cu x Area for zone 1 only. Cu only for zones 2-8.</t>
        </r>
      </text>
    </comment>
    <comment ref="AR29" authorId="0">
      <text>
        <r>
          <rPr>
            <b/>
            <sz val="8"/>
            <color indexed="81"/>
            <rFont val="Tahoma"/>
            <family val="2"/>
          </rPr>
          <t>Bruce Lightfoot:</t>
        </r>
        <r>
          <rPr>
            <sz val="8"/>
            <color indexed="81"/>
            <rFont val="Tahoma"/>
            <family val="2"/>
          </rPr>
          <t xml:space="preserve">
Tests whether flagged issues occur only in the last active row (typically during data input). If TRUE, message above calculated outcomes is hidden.</t>
        </r>
      </text>
    </comment>
    <comment ref="B30" authorId="0">
      <text>
        <r>
          <rPr>
            <b/>
            <sz val="8"/>
            <color indexed="81"/>
            <rFont val="Tahoma"/>
            <family val="2"/>
          </rPr>
          <t>BCA reference:</t>
        </r>
        <r>
          <rPr>
            <sz val="8"/>
            <color indexed="81"/>
            <rFont val="Tahoma"/>
            <family val="2"/>
          </rPr>
          <t xml:space="preserve">
Notes to Table 3.12.2.1 explain when 'Standard' and 'High' Air Movement levels apply and permit interpolation for values in between.
</t>
        </r>
        <r>
          <rPr>
            <b/>
            <sz val="8"/>
            <color indexed="81"/>
            <rFont val="Tahoma"/>
            <family val="2"/>
          </rPr>
          <t>Tip:</t>
        </r>
        <r>
          <rPr>
            <sz val="8"/>
            <color indexed="81"/>
            <rFont val="Tahoma"/>
            <family val="2"/>
          </rPr>
          <t xml:space="preserve">
For interpolation, calculate the multiple of the Standard requirement actually achieved and enter just the number (more than 1 but less than 2). A 'x Std' label will be added automatically.
Press Enter or Tab to leave the cell.</t>
        </r>
      </text>
    </comment>
    <comment ref="F32" authorId="0">
      <text>
        <r>
          <rPr>
            <b/>
            <sz val="8"/>
            <color indexed="81"/>
            <rFont val="Tahoma"/>
            <family val="2"/>
          </rPr>
          <t>Tip:</t>
        </r>
        <r>
          <rPr>
            <sz val="8"/>
            <color indexed="81"/>
            <rFont val="Tahoma"/>
            <family val="2"/>
          </rPr>
          <t xml:space="preserve">
Type the number of rows preferred (max 80) and press Enter or Tab to leave the cell. Follow the instruction that pops up beside this cell.</t>
        </r>
      </text>
    </comment>
    <comment ref="X32" authorId="0">
      <text>
        <r>
          <rPr>
            <b/>
            <sz val="8"/>
            <color indexed="81"/>
            <rFont val="Tahoma"/>
            <family val="2"/>
          </rPr>
          <t>Bruce Lightfoot:</t>
        </r>
        <r>
          <rPr>
            <sz val="8"/>
            <color indexed="81"/>
            <rFont val="Tahoma"/>
            <family val="2"/>
          </rPr>
          <t xml:space="preserve">
Font size in this cell sets height of this row for calculator form.</t>
        </r>
      </text>
    </comment>
    <comment ref="AC32" authorId="0">
      <text>
        <r>
          <rPr>
            <b/>
            <sz val="8"/>
            <color indexed="81"/>
            <rFont val="Tahoma"/>
            <family val="2"/>
          </rPr>
          <t>Bruce Lightfoot:</t>
        </r>
        <r>
          <rPr>
            <sz val="8"/>
            <color indexed="81"/>
            <rFont val="Tahoma"/>
            <family val="2"/>
          </rPr>
          <t xml:space="preserve">
Rounded to 1 decimal place to match decimals displayed on Calculator form (21.7.09)</t>
        </r>
      </text>
    </comment>
    <comment ref="Y34" authorId="0">
      <text>
        <r>
          <rPr>
            <b/>
            <sz val="8"/>
            <color indexed="81"/>
            <rFont val="Tahoma"/>
            <family val="2"/>
          </rPr>
          <t>Bruce Lightfoot:</t>
        </r>
        <r>
          <rPr>
            <sz val="8"/>
            <color indexed="81"/>
            <rFont val="Tahoma"/>
            <family val="2"/>
          </rPr>
          <t xml:space="preserve">
Row height controlled by unseen font in this cell to ensure sufficient height for text box over table titles (without obscuring borders).</t>
        </r>
      </text>
    </comment>
    <comment ref="AL34" authorId="0">
      <text>
        <r>
          <rPr>
            <b/>
            <sz val="8"/>
            <color indexed="81"/>
            <rFont val="Tahoma"/>
            <family val="2"/>
          </rPr>
          <t>Bruce Lightfoot:</t>
        </r>
        <r>
          <rPr>
            <sz val="8"/>
            <color indexed="81"/>
            <rFont val="Tahoma"/>
            <family val="2"/>
          </rPr>
          <t xml:space="preserve">
Tests can return TRUE only when a valid element size has been given.</t>
        </r>
      </text>
    </comment>
    <comment ref="AO34" authorId="0">
      <text>
        <r>
          <rPr>
            <b/>
            <sz val="8"/>
            <color indexed="81"/>
            <rFont val="Tahoma"/>
            <family val="2"/>
          </rPr>
          <t>Bruce Lightfoot:</t>
        </r>
        <r>
          <rPr>
            <sz val="8"/>
            <color indexed="81"/>
            <rFont val="Tahoma"/>
            <family val="2"/>
          </rPr>
          <t xml:space="preserve">
Tests can return TRUE only when a valid element size has been given.</t>
        </r>
      </text>
    </comment>
    <comment ref="B35" authorId="0">
      <text>
        <r>
          <rPr>
            <b/>
            <sz val="8"/>
            <color indexed="81"/>
            <rFont val="Tahoma"/>
            <family val="2"/>
          </rPr>
          <t>Tip:</t>
        </r>
        <r>
          <rPr>
            <sz val="8"/>
            <color indexed="81"/>
            <rFont val="Tahoma"/>
            <family val="2"/>
          </rPr>
          <t xml:space="preserve">
The arrow below controls the number of rows displayed in the table.
</t>
        </r>
        <r>
          <rPr>
            <b/>
            <sz val="8"/>
            <color indexed="81"/>
            <rFont val="Tahoma"/>
            <family val="2"/>
          </rPr>
          <t>First set the number of rows preferred above the table.</t>
        </r>
        <r>
          <rPr>
            <sz val="8"/>
            <color indexed="81"/>
            <rFont val="Tahoma"/>
            <family val="2"/>
          </rPr>
          <t xml:space="preserve"> Then click the arrow and select the single number set from the drop down list. </t>
        </r>
      </text>
    </comment>
    <comment ref="I35" authorId="0">
      <text>
        <r>
          <rPr>
            <b/>
            <sz val="8"/>
            <color indexed="81"/>
            <rFont val="Tahoma"/>
            <family val="2"/>
          </rPr>
          <t>Tip:</t>
        </r>
        <r>
          <rPr>
            <sz val="8"/>
            <color indexed="81"/>
            <rFont val="Tahoma"/>
            <family val="2"/>
          </rPr>
          <t xml:space="preserve">
The Calculator compares Height x Width (even if they are blank) with any Area given and uses the larger value in calculations.
Any Width or Area value NOT used will be shown in </t>
        </r>
        <r>
          <rPr>
            <i/>
            <sz val="8"/>
            <color indexed="23"/>
            <rFont val="Tahoma"/>
            <family val="2"/>
          </rPr>
          <t>grey italics</t>
        </r>
        <r>
          <rPr>
            <sz val="8"/>
            <color indexed="81"/>
            <rFont val="Tahoma"/>
            <family val="2"/>
          </rPr>
          <t xml:space="preserve"> and the value in the 'Area used' column will be in </t>
        </r>
        <r>
          <rPr>
            <b/>
            <sz val="8"/>
            <color indexed="52"/>
            <rFont val="Tahoma"/>
            <family val="2"/>
          </rPr>
          <t>orange bold</t>
        </r>
        <r>
          <rPr>
            <sz val="8"/>
            <color indexed="81"/>
            <rFont val="Tahoma"/>
            <family val="2"/>
          </rPr>
          <t xml:space="preserve"> font to show that there are conflicting inputs.</t>
        </r>
      </text>
    </comment>
    <comment ref="AI35" authorId="0">
      <text>
        <r>
          <rPr>
            <b/>
            <sz val="8"/>
            <color indexed="81"/>
            <rFont val="Tahoma"/>
            <family val="2"/>
          </rPr>
          <t>Bruce Lightfoot:</t>
        </r>
        <r>
          <rPr>
            <sz val="8"/>
            <color indexed="81"/>
            <rFont val="Tahoma"/>
            <family val="2"/>
          </rPr>
          <t xml:space="preserve">
No count since column below is for conditional formatting only.</t>
        </r>
      </text>
    </comment>
    <comment ref="BM35" authorId="0">
      <text>
        <r>
          <rPr>
            <b/>
            <sz val="8"/>
            <color indexed="81"/>
            <rFont val="Tahoma"/>
            <family val="2"/>
          </rPr>
          <t>Bruce Lightfoot:</t>
        </r>
        <r>
          <rPr>
            <sz val="8"/>
            <color indexed="81"/>
            <rFont val="Tahoma"/>
            <family val="2"/>
          </rPr>
          <t xml:space="preserve">
The conductance allowances for zones 2-8 are calculated by multiplying this result (only) by the nominated Cu value. For zone 1, this value is set to 1 and the allowance is the product of Cu and the Floor area.</t>
        </r>
      </text>
    </comment>
    <comment ref="BX35" authorId="0">
      <text>
        <r>
          <rPr>
            <b/>
            <sz val="8"/>
            <color indexed="81"/>
            <rFont val="Tahoma"/>
            <family val="2"/>
          </rPr>
          <t>Tip:</t>
        </r>
        <r>
          <rPr>
            <sz val="8"/>
            <color indexed="81"/>
            <rFont val="Tahoma"/>
            <family val="2"/>
          </rPr>
          <t xml:space="preserve">
</t>
        </r>
        <r>
          <rPr>
            <sz val="8"/>
            <color indexed="81"/>
            <rFont val="Tahoma"/>
            <family val="2"/>
          </rPr>
          <t>The Calculator compares height x width (even if they are blank) with any area given and uses the larger value in calculations</t>
        </r>
        <r>
          <rPr>
            <sz val="8"/>
            <color indexed="81"/>
            <rFont val="Tahoma"/>
            <family val="2"/>
          </rPr>
          <t>.
Any width or area value NOT used will be shown in grey italics and the value in the "area used" column will be in red bold font to show that there are conflicting inputs.</t>
        </r>
      </text>
    </comment>
    <comment ref="BY35" authorId="0">
      <text>
        <r>
          <rPr>
            <b/>
            <sz val="8"/>
            <color indexed="81"/>
            <rFont val="Tahoma"/>
            <family val="2"/>
          </rPr>
          <t>Tip:</t>
        </r>
        <r>
          <rPr>
            <sz val="8"/>
            <color indexed="81"/>
            <rFont val="Tahoma"/>
            <family val="2"/>
          </rPr>
          <t xml:space="preserve">
</t>
        </r>
        <r>
          <rPr>
            <sz val="8"/>
            <color indexed="81"/>
            <rFont val="Tahoma"/>
            <family val="2"/>
          </rPr>
          <t>The Calculator compares height x width (even if they are blank) with any area given and uses the larger value in calculations</t>
        </r>
        <r>
          <rPr>
            <sz val="8"/>
            <color indexed="81"/>
            <rFont val="Tahoma"/>
            <family val="2"/>
          </rPr>
          <t>.
Any width or area value NOT used will be shown in grey italics and the value in the "area used" column will be in red bold font to show that there are conflicting inputs.</t>
        </r>
      </text>
    </comment>
    <comment ref="BZ35" authorId="0">
      <text>
        <r>
          <rPr>
            <b/>
            <sz val="8"/>
            <color indexed="81"/>
            <rFont val="Tahoma"/>
            <family val="2"/>
          </rPr>
          <t>Tip:</t>
        </r>
        <r>
          <rPr>
            <sz val="8"/>
            <color indexed="81"/>
            <rFont val="Tahoma"/>
            <family val="2"/>
          </rPr>
          <t xml:space="preserve">
</t>
        </r>
        <r>
          <rPr>
            <sz val="8"/>
            <color indexed="81"/>
            <rFont val="Tahoma"/>
            <family val="2"/>
          </rPr>
          <t>The Calculator compares height x width (even if they are blank) with any area given and uses the larger value in calculations</t>
        </r>
        <r>
          <rPr>
            <sz val="8"/>
            <color indexed="81"/>
            <rFont val="Tahoma"/>
            <family val="2"/>
          </rPr>
          <t>.
Any width or area value NOT used will be shown in grey italics and the value in the "area used" column will be in red bold font to show that there are conflicting inputs.</t>
        </r>
      </text>
    </comment>
    <comment ref="C36" authorId="0">
      <text>
        <r>
          <rPr>
            <b/>
            <sz val="8"/>
            <color indexed="81"/>
            <rFont val="Tahoma"/>
            <family val="2"/>
          </rPr>
          <t>Tip:</t>
        </r>
        <r>
          <rPr>
            <sz val="8"/>
            <color indexed="81"/>
            <rFont val="Tahoma"/>
            <family val="2"/>
          </rPr>
          <t xml:space="preserve">
Glazing element identification.
Numbers 1 to 80 are shown by default but any identifying code can be used if preferred. (Longer descriptions can be used in next column.)</t>
        </r>
      </text>
    </comment>
    <comment ref="D36" authorId="0">
      <text>
        <r>
          <rPr>
            <b/>
            <sz val="8"/>
            <color indexed="81"/>
            <rFont val="Tahoma"/>
            <family val="2"/>
          </rPr>
          <t>Tip:</t>
        </r>
        <r>
          <rPr>
            <sz val="8"/>
            <color indexed="81"/>
            <rFont val="Tahoma"/>
            <family val="2"/>
          </rPr>
          <t xml:space="preserve">
This column can be used for (short) descriptions such as location or window type.</t>
        </r>
      </text>
    </comment>
    <comment ref="F36" authorId="0">
      <text>
        <r>
          <rPr>
            <b/>
            <sz val="8"/>
            <color indexed="81"/>
            <rFont val="Tahoma"/>
            <family val="2"/>
          </rPr>
          <t>BCA reference:</t>
        </r>
        <r>
          <rPr>
            <sz val="8"/>
            <color indexed="81"/>
            <rFont val="Tahoma"/>
            <family val="2"/>
          </rPr>
          <t xml:space="preserve">
Figure 3.12.2.1
</t>
        </r>
        <r>
          <rPr>
            <b/>
            <sz val="8"/>
            <color indexed="81"/>
            <rFont val="Tahoma"/>
            <family val="2"/>
          </rPr>
          <t>Tip:</t>
        </r>
        <r>
          <rPr>
            <sz val="8"/>
            <color indexed="81"/>
            <rFont val="Tahoma"/>
            <family val="2"/>
          </rPr>
          <t xml:space="preserve">
Use the initials of the orientation sectors shown in Figure 3.12.2.1 (N, NE, E, etc). A drop down list will be available when inputs above this table are complete.</t>
        </r>
      </text>
    </comment>
    <comment ref="G36" authorId="0">
      <text>
        <r>
          <rPr>
            <b/>
            <sz val="8"/>
            <color indexed="81"/>
            <rFont val="Tahoma"/>
            <family val="2"/>
          </rPr>
          <t>Tip:</t>
        </r>
        <r>
          <rPr>
            <sz val="8"/>
            <color indexed="81"/>
            <rFont val="Tahoma"/>
            <family val="2"/>
          </rPr>
          <t xml:space="preserve">
</t>
        </r>
        <r>
          <rPr>
            <sz val="8"/>
            <color indexed="81"/>
            <rFont val="Tahoma"/>
            <family val="2"/>
          </rPr>
          <t>Rectangular</t>
        </r>
        <r>
          <rPr>
            <sz val="8"/>
            <color indexed="81"/>
            <rFont val="Tahoma"/>
            <family val="2"/>
          </rPr>
          <t xml:space="preserve"> </t>
        </r>
        <r>
          <rPr>
            <sz val="8"/>
            <color indexed="81"/>
            <rFont val="Tahoma"/>
            <family val="2"/>
          </rPr>
          <t>glazing</t>
        </r>
        <r>
          <rPr>
            <sz val="8"/>
            <color indexed="81"/>
            <rFont val="Tahoma"/>
            <family val="2"/>
          </rPr>
          <t xml:space="preserve"> elements can be described by Height and Width or simply by Area. If Height and Width are used, do not enter a value for Area.
Non-rectangular elements must be described by Area and the Height must be given if a shading projection is used.
</t>
        </r>
        <r>
          <rPr>
            <b/>
            <sz val="8"/>
            <color indexed="81"/>
            <rFont val="Tahoma"/>
            <family val="2"/>
          </rPr>
          <t>In all cases, include the area of frames.</t>
        </r>
      </text>
    </comment>
    <comment ref="I36" authorId="0">
      <text>
        <r>
          <rPr>
            <b/>
            <sz val="8"/>
            <color indexed="81"/>
            <rFont val="Tahoma"/>
            <family val="2"/>
          </rPr>
          <t>Tip:</t>
        </r>
        <r>
          <rPr>
            <sz val="8"/>
            <color indexed="81"/>
            <rFont val="Tahoma"/>
            <family val="2"/>
          </rPr>
          <t xml:space="preserve">
</t>
        </r>
        <r>
          <rPr>
            <sz val="8"/>
            <color indexed="81"/>
            <rFont val="Tahoma"/>
            <family val="2"/>
          </rPr>
          <t>Glazing</t>
        </r>
        <r>
          <rPr>
            <sz val="8"/>
            <color indexed="81"/>
            <rFont val="Tahoma"/>
            <family val="2"/>
          </rPr>
          <t xml:space="preserve"> elements that share the same glass and frame type, face the same orientation sector and have the same shading P/H value can be combined into a single notional element whose Area can be recorded here.
The Area of individual </t>
        </r>
        <r>
          <rPr>
            <sz val="8"/>
            <color indexed="81"/>
            <rFont val="Tahoma"/>
            <family val="2"/>
          </rPr>
          <t>glazing</t>
        </r>
        <r>
          <rPr>
            <sz val="8"/>
            <color indexed="81"/>
            <rFont val="Tahoma"/>
            <family val="2"/>
          </rPr>
          <t xml:space="preserve"> elements can also be recorded here instead of listing Height and Width separately. </t>
        </r>
        <r>
          <rPr>
            <b/>
            <sz val="8"/>
            <color indexed="81"/>
            <rFont val="Tahoma"/>
            <family val="2"/>
          </rPr>
          <t>This is essential for non-rectangular shapes.</t>
        </r>
      </text>
    </comment>
    <comment ref="J36" authorId="0">
      <text>
        <r>
          <rPr>
            <b/>
            <sz val="8"/>
            <color indexed="81"/>
            <rFont val="Tahoma"/>
            <family val="2"/>
          </rPr>
          <t>Tip:</t>
        </r>
        <r>
          <rPr>
            <sz val="8"/>
            <color indexed="81"/>
            <rFont val="Tahoma"/>
            <family val="2"/>
          </rPr>
          <t xml:space="preserve">
U-Value data in NFRC 100-2001 format is based on the US National Fenestration Rating Council's NFRC 100-2001 Winter conditions.
Glazing systems that are simulated or physically tested, in accordance with NFRC or Australian Fenestration Rating Council (AFRC) procedures and protocols, are acceptable sources of such Total System U-Values.</t>
        </r>
      </text>
    </comment>
    <comment ref="K36" authorId="0">
      <text>
        <r>
          <rPr>
            <b/>
            <sz val="8"/>
            <color indexed="81"/>
            <rFont val="Tahoma"/>
            <family val="2"/>
          </rPr>
          <t>Tip:</t>
        </r>
        <r>
          <rPr>
            <sz val="8"/>
            <color indexed="81"/>
            <rFont val="Tahoma"/>
            <family val="2"/>
          </rPr>
          <t xml:space="preserve">
SHGC data in NFRC 100-2001 format is based on the US National Fenestration Rating Council's NFRC 100-2001 Summer conditions.
Glazing systems that are simulated or physically tested, in accordance with NFRC or Australian Fenestration Rating Council (AFRC) procedures and protocols, are acceptable sources of such Total System SHGCs.
</t>
        </r>
      </text>
    </comment>
    <comment ref="L36" authorId="0">
      <text>
        <r>
          <rPr>
            <b/>
            <sz val="8"/>
            <color indexed="81"/>
            <rFont val="Tahoma"/>
            <family val="2"/>
          </rPr>
          <t>BCA reference:</t>
        </r>
        <r>
          <rPr>
            <sz val="8"/>
            <color indexed="81"/>
            <rFont val="Tahoma"/>
            <family val="2"/>
          </rPr>
          <t xml:space="preserve">
Figure 3.12.2.2
</t>
        </r>
        <r>
          <rPr>
            <b/>
            <sz val="8"/>
            <color indexed="81"/>
            <rFont val="Tahoma"/>
            <family val="2"/>
          </rPr>
          <t>Tip:</t>
        </r>
        <r>
          <rPr>
            <sz val="8"/>
            <color indexed="81"/>
            <rFont val="Tahoma"/>
            <family val="2"/>
          </rPr>
          <t xml:space="preserve">
P is the horizontal distance from the glass face to the shadow casting edge of the projection. If shading is provided by a shading device in accordance with 3.12.2.2(b), enter </t>
        </r>
        <r>
          <rPr>
            <b/>
            <sz val="8"/>
            <color indexed="81"/>
            <rFont val="Tahoma"/>
            <family val="2"/>
          </rPr>
          <t>device</t>
        </r>
        <r>
          <rPr>
            <sz val="8"/>
            <color indexed="81"/>
            <rFont val="Tahoma"/>
            <family val="2"/>
          </rPr>
          <t xml:space="preserve">.
</t>
        </r>
        <r>
          <rPr>
            <i/>
            <sz val="8"/>
            <color indexed="12"/>
            <rFont val="Tahoma"/>
            <family val="2"/>
          </rPr>
          <t>Blue italics</t>
        </r>
        <r>
          <rPr>
            <sz val="8"/>
            <color indexed="81"/>
            <rFont val="Tahoma"/>
            <family val="2"/>
          </rPr>
          <t xml:space="preserve"> indicate either that an H value issue is present or that the P value shown has been discounted when calculating P/H. (See Tip for H.)</t>
        </r>
      </text>
    </comment>
    <comment ref="M36" authorId="0">
      <text>
        <r>
          <rPr>
            <b/>
            <sz val="8"/>
            <color indexed="81"/>
            <rFont val="Tahoma"/>
            <family val="2"/>
          </rPr>
          <t>BCA reference:</t>
        </r>
        <r>
          <rPr>
            <sz val="8"/>
            <color indexed="81"/>
            <rFont val="Tahoma"/>
            <family val="2"/>
          </rPr>
          <t xml:space="preserve">
Figure 3.12.2.2
</t>
        </r>
        <r>
          <rPr>
            <b/>
            <sz val="8"/>
            <color indexed="81"/>
            <rFont val="Tahoma"/>
            <family val="2"/>
          </rPr>
          <t>Tip:</t>
        </r>
        <r>
          <rPr>
            <sz val="8"/>
            <color indexed="81"/>
            <rFont val="Tahoma"/>
            <family val="2"/>
          </rPr>
          <t xml:space="preserve">
H is the vertical distance from the </t>
        </r>
        <r>
          <rPr>
            <b/>
            <sz val="8"/>
            <color indexed="81"/>
            <rFont val="Tahoma"/>
            <family val="2"/>
          </rPr>
          <t>base</t>
        </r>
        <r>
          <rPr>
            <sz val="8"/>
            <color indexed="81"/>
            <rFont val="Tahoma"/>
            <family val="2"/>
          </rPr>
          <t xml:space="preserve"> of the </t>
        </r>
        <r>
          <rPr>
            <sz val="8"/>
            <color indexed="81"/>
            <rFont val="Tahoma"/>
            <family val="2"/>
          </rPr>
          <t>glazing</t>
        </r>
        <r>
          <rPr>
            <sz val="8"/>
            <color indexed="81"/>
            <rFont val="Tahoma"/>
            <family val="2"/>
          </rPr>
          <t xml:space="preserve"> to the shadow casting edge of the projection.
When the edge is more than 0.5m above the head of the </t>
        </r>
        <r>
          <rPr>
            <sz val="8"/>
            <color indexed="81"/>
            <rFont val="Tahoma"/>
            <family val="2"/>
          </rPr>
          <t>glazing,</t>
        </r>
        <r>
          <rPr>
            <sz val="8"/>
            <color indexed="81"/>
            <rFont val="Tahoma"/>
            <family val="2"/>
          </rPr>
          <t xml:space="preserve"> the Calculator will use half of the value of P shown at left.</t>
        </r>
      </text>
    </comment>
    <comment ref="N36" authorId="0">
      <text>
        <r>
          <rPr>
            <b/>
            <sz val="8"/>
            <color indexed="81"/>
            <rFont val="Tahoma"/>
            <family val="2"/>
          </rPr>
          <t>Tip:</t>
        </r>
        <r>
          <rPr>
            <sz val="8"/>
            <color indexed="81"/>
            <rFont val="Tahoma"/>
            <family val="2"/>
          </rPr>
          <t xml:space="preserve">
</t>
        </r>
        <r>
          <rPr>
            <i/>
            <sz val="8"/>
            <color indexed="10"/>
            <rFont val="Tahoma"/>
            <family val="2"/>
          </rPr>
          <t>Red italics</t>
        </r>
        <r>
          <rPr>
            <sz val="8"/>
            <color indexed="81"/>
            <rFont val="Tahoma"/>
            <family val="2"/>
          </rPr>
          <t xml:space="preserve"> indicate that the value of P has been halved because H exceeds the glazing element height by more than 0.5m.
</t>
        </r>
        <r>
          <rPr>
            <b/>
            <sz val="8"/>
            <color indexed="52"/>
            <rFont val="Tahoma"/>
            <family val="2"/>
          </rPr>
          <t>Orange bold</t>
        </r>
        <r>
          <rPr>
            <sz val="8"/>
            <color indexed="81"/>
            <rFont val="Tahoma"/>
            <family val="2"/>
          </rPr>
          <t xml:space="preserve"> font indicates that either the P/H value exceeds the limit of the exposure factor table or shading is provided by a shading device (which must be in accordance with 3.12.2.2(b)). Maximum shading credit is given in both cases.</t>
        </r>
      </text>
    </comment>
    <comment ref="P36" authorId="0">
      <text>
        <r>
          <rPr>
            <b/>
            <sz val="8"/>
            <color indexed="81"/>
            <rFont val="Tahoma"/>
            <family val="2"/>
          </rPr>
          <t>Tip:</t>
        </r>
        <r>
          <rPr>
            <sz val="8"/>
            <color indexed="81"/>
            <rFont val="Tahoma"/>
            <family val="2"/>
          </rPr>
          <t xml:space="preserve">
This is the area used in  calculations. It is either the Height multiplied by the Width (when both are given) or any figure from the Area column - whichever is the larger.</t>
        </r>
      </text>
    </comment>
    <comment ref="Q36" authorId="0">
      <text>
        <r>
          <rPr>
            <b/>
            <sz val="8"/>
            <color indexed="81"/>
            <rFont val="Tahoma"/>
            <family val="2"/>
          </rPr>
          <t>Tip:</t>
        </r>
        <r>
          <rPr>
            <sz val="8"/>
            <color indexed="81"/>
            <rFont val="Tahoma"/>
            <family val="2"/>
          </rPr>
          <t xml:space="preserve">
"winter access" refers to the sum of Area1 x SHGC1 x EW1 etc for all glazing elements listed.</t>
        </r>
      </text>
    </comment>
    <comment ref="R36" authorId="0">
      <text>
        <r>
          <rPr>
            <b/>
            <sz val="8"/>
            <color indexed="81"/>
            <rFont val="Tahoma"/>
            <family val="2"/>
          </rPr>
          <t>Tip:</t>
        </r>
        <r>
          <rPr>
            <sz val="8"/>
            <color indexed="81"/>
            <rFont val="Tahoma"/>
            <family val="2"/>
          </rPr>
          <t xml:space="preserve">
'</t>
        </r>
        <r>
          <rPr>
            <b/>
            <sz val="8"/>
            <color indexed="81"/>
            <rFont val="Tahoma"/>
            <family val="2"/>
          </rPr>
          <t>E</t>
        </r>
        <r>
          <rPr>
            <b/>
            <sz val="8"/>
            <color indexed="81"/>
            <rFont val="Tahoma"/>
            <family val="2"/>
          </rPr>
          <t>lement share</t>
        </r>
        <r>
          <rPr>
            <sz val="8"/>
            <color indexed="81"/>
            <rFont val="Tahoma"/>
            <family val="2"/>
          </rPr>
          <t xml:space="preserve">' refers to the </t>
        </r>
        <r>
          <rPr>
            <b/>
            <sz val="8"/>
            <color indexed="81"/>
            <rFont val="Tahoma"/>
            <family val="2"/>
          </rPr>
          <t>first percentage figure</t>
        </r>
        <r>
          <rPr>
            <sz val="8"/>
            <color indexed="81"/>
            <rFont val="Tahoma"/>
            <family val="2"/>
          </rPr>
          <t xml:space="preserve">. It is the percentage contribution that the </t>
        </r>
        <r>
          <rPr>
            <b/>
            <sz val="8"/>
            <color indexed="81"/>
            <rFont val="Tahoma"/>
            <family val="2"/>
          </rPr>
          <t>individual glazing element</t>
        </r>
        <r>
          <rPr>
            <sz val="8"/>
            <color indexed="81"/>
            <rFont val="Tahoma"/>
            <family val="2"/>
          </rPr>
          <t xml:space="preserve"> makes to the aggregate conductance outcome for its floor type. The figure will be 100% when there is only one </t>
        </r>
        <r>
          <rPr>
            <sz val="8"/>
            <color indexed="81"/>
            <rFont val="Tahoma"/>
            <family val="2"/>
          </rPr>
          <t>glazing</t>
        </r>
        <r>
          <rPr>
            <sz val="8"/>
            <color indexed="81"/>
            <rFont val="Tahoma"/>
            <family val="2"/>
          </rPr>
          <t xml:space="preserve"> element for that floor type.
'</t>
        </r>
        <r>
          <rPr>
            <b/>
            <sz val="8"/>
            <color indexed="81"/>
            <rFont val="Tahoma"/>
            <family val="2"/>
          </rPr>
          <t>% of allowance used</t>
        </r>
        <r>
          <rPr>
            <sz val="8"/>
            <color indexed="81"/>
            <rFont val="Tahoma"/>
            <family val="2"/>
          </rPr>
          <t>'</t>
        </r>
        <r>
          <rPr>
            <sz val="8"/>
            <color indexed="81"/>
            <rFont val="Tahoma"/>
            <family val="2"/>
          </rPr>
          <t xml:space="preserve"> refers to the second percentage figure. It is the portion of the conductance allowance consumed by </t>
        </r>
        <r>
          <rPr>
            <b/>
            <sz val="8"/>
            <color indexed="81"/>
            <rFont val="Tahoma"/>
            <family val="2"/>
          </rPr>
          <t>all glazing elements</t>
        </r>
        <r>
          <rPr>
            <sz val="8"/>
            <color indexed="81"/>
            <rFont val="Tahoma"/>
            <family val="2"/>
          </rPr>
          <t xml:space="preserve"> for the floor type. This value will be greater than 100% when the aggregate conductance of the elements exceeds the conductance allowance. </t>
        </r>
      </text>
    </comment>
    <comment ref="T36" authorId="0">
      <text>
        <r>
          <rPr>
            <b/>
            <sz val="8"/>
            <color indexed="81"/>
            <rFont val="Tahoma"/>
            <family val="2"/>
          </rPr>
          <t>Tip:</t>
        </r>
        <r>
          <rPr>
            <sz val="8"/>
            <color indexed="81"/>
            <rFont val="Tahoma"/>
            <family val="2"/>
          </rPr>
          <t xml:space="preserve">
'</t>
        </r>
        <r>
          <rPr>
            <b/>
            <sz val="8"/>
            <color indexed="81"/>
            <rFont val="Tahoma"/>
            <family val="2"/>
          </rPr>
          <t>E</t>
        </r>
        <r>
          <rPr>
            <b/>
            <sz val="8"/>
            <color indexed="81"/>
            <rFont val="Tahoma"/>
            <family val="2"/>
          </rPr>
          <t>lement share</t>
        </r>
        <r>
          <rPr>
            <sz val="8"/>
            <color indexed="81"/>
            <rFont val="Tahoma"/>
            <family val="2"/>
          </rPr>
          <t xml:space="preserve">' refers to the </t>
        </r>
        <r>
          <rPr>
            <b/>
            <sz val="8"/>
            <color indexed="81"/>
            <rFont val="Tahoma"/>
            <family val="2"/>
          </rPr>
          <t>first percentage figure</t>
        </r>
        <r>
          <rPr>
            <sz val="8"/>
            <color indexed="81"/>
            <rFont val="Tahoma"/>
            <family val="2"/>
          </rPr>
          <t xml:space="preserve">. It is the percentage contribution that the </t>
        </r>
        <r>
          <rPr>
            <b/>
            <sz val="8"/>
            <color indexed="81"/>
            <rFont val="Tahoma"/>
            <family val="2"/>
          </rPr>
          <t>individual glazing element</t>
        </r>
        <r>
          <rPr>
            <sz val="8"/>
            <color indexed="81"/>
            <rFont val="Tahoma"/>
            <family val="2"/>
          </rPr>
          <t xml:space="preserve"> makes to the aggregate solar heat gain outcome for its floor type. The figure will be 100% when there is only one </t>
        </r>
        <r>
          <rPr>
            <sz val="8"/>
            <color indexed="81"/>
            <rFont val="Tahoma"/>
            <family val="2"/>
          </rPr>
          <t>glazing</t>
        </r>
        <r>
          <rPr>
            <sz val="8"/>
            <color indexed="81"/>
            <rFont val="Tahoma"/>
            <family val="2"/>
          </rPr>
          <t xml:space="preserve"> element for that floor type.
'</t>
        </r>
        <r>
          <rPr>
            <b/>
            <sz val="8"/>
            <color indexed="81"/>
            <rFont val="Tahoma"/>
            <family val="2"/>
          </rPr>
          <t>% of allowance used</t>
        </r>
        <r>
          <rPr>
            <sz val="8"/>
            <color indexed="81"/>
            <rFont val="Tahoma"/>
            <family val="2"/>
          </rPr>
          <t>'</t>
        </r>
        <r>
          <rPr>
            <sz val="8"/>
            <color indexed="81"/>
            <rFont val="Tahoma"/>
            <family val="2"/>
          </rPr>
          <t xml:space="preserve"> refers to the second percentage figure. It is the portion of the solar heat gain allowance consumed by </t>
        </r>
        <r>
          <rPr>
            <b/>
            <sz val="8"/>
            <color indexed="81"/>
            <rFont val="Tahoma"/>
            <family val="2"/>
          </rPr>
          <t>all glazing elements</t>
        </r>
        <r>
          <rPr>
            <sz val="8"/>
            <color indexed="81"/>
            <rFont val="Tahoma"/>
            <family val="2"/>
          </rPr>
          <t xml:space="preserve"> for the floor type. This value will be greater than 100% when the aggregate solar heat gain of the elements exceeds the solar heat gain allowance. </t>
        </r>
      </text>
    </comment>
    <comment ref="Z36" authorId="0">
      <text>
        <r>
          <rPr>
            <b/>
            <sz val="8"/>
            <color indexed="81"/>
            <rFont val="Tahoma"/>
            <family val="2"/>
          </rPr>
          <t>Bruce Lightfoot:</t>
        </r>
        <r>
          <rPr>
            <sz val="8"/>
            <color indexed="81"/>
            <rFont val="Tahoma"/>
            <family val="2"/>
          </rPr>
          <t xml:space="preserve">
Values in this column are 1 or 0 only. 1 appears when the row is 'active' and allows counting of 'active' rows presently displayed.</t>
        </r>
      </text>
    </comment>
    <comment ref="AB36" authorId="0">
      <text>
        <r>
          <rPr>
            <b/>
            <sz val="9"/>
            <color indexed="81"/>
            <rFont val="Tahoma"/>
            <family val="2"/>
          </rPr>
          <t>Bruce Lightfoot:</t>
        </r>
        <r>
          <rPr>
            <sz val="9"/>
            <color indexed="81"/>
            <rFont val="Tahoma"/>
            <family val="2"/>
          </rPr>
          <t xml:space="preserve">
Counts all entries to the right of the ID column in each row.</t>
        </r>
      </text>
    </comment>
    <comment ref="AC36" authorId="0">
      <text>
        <r>
          <rPr>
            <b/>
            <sz val="8"/>
            <color indexed="81"/>
            <rFont val="Tahoma"/>
            <family val="2"/>
          </rPr>
          <t>Bruce Lightfoot:</t>
        </r>
        <r>
          <rPr>
            <sz val="8"/>
            <color indexed="81"/>
            <rFont val="Tahoma"/>
            <family val="2"/>
          </rPr>
          <t xml:space="preserve">
A row becomes 'active' once a valid orientation sector has been entered. This indicates only that the row is ready to accept the additional inputs needed for calculations.</t>
        </r>
      </text>
    </comment>
    <comment ref="AD36" authorId="0">
      <text>
        <r>
          <rPr>
            <b/>
            <sz val="8"/>
            <color indexed="81"/>
            <rFont val="Tahoma"/>
            <family val="2"/>
          </rPr>
          <t>Bruce Lightfoot:</t>
        </r>
        <r>
          <rPr>
            <sz val="8"/>
            <color indexed="81"/>
            <rFont val="Tahoma"/>
            <family val="2"/>
          </rPr>
          <t xml:space="preserve">
"data" refers only to the inputs to the right of the Orientation column.</t>
        </r>
      </text>
    </comment>
    <comment ref="AE36" authorId="0">
      <text>
        <r>
          <rPr>
            <b/>
            <sz val="9"/>
            <color indexed="81"/>
            <rFont val="Tahoma"/>
            <family val="2"/>
          </rPr>
          <t>Bruce Lightfoot:</t>
        </r>
        <r>
          <rPr>
            <sz val="9"/>
            <color indexed="81"/>
            <rFont val="Tahoma"/>
            <family val="2"/>
          </rPr>
          <t xml:space="preserve">
Long label (not wrapped) is for use in input alerts.</t>
        </r>
      </text>
    </comment>
    <comment ref="AF36" authorId="0">
      <text>
        <r>
          <rPr>
            <b/>
            <sz val="8"/>
            <color indexed="81"/>
            <rFont val="Tahoma"/>
            <family val="2"/>
          </rPr>
          <t>Bruce Lightfoot:</t>
        </r>
        <r>
          <rPr>
            <sz val="8"/>
            <color indexed="81"/>
            <rFont val="Tahoma"/>
            <family val="2"/>
          </rPr>
          <t xml:space="preserve">
Conditional formatting limitations in pre 2007 versions prevent this condition being shown by colour.</t>
        </r>
      </text>
    </comment>
    <comment ref="AH36" authorId="0">
      <text>
        <r>
          <rPr>
            <b/>
            <sz val="9"/>
            <color indexed="81"/>
            <rFont val="Tahoma"/>
            <family val="2"/>
          </rPr>
          <t>Bruce Lightfoot:</t>
        </r>
        <r>
          <rPr>
            <sz val="9"/>
            <color indexed="81"/>
            <rFont val="Tahoma"/>
            <family val="2"/>
          </rPr>
          <t xml:space="preserve">
Long label (not wrapped) is for use in input alerts.</t>
        </r>
      </text>
    </comment>
    <comment ref="AI36" authorId="0">
      <text>
        <r>
          <rPr>
            <b/>
            <sz val="8"/>
            <color indexed="81"/>
            <rFont val="Tahoma"/>
            <family val="2"/>
          </rPr>
          <t>Bruce Lightfoot:</t>
        </r>
        <r>
          <rPr>
            <sz val="8"/>
            <color indexed="81"/>
            <rFont val="Tahoma"/>
            <family val="2"/>
          </rPr>
          <t xml:space="preserve">
Can evaluate to TRUE only when a width figure has been given.</t>
        </r>
      </text>
    </comment>
    <comment ref="AJ36" authorId="0">
      <text>
        <r>
          <rPr>
            <b/>
            <sz val="9"/>
            <color indexed="81"/>
            <rFont val="Tahoma"/>
            <family val="2"/>
          </rPr>
          <t>Bruce Lightfoot:</t>
        </r>
        <r>
          <rPr>
            <sz val="9"/>
            <color indexed="81"/>
            <rFont val="Tahoma"/>
            <family val="2"/>
          </rPr>
          <t xml:space="preserve">
Evaluation is suppressed until Size details have been provided.</t>
        </r>
      </text>
    </comment>
    <comment ref="AK36" authorId="0">
      <text>
        <r>
          <rPr>
            <b/>
            <sz val="9"/>
            <color indexed="81"/>
            <rFont val="Tahoma"/>
            <family val="2"/>
          </rPr>
          <t>Bruce Lightfoot:</t>
        </r>
        <r>
          <rPr>
            <sz val="9"/>
            <color indexed="81"/>
            <rFont val="Tahoma"/>
            <family val="2"/>
          </rPr>
          <t xml:space="preserve">
Separator shown in this heading will be used when both U-Value and SHGC are needed.</t>
        </r>
      </text>
    </comment>
    <comment ref="AR36" authorId="0">
      <text>
        <r>
          <rPr>
            <b/>
            <sz val="9"/>
            <color indexed="81"/>
            <rFont val="Tahoma"/>
            <family val="2"/>
          </rPr>
          <t>Bruce Lightfoot:</t>
        </r>
        <r>
          <rPr>
            <sz val="9"/>
            <color indexed="81"/>
            <rFont val="Tahoma"/>
            <family val="2"/>
          </rPr>
          <t xml:space="preserve">
Note that some issues are not flagged until preceding issues have been cleared. This total does not necessarily include all issues present at any one time.</t>
        </r>
      </text>
    </comment>
    <comment ref="AS36" authorId="0">
      <text>
        <r>
          <rPr>
            <b/>
            <sz val="8"/>
            <color indexed="81"/>
            <rFont val="Tahoma"/>
            <family val="2"/>
          </rPr>
          <t>Bruce Lightfoot:</t>
        </r>
        <r>
          <rPr>
            <sz val="8"/>
            <color indexed="81"/>
            <rFont val="Tahoma"/>
            <family val="2"/>
          </rPr>
          <t xml:space="preserve">
"Advice" label will be used when the next row of the table has no data anywhere in the row.</t>
        </r>
      </text>
    </comment>
    <comment ref="AT36" authorId="0">
      <text>
        <r>
          <rPr>
            <b/>
            <sz val="8"/>
            <color indexed="81"/>
            <rFont val="Tahoma"/>
            <family val="2"/>
          </rPr>
          <t>Bruce Lightfoot:</t>
        </r>
        <r>
          <rPr>
            <sz val="8"/>
            <color indexed="81"/>
            <rFont val="Tahoma"/>
            <family val="2"/>
          </rPr>
          <t xml:space="preserve">
Test can return TRUE only when a glazing height (h) has been given.</t>
        </r>
      </text>
    </comment>
    <comment ref="BC36" authorId="0">
      <text>
        <r>
          <rPr>
            <b/>
            <sz val="8"/>
            <color indexed="81"/>
            <rFont val="Tahoma"/>
            <family val="2"/>
          </rPr>
          <t xml:space="preserve">Bruce Lightfoot:
</t>
        </r>
        <r>
          <rPr>
            <sz val="8"/>
            <color indexed="81"/>
            <rFont val="Tahoma"/>
            <family val="2"/>
          </rPr>
          <t>Font set to 8 point since t</t>
        </r>
        <r>
          <rPr>
            <sz val="8"/>
            <color indexed="81"/>
            <rFont val="Tahoma"/>
            <family val="2"/>
          </rPr>
          <t>his column may include FALSE.</t>
        </r>
      </text>
    </comment>
    <comment ref="BD36" authorId="0">
      <text>
        <r>
          <rPr>
            <b/>
            <sz val="8"/>
            <color indexed="81"/>
            <rFont val="Tahoma"/>
            <family val="2"/>
          </rPr>
          <t>Bruce Lightfoot:</t>
        </r>
        <r>
          <rPr>
            <sz val="8"/>
            <color indexed="81"/>
            <rFont val="Tahoma"/>
            <family val="2"/>
          </rPr>
          <t xml:space="preserve">
10.00 appears for active elements when Zone is zero to avoid lookup failures and downstream effects.</t>
        </r>
      </text>
    </comment>
    <comment ref="BG36" authorId="0">
      <text>
        <r>
          <rPr>
            <b/>
            <sz val="8"/>
            <color indexed="81"/>
            <rFont val="Tahoma"/>
            <family val="2"/>
          </rPr>
          <t>Bruce Lightfoot:</t>
        </r>
        <r>
          <rPr>
            <sz val="8"/>
            <color indexed="81"/>
            <rFont val="Tahoma"/>
            <family val="2"/>
          </rPr>
          <t xml:space="preserve">
Interpolated E value. (Labelled "actual" to suit column width.)
10.00 will appear when Zone is zero.</t>
        </r>
      </text>
    </comment>
    <comment ref="BI36" authorId="0">
      <text>
        <r>
          <rPr>
            <b/>
            <sz val="8"/>
            <color indexed="81"/>
            <rFont val="Tahoma"/>
            <family val="2"/>
          </rPr>
          <t>Bruce Lightfoot:</t>
        </r>
        <r>
          <rPr>
            <sz val="8"/>
            <color indexed="81"/>
            <rFont val="Tahoma"/>
            <family val="2"/>
          </rPr>
          <t xml:space="preserve">
10.00 appears for active elements when Zone is zero to avoid lookup failures and downstream effects.</t>
        </r>
      </text>
    </comment>
    <comment ref="BL36" authorId="0">
      <text>
        <r>
          <rPr>
            <b/>
            <sz val="8"/>
            <color indexed="81"/>
            <rFont val="Tahoma"/>
            <family val="2"/>
          </rPr>
          <t>Bruce Lightfoot:</t>
        </r>
        <r>
          <rPr>
            <sz val="8"/>
            <color indexed="81"/>
            <rFont val="Tahoma"/>
            <family val="2"/>
          </rPr>
          <t xml:space="preserve">
Interpolated E value. (Labelled "actual" to suit column width.)
10.00 will appear when Zone is zero.</t>
        </r>
      </text>
    </comment>
    <comment ref="BM36" authorId="0">
      <text>
        <r>
          <rPr>
            <b/>
            <sz val="8"/>
            <color indexed="81"/>
            <rFont val="Tahoma"/>
            <family val="2"/>
          </rPr>
          <t>Bruce Lightfoot:</t>
        </r>
        <r>
          <rPr>
            <sz val="8"/>
            <color indexed="81"/>
            <rFont val="Tahoma"/>
            <family val="2"/>
          </rPr>
          <t xml:space="preserve">
These results are referred to "Access" and their sum is multiplied with Cu (for zones 2-8).</t>
        </r>
      </text>
    </comment>
    <comment ref="BO36" authorId="0">
      <text>
        <r>
          <rPr>
            <b/>
            <sz val="8"/>
            <color indexed="81"/>
            <rFont val="Tahoma"/>
            <family val="2"/>
          </rPr>
          <t>Bruce Lightfoot:</t>
        </r>
        <r>
          <rPr>
            <sz val="8"/>
            <color indexed="81"/>
            <rFont val="Tahoma"/>
            <family val="2"/>
          </rPr>
          <t xml:space="preserve">
These values accumulate to form the numerator of the fraction in the left hand side of the Conductance equation. The denominator is transferred to the right hand side by using it to multiply Cu and create the Conductance allowance.</t>
        </r>
      </text>
    </comment>
    <comment ref="BQ36" authorId="0">
      <text>
        <r>
          <rPr>
            <b/>
            <sz val="8"/>
            <color indexed="81"/>
            <rFont val="Tahoma"/>
            <family val="2"/>
          </rPr>
          <t>Bruce Lightfoot:</t>
        </r>
        <r>
          <rPr>
            <sz val="8"/>
            <color indexed="81"/>
            <rFont val="Tahoma"/>
            <family val="2"/>
          </rPr>
          <t xml:space="preserve">
Formulae adjusted to refer to combined result 18.10.09.</t>
        </r>
      </text>
    </comment>
    <comment ref="BU36" authorId="0">
      <text>
        <r>
          <rPr>
            <b/>
            <sz val="8"/>
            <color indexed="81"/>
            <rFont val="Tahoma"/>
            <family val="2"/>
          </rPr>
          <t>Bruce Lightfoot:</t>
        </r>
        <r>
          <rPr>
            <sz val="8"/>
            <color indexed="81"/>
            <rFont val="Tahoma"/>
            <family val="2"/>
          </rPr>
          <t xml:space="preserve">
"Label" is the string that appears in the "% share of % of allowance" column.</t>
        </r>
      </text>
    </comment>
    <comment ref="AW37" authorId="0">
      <text>
        <r>
          <rPr>
            <b/>
            <sz val="8"/>
            <color indexed="81"/>
            <rFont val="Tahoma"/>
            <family val="2"/>
          </rPr>
          <t>Bruce Lightfoot:</t>
        </r>
        <r>
          <rPr>
            <sz val="8"/>
            <color indexed="81"/>
            <rFont val="Tahoma"/>
            <family val="2"/>
          </rPr>
          <t xml:space="preserve">
Formula tests for completion of inputs before allowing display of compliance failures.</t>
        </r>
      </text>
    </comment>
    <comment ref="M150" authorId="0">
      <text>
        <r>
          <rPr>
            <b/>
            <sz val="9"/>
            <color indexed="81"/>
            <rFont val="Tahoma"/>
            <family val="2"/>
          </rPr>
          <t>Bruce Lightfoot:</t>
        </r>
        <r>
          <rPr>
            <sz val="9"/>
            <color indexed="81"/>
            <rFont val="Tahoma"/>
            <family val="2"/>
          </rPr>
          <t xml:space="preserve">
This count refers to the lengths of alert strings calculated below.</t>
        </r>
      </text>
    </comment>
    <comment ref="N150" authorId="0">
      <text>
        <r>
          <rPr>
            <b/>
            <sz val="9"/>
            <color indexed="81"/>
            <rFont val="Tahoma"/>
            <family val="2"/>
          </rPr>
          <t>Bruce Lightfoot:</t>
        </r>
        <r>
          <rPr>
            <sz val="9"/>
            <color indexed="81"/>
            <rFont val="Tahoma"/>
            <family val="2"/>
          </rPr>
          <t xml:space="preserve">
This count refers to the lengths of alert strings calculated below.</t>
        </r>
      </text>
    </comment>
    <comment ref="Q150" authorId="0">
      <text>
        <r>
          <rPr>
            <b/>
            <sz val="9"/>
            <color indexed="81"/>
            <rFont val="Tahoma"/>
            <family val="2"/>
          </rPr>
          <t>Bruce Lightfoot:</t>
        </r>
        <r>
          <rPr>
            <sz val="9"/>
            <color indexed="81"/>
            <rFont val="Tahoma"/>
            <family val="2"/>
          </rPr>
          <t xml:space="preserve">
Sum of Alerts and Issues</t>
        </r>
      </text>
    </comment>
    <comment ref="H154" authorId="0">
      <text>
        <r>
          <rPr>
            <b/>
            <sz val="8"/>
            <color indexed="81"/>
            <rFont val="Tahoma"/>
            <family val="2"/>
          </rPr>
          <t>Bruce Lightfoot:</t>
        </r>
        <r>
          <rPr>
            <sz val="8"/>
            <color indexed="81"/>
            <rFont val="Tahoma"/>
            <family val="2"/>
          </rPr>
          <t xml:space="preserve">
Leading spaces to control alignment and coverage of input box title</t>
        </r>
      </text>
    </comment>
    <comment ref="H155" authorId="0">
      <text>
        <r>
          <rPr>
            <b/>
            <sz val="8"/>
            <color indexed="81"/>
            <rFont val="Tahoma"/>
            <family val="2"/>
          </rPr>
          <t>Bruce Lightfoot:</t>
        </r>
        <r>
          <rPr>
            <sz val="8"/>
            <color indexed="81"/>
            <rFont val="Tahoma"/>
            <family val="2"/>
          </rPr>
          <t xml:space="preserve">
Leading space added to text box message 9.6.09</t>
        </r>
      </text>
    </comment>
    <comment ref="E156" authorId="0">
      <text>
        <r>
          <rPr>
            <b/>
            <sz val="8"/>
            <color indexed="81"/>
            <rFont val="Tahoma"/>
            <family val="2"/>
          </rPr>
          <t>Bruce Lightfoot:</t>
        </r>
        <r>
          <rPr>
            <sz val="8"/>
            <color indexed="81"/>
            <rFont val="Tahoma"/>
            <family val="2"/>
          </rPr>
          <t xml:space="preserve">
'Glazing' means at least one glazing element has a sector assigned.</t>
        </r>
      </text>
    </comment>
    <comment ref="H156" authorId="0">
      <text>
        <r>
          <rPr>
            <b/>
            <sz val="8"/>
            <color indexed="81"/>
            <rFont val="Tahoma"/>
            <family val="2"/>
          </rPr>
          <t>Bruce Lightfoot:</t>
        </r>
        <r>
          <rPr>
            <sz val="8"/>
            <color indexed="81"/>
            <rFont val="Tahoma"/>
            <family val="2"/>
          </rPr>
          <t xml:space="preserve">
Leading spaces added to text box contents 9.6.09 to control alignment</t>
        </r>
      </text>
    </comment>
    <comment ref="E158" authorId="0">
      <text>
        <r>
          <rPr>
            <b/>
            <sz val="8"/>
            <color indexed="81"/>
            <rFont val="Tahoma"/>
            <family val="2"/>
          </rPr>
          <t>Bruce Lightfoot:</t>
        </r>
        <r>
          <rPr>
            <sz val="8"/>
            <color indexed="81"/>
            <rFont val="Tahoma"/>
            <family val="2"/>
          </rPr>
          <t xml:space="preserve">
"prior" refers to preceding inputs (in cursor order)</t>
        </r>
      </text>
    </comment>
    <comment ref="E159" authorId="0">
      <text>
        <r>
          <rPr>
            <b/>
            <sz val="8"/>
            <color indexed="81"/>
            <rFont val="Tahoma"/>
            <family val="2"/>
          </rPr>
          <t>Bruce Lightfoot:</t>
        </r>
        <r>
          <rPr>
            <sz val="8"/>
            <color indexed="81"/>
            <rFont val="Tahoma"/>
            <family val="2"/>
          </rPr>
          <t xml:space="preserve">
SOU changed to Storey 9.6.09</t>
        </r>
      </text>
    </comment>
    <comment ref="H159" authorId="0">
      <text>
        <r>
          <rPr>
            <b/>
            <sz val="8"/>
            <color indexed="81"/>
            <rFont val="Tahoma"/>
            <family val="2"/>
          </rPr>
          <t>Bruce Lightfoot:</t>
        </r>
        <r>
          <rPr>
            <sz val="8"/>
            <color indexed="81"/>
            <rFont val="Tahoma"/>
            <family val="2"/>
          </rPr>
          <t xml:space="preserve">
Leading spaces added to location error message over normal title when text box is in cell to left.</t>
        </r>
      </text>
    </comment>
    <comment ref="H172" authorId="0">
      <text>
        <r>
          <rPr>
            <b/>
            <sz val="8"/>
            <color indexed="81"/>
            <rFont val="Tahoma"/>
            <family val="2"/>
          </rPr>
          <t>Bruce Lightfoot:</t>
        </r>
        <r>
          <rPr>
            <sz val="8"/>
            <color indexed="81"/>
            <rFont val="Tahoma"/>
            <family val="2"/>
          </rPr>
          <t xml:space="preserve">
Additional condition needed here (in contrast to cells above) due to multiple uses of TopInputsOK. Alert message changed 9.6.09 to suit restricted width in title row.</t>
        </r>
      </text>
    </comment>
    <comment ref="H181" authorId="0">
      <text>
        <r>
          <rPr>
            <b/>
            <sz val="8"/>
            <color indexed="81"/>
            <rFont val="Tahoma"/>
            <family val="2"/>
          </rPr>
          <t>Bruce Lightfoot:</t>
        </r>
        <r>
          <rPr>
            <sz val="8"/>
            <color indexed="81"/>
            <rFont val="Tahoma"/>
            <family val="2"/>
          </rPr>
          <t xml:space="preserve">
This formula formerly supplied an error alert to a text box that is no longer used. Error is now flagged by data validation constraints.</t>
        </r>
      </text>
    </comment>
  </commentList>
</comments>
</file>

<file path=xl/comments2.xml><?xml version="1.0" encoding="utf-8"?>
<comments xmlns="http://schemas.openxmlformats.org/spreadsheetml/2006/main">
  <authors>
    <author>James Bertram</author>
  </authors>
  <commentList>
    <comment ref="CC17" authorId="0">
      <text>
        <r>
          <rPr>
            <b/>
            <sz val="9"/>
            <color indexed="81"/>
            <rFont val="Tahoma"/>
            <family val="2"/>
          </rPr>
          <t>James Bertram:</t>
        </r>
        <r>
          <rPr>
            <sz val="9"/>
            <color indexed="81"/>
            <rFont val="Tahoma"/>
            <family val="2"/>
          </rPr>
          <t xml:space="preserve">
The space applies for the nominated storey because roof light aggregate area is a per storey assessment.</t>
        </r>
      </text>
    </comment>
    <comment ref="CZ17" authorId="0">
      <text>
        <r>
          <rPr>
            <b/>
            <sz val="9"/>
            <color indexed="81"/>
            <rFont val="Tahoma"/>
            <family val="2"/>
          </rPr>
          <t>James Bertram:</t>
        </r>
        <r>
          <rPr>
            <sz val="9"/>
            <color indexed="81"/>
            <rFont val="Tahoma"/>
            <family val="2"/>
          </rPr>
          <t xml:space="preserve">
Wall fabric applies for the building, it is not limited to a per storey assessment.
A space can be the whole of the building (including walls on different storeys), or separate spaces as defined by the Protocol.</t>
        </r>
      </text>
    </comment>
    <comment ref="GF17" authorId="0">
      <text>
        <r>
          <rPr>
            <b/>
            <sz val="9"/>
            <color indexed="81"/>
            <rFont val="Tahoma"/>
            <family val="2"/>
          </rPr>
          <t>James Bertram:</t>
        </r>
        <r>
          <rPr>
            <sz val="9"/>
            <color indexed="81"/>
            <rFont val="Tahoma"/>
            <family val="2"/>
          </rPr>
          <t xml:space="preserve">
Matches Vol 1 Fig 2e Skillion roof &lt;5 pitch, 10mm plaster below rafters, metal cladding
Up=0.36 Down=0.48
Note: Vol 2 does not limit pitch </t>
        </r>
      </text>
    </comment>
    <comment ref="GI17" authorId="0">
      <text>
        <r>
          <rPr>
            <b/>
            <sz val="9"/>
            <color indexed="81"/>
            <rFont val="Tahoma"/>
            <family val="2"/>
          </rPr>
          <t>James Bertram:</t>
        </r>
        <r>
          <rPr>
            <sz val="9"/>
            <color indexed="81"/>
            <rFont val="Tahoma"/>
            <family val="2"/>
          </rPr>
          <t xml:space="preserve">
Table 2b, Air films - Still air, &lt;5pitch and 100mm deep air space used as worst-case value</t>
        </r>
      </text>
    </comment>
    <comment ref="GM17" authorId="0">
      <text>
        <r>
          <rPr>
            <b/>
            <sz val="9"/>
            <color indexed="81"/>
            <rFont val="Tahoma"/>
            <family val="2"/>
          </rPr>
          <t>James Bertram:</t>
        </r>
        <r>
          <rPr>
            <sz val="9"/>
            <color indexed="81"/>
            <rFont val="Tahoma"/>
            <family val="2"/>
          </rPr>
          <t xml:space="preserve">
Vol 2 (a)=0.48, change:
Metal to tile (-0.00+0.02),
Unvented air space to vented (-0.22+0.19)=0.48+0.02-0.03=0.47</t>
        </r>
      </text>
    </comment>
    <comment ref="IV17" authorId="0">
      <text>
        <r>
          <rPr>
            <b/>
            <sz val="9"/>
            <color indexed="81"/>
            <rFont val="Tahoma"/>
            <family val="2"/>
          </rPr>
          <t>James Bertram:</t>
        </r>
        <r>
          <rPr>
            <sz val="9"/>
            <color indexed="81"/>
            <rFont val="Tahoma"/>
            <family val="2"/>
          </rPr>
          <t xml:space="preserve">
Based on Vol 1 Fig 2e - Timber wall, external 6mm cement sheet cladding, 90mm stud frame, 10mm plaster = 0.42, change:
Delete f/cement and add w/board (-0.03+0.09) = 0.42-0.03+0.09=0.48
See comment for fibre-cement</t>
        </r>
      </text>
    </comment>
    <comment ref="GM18" authorId="0">
      <text>
        <r>
          <rPr>
            <b/>
            <sz val="9"/>
            <color indexed="81"/>
            <rFont val="Tahoma"/>
            <family val="2"/>
          </rPr>
          <t>James Bertram:</t>
        </r>
        <r>
          <rPr>
            <sz val="9"/>
            <color indexed="81"/>
            <rFont val="Tahoma"/>
            <family val="2"/>
          </rPr>
          <t xml:space="preserve">
Vol 2 (a) = 0.36, change:
Metal to tile (-0.00+0.02),
Unvent air space to vent (-0.15+0.00) = 0.36+0.02-0.15 =0.23</t>
        </r>
      </text>
    </comment>
    <comment ref="IV18" authorId="0">
      <text>
        <r>
          <rPr>
            <b/>
            <sz val="9"/>
            <color indexed="81"/>
            <rFont val="Tahoma"/>
            <family val="2"/>
          </rPr>
          <t>James Bertram:</t>
        </r>
        <r>
          <rPr>
            <sz val="9"/>
            <color indexed="81"/>
            <rFont val="Tahoma"/>
            <family val="2"/>
          </rPr>
          <t xml:space="preserve">
Matches Vol 1 Fig 2e - Timber wall, external 6mm cement sheet cladding, 90mm stud frame, 10mm plaster = 0.42.
Fig 13.1.13b does not nominate stud width, cladding or plasterboard thickness</t>
        </r>
      </text>
    </comment>
    <comment ref="GF19" authorId="0">
      <text>
        <r>
          <rPr>
            <b/>
            <sz val="9"/>
            <color indexed="81"/>
            <rFont val="Tahoma"/>
            <family val="2"/>
          </rPr>
          <t>James Bertram:</t>
        </r>
        <r>
          <rPr>
            <sz val="9"/>
            <color indexed="81"/>
            <rFont val="Tahoma"/>
            <family val="2"/>
          </rPr>
          <t xml:space="preserve">
Matches Vol 1 Fig 2e Skillion roof &lt;5 pitch, 10mm plaster below rafters, metal cladding
Up=0.36 Down=0.48
Note: Vol 2 does not limit pitch </t>
        </r>
      </text>
    </comment>
    <comment ref="GM19" authorId="0">
      <text>
        <r>
          <rPr>
            <b/>
            <sz val="9"/>
            <color indexed="81"/>
            <rFont val="Tahoma"/>
            <family val="2"/>
          </rPr>
          <t>James Bertram:</t>
        </r>
        <r>
          <rPr>
            <sz val="9"/>
            <color indexed="81"/>
            <rFont val="Tahoma"/>
            <family val="2"/>
          </rPr>
          <t xml:space="preserve">
Vol 2 (a) Metal=0.48, change:
Metal to tile (-0.00+0.02),
=0.48+0.02=0.50</t>
        </r>
      </text>
    </comment>
    <comment ref="IV19" authorId="0">
      <text>
        <r>
          <rPr>
            <b/>
            <sz val="9"/>
            <color indexed="81"/>
            <rFont val="Tahoma"/>
            <family val="2"/>
          </rPr>
          <t>James Bertram:</t>
        </r>
        <r>
          <rPr>
            <sz val="9"/>
            <color indexed="81"/>
            <rFont val="Tahoma"/>
            <family val="2"/>
          </rPr>
          <t xml:space="preserve">
Matches Vol 1 Fig 2a - Masonry veneer, 25-50mm cavity, 10mm internal plaster on 90mm studs, and 90mm dense weight conc block (Note 4a) = 0.48, change:
Fig 13.1.13c does not nominate stud width or plasterboard thickness, does nominate clay masonry.
Delete conc block, add 110 clay 1690kg/m3 as mid-range value(-0.09+0.17) = 0.48-0.09+0.17=0.56</t>
        </r>
      </text>
    </comment>
    <comment ref="BN20" authorId="0">
      <text>
        <r>
          <rPr>
            <b/>
            <sz val="9"/>
            <color indexed="81"/>
            <rFont val="Tahoma"/>
            <family val="2"/>
          </rPr>
          <t>James Bertram:</t>
        </r>
        <r>
          <rPr>
            <sz val="9"/>
            <color indexed="81"/>
            <rFont val="Tahoma"/>
            <family val="2"/>
          </rPr>
          <t xml:space="preserve">
Roof fabric applies for the building, it is not limited to a per storey assessment.
As defined by the Protocol, an area weighted value Total R-Value Target can be used for ALL of the roof in a space, an aggregation of spaces, the whole of a storey, or whole of the building (roof on different storeys).
Beware, the when insulation is installed at the underside of the roof, only a whole-of-roof or whole-of-building value can be used.</t>
        </r>
      </text>
    </comment>
    <comment ref="DV20" authorId="0">
      <text>
        <r>
          <rPr>
            <b/>
            <sz val="9"/>
            <color indexed="81"/>
            <rFont val="Tahoma"/>
            <family val="2"/>
          </rPr>
          <t>James Bertram:</t>
        </r>
        <r>
          <rPr>
            <sz val="9"/>
            <color indexed="81"/>
            <rFont val="Tahoma"/>
            <family val="2"/>
          </rPr>
          <t xml:space="preserve">
Floors are assessed when they are suspended and are part of the building envelope.
The area of each floor type in a space is measured to the inside face of the enclosing walls.</t>
        </r>
      </text>
    </comment>
    <comment ref="GM20" authorId="0">
      <text>
        <r>
          <rPr>
            <b/>
            <sz val="9"/>
            <color indexed="81"/>
            <rFont val="Tahoma"/>
            <family val="2"/>
          </rPr>
          <t>James Bertram:</t>
        </r>
        <r>
          <rPr>
            <sz val="9"/>
            <color indexed="81"/>
            <rFont val="Tahoma"/>
            <family val="2"/>
          </rPr>
          <t xml:space="preserve">
Vol 2 (a) Metal=0.36, change:
Metal to tile (-0.00+0.02),
=0.36+0.02=0.38</t>
        </r>
      </text>
    </comment>
    <comment ref="IV20" authorId="0">
      <text>
        <r>
          <rPr>
            <b/>
            <sz val="9"/>
            <color indexed="81"/>
            <rFont val="Tahoma"/>
            <family val="2"/>
          </rPr>
          <t>James Bertram:</t>
        </r>
        <r>
          <rPr>
            <sz val="9"/>
            <color indexed="81"/>
            <rFont val="Tahoma"/>
            <family val="2"/>
          </rPr>
          <t xml:space="preserve">
Based on Vol 1 Fig 2b - Cavity masonry (conc dense weight block), 20-50mm cavity, 10mm internal plaster on battens or furring channels (Note 4a) =0.74:
Fig 3.12.1e nominates clay masonry, does not nominate air space does not have additional air space.
Delete 2 x leaves of conc block=0.09, add 110 clay 1690kg/m3 as mid-range value (-2x0.09+2x0.17), delete additional air space (-0.17), delete plasterboard and add render (-0.06+0.02, ref Vol 1, Fig 2 Note 3) = 0.74-0.18+0.34-0.17-0.06+0.02 = 0.69</t>
        </r>
      </text>
    </comment>
    <comment ref="CZ21" authorId="0">
      <text>
        <r>
          <rPr>
            <b/>
            <sz val="9"/>
            <color indexed="81"/>
            <rFont val="Tahoma"/>
            <family val="2"/>
          </rPr>
          <t>James Bertram:</t>
        </r>
        <r>
          <rPr>
            <sz val="9"/>
            <color indexed="81"/>
            <rFont val="Tahoma"/>
            <family val="2"/>
          </rPr>
          <t xml:space="preserve">
For external wall, the area of each wall type in a space is the surface area measured at the inside face of the wall, from floor to ceiling level, less (excluding) the area of any penetrations (windows, doors etc).</t>
        </r>
      </text>
    </comment>
    <comment ref="GF21" authorId="0">
      <text>
        <r>
          <rPr>
            <b/>
            <sz val="9"/>
            <color indexed="81"/>
            <rFont val="Tahoma"/>
            <family val="2"/>
          </rPr>
          <t>James Bertram:</t>
        </r>
        <r>
          <rPr>
            <sz val="9"/>
            <color indexed="81"/>
            <rFont val="Tahoma"/>
            <family val="2"/>
          </rPr>
          <t xml:space="preserve">
Matches Vol 1 Fig 2e Skillion roof &lt;5 pitch, 10mm plaster below rafters, metal cladding
Up=0.36 Down=0.48
Note: Vol 2 does not limit pitch </t>
        </r>
      </text>
    </comment>
    <comment ref="GM21" authorId="0">
      <text>
        <r>
          <rPr>
            <b/>
            <sz val="9"/>
            <color indexed="81"/>
            <rFont val="Tahoma"/>
            <family val="2"/>
          </rPr>
          <t>James Bertram:</t>
        </r>
        <r>
          <rPr>
            <sz val="9"/>
            <color indexed="81"/>
            <rFont val="Tahoma"/>
            <family val="2"/>
          </rPr>
          <t xml:space="preserve">
Vol 2 (a)=0.48 - change:
unvented air space to vented Vol 1,Table 2b (-0.22+0.19) =0.48-0.22+0.19=0.45</t>
        </r>
      </text>
    </comment>
    <comment ref="IV21" authorId="0">
      <text>
        <r>
          <rPr>
            <b/>
            <sz val="9"/>
            <color indexed="81"/>
            <rFont val="Tahoma"/>
            <family val="2"/>
          </rPr>
          <t>James Bertram:</t>
        </r>
        <r>
          <rPr>
            <sz val="9"/>
            <color indexed="81"/>
            <rFont val="Tahoma"/>
            <family val="2"/>
          </rPr>
          <t xml:space="preserve">
Based on Vol 1 Fig 2a - Masonry veneer, 25-50mm cavity, 10mm internal plaster on 90mm studs, and 90mm dense weight conc block (Note 4a)...reversed! =0.48:
Fig 3.12.1c does not nominate stud width or plasterboard thickness, does nominate clay masonry.
Delete conc block and add 110 clay 1690kg/m3 mid-range value (-0.09+0.17), delete plasterboard and add fibre-cement (-0.06+0.03) = 0.48-0.09+0.17-0.06+0.03 = 0.53
Add render = 0.53+0.02=0.55</t>
        </r>
      </text>
    </comment>
    <comment ref="DK22" authorId="0">
      <text>
        <r>
          <rPr>
            <b/>
            <sz val="9"/>
            <color indexed="81"/>
            <rFont val="Tahoma"/>
            <family val="2"/>
          </rPr>
          <t>James Bertram:</t>
        </r>
        <r>
          <rPr>
            <sz val="9"/>
            <color indexed="81"/>
            <rFont val="Tahoma"/>
            <family val="2"/>
          </rPr>
          <t xml:space="preserve">
Height of floor is measured from ground surface to the underside of the floor or the insulation (ref: BCA Table 3.12.1.5, Note)</t>
        </r>
      </text>
    </comment>
    <comment ref="GM22" authorId="0">
      <text>
        <r>
          <rPr>
            <b/>
            <sz val="9"/>
            <color indexed="81"/>
            <rFont val="Tahoma"/>
            <family val="2"/>
          </rPr>
          <t>James Bertram:</t>
        </r>
        <r>
          <rPr>
            <sz val="9"/>
            <color indexed="81"/>
            <rFont val="Tahoma"/>
            <family val="2"/>
          </rPr>
          <t xml:space="preserve">
Vol 2 (a)=0.36, change:
Unvented air space to vented (-0.15+0.00)=0.36-0.15=0.21</t>
        </r>
      </text>
    </comment>
    <comment ref="AC23" authorId="0">
      <text>
        <r>
          <rPr>
            <b/>
            <sz val="9"/>
            <color indexed="81"/>
            <rFont val="Tahoma"/>
            <family val="2"/>
          </rPr>
          <t>James Bertram:</t>
        </r>
        <r>
          <rPr>
            <sz val="9"/>
            <color indexed="81"/>
            <rFont val="Tahoma"/>
            <family val="2"/>
          </rPr>
          <t xml:space="preserve">
This column classifies glazing as added (new) unless nominated as existing.
Protocol B2.1.1 and B2.1.2 are whole-of-storey external glazing calculations.  When glazing is nominated as "existing" in this column, Protocol nominated glazing performance values must be used on the Glazing Calculator.</t>
        </r>
      </text>
    </comment>
    <comment ref="AD23" authorId="0">
      <text>
        <r>
          <rPr>
            <b/>
            <sz val="9"/>
            <color indexed="81"/>
            <rFont val="Tahoma"/>
            <family val="2"/>
          </rPr>
          <t>James Bertram:</t>
        </r>
        <r>
          <rPr>
            <sz val="9"/>
            <color indexed="81"/>
            <rFont val="Tahoma"/>
            <family val="2"/>
          </rPr>
          <t xml:space="preserve">
This classification is for Protocol B4.1 calculations.
Only nominate "Yes" if glazing is "Existing" AND "part of the building work", and "No" if the glazing is "Existing" but not part of the building work.
When "No" applies, the glazing is excluded from air movement calculations.</t>
        </r>
      </text>
    </comment>
    <comment ref="GF23" authorId="0">
      <text>
        <r>
          <rPr>
            <b/>
            <sz val="9"/>
            <color indexed="81"/>
            <rFont val="Tahoma"/>
            <family val="2"/>
          </rPr>
          <t>James Bertram:</t>
        </r>
        <r>
          <rPr>
            <sz val="9"/>
            <color indexed="81"/>
            <rFont val="Tahoma"/>
            <family val="2"/>
          </rPr>
          <t xml:space="preserve">
Matches Vol 1 Fig 2e Skillion roof &lt;5 pitch, 10mm plaster below rafters, metal cladding
Up=0.36 Down=0.48
Note: Vol 2 does not limit pitch </t>
        </r>
      </text>
    </comment>
    <comment ref="GM23" authorId="0">
      <text>
        <r>
          <rPr>
            <b/>
            <sz val="9"/>
            <color indexed="81"/>
            <rFont val="Tahoma"/>
            <family val="2"/>
          </rPr>
          <t>James Bertram:</t>
        </r>
        <r>
          <rPr>
            <sz val="9"/>
            <color indexed="81"/>
            <rFont val="Tahoma"/>
            <family val="2"/>
          </rPr>
          <t xml:space="preserve">
Vol 2: (a) =0.48</t>
        </r>
      </text>
    </comment>
    <comment ref="BN24" authorId="0">
      <text>
        <r>
          <rPr>
            <b/>
            <sz val="9"/>
            <color indexed="81"/>
            <rFont val="Tahoma"/>
            <family val="2"/>
          </rPr>
          <t>James Bertram:</t>
        </r>
        <r>
          <rPr>
            <sz val="9"/>
            <color indexed="81"/>
            <rFont val="Tahoma"/>
            <family val="2"/>
          </rPr>
          <t xml:space="preserve">
For roof, the area of a space is measured on a horizontal plain, over any walls internal to the space, up to the inside face of the walls that contain the space.
For a whole-of-storey and whole-of-building calculations, the total area of the storey that applies for external glazing calculations can be used.</t>
        </r>
      </text>
    </comment>
    <comment ref="GM24" authorId="0">
      <text>
        <r>
          <rPr>
            <b/>
            <sz val="9"/>
            <color indexed="81"/>
            <rFont val="Tahoma"/>
            <family val="2"/>
          </rPr>
          <t>James Bertram:</t>
        </r>
        <r>
          <rPr>
            <sz val="9"/>
            <color indexed="81"/>
            <rFont val="Tahoma"/>
            <family val="2"/>
          </rPr>
          <t xml:space="preserve">
Vol 2 (a) = 0.36</t>
        </r>
      </text>
    </comment>
    <comment ref="GM25" authorId="0">
      <text>
        <r>
          <rPr>
            <b/>
            <sz val="9"/>
            <color indexed="81"/>
            <rFont val="Tahoma"/>
            <family val="2"/>
          </rPr>
          <t>James Bertram:</t>
        </r>
        <r>
          <rPr>
            <sz val="9"/>
            <color indexed="81"/>
            <rFont val="Tahoma"/>
            <family val="2"/>
          </rPr>
          <t xml:space="preserve">
Vol 2 (b) 0.44, change:
Vol 1 (d) shows tile = 0.44, use 0.44,
Unvented air space to vented (-0.18+0.19) = 0.44+0.1=0.45</t>
        </r>
      </text>
    </comment>
    <comment ref="AF26" authorId="0">
      <text>
        <r>
          <rPr>
            <b/>
            <sz val="9"/>
            <color indexed="81"/>
            <rFont val="Tahoma"/>
            <family val="2"/>
          </rPr>
          <t>James Bertram:</t>
        </r>
        <r>
          <rPr>
            <sz val="9"/>
            <color indexed="81"/>
            <rFont val="Tahoma"/>
            <family val="2"/>
          </rPr>
          <t xml:space="preserve">
Height = vertical dimension from centreline of the transom to the top of the frame.
No value required if full height openable, calculation will use the overall frame height.</t>
        </r>
      </text>
    </comment>
    <comment ref="AG26" authorId="0">
      <text>
        <r>
          <rPr>
            <b/>
            <sz val="9"/>
            <color indexed="81"/>
            <rFont val="Tahoma"/>
            <family val="2"/>
          </rPr>
          <t>James Bertram:</t>
        </r>
        <r>
          <rPr>
            <sz val="9"/>
            <color indexed="81"/>
            <rFont val="Tahoma"/>
            <family val="2"/>
          </rPr>
          <t xml:space="preserve">
Width=percentage of the overall glazing width that opens.
For example: a two lite slider with one fixed and one openable = 50%, a three lite slider with two fixed and one openable = 33%.</t>
        </r>
      </text>
    </comment>
    <comment ref="GM26" authorId="0">
      <text>
        <r>
          <rPr>
            <b/>
            <sz val="9"/>
            <color indexed="81"/>
            <rFont val="Tahoma"/>
            <family val="2"/>
          </rPr>
          <t>James Bertram:</t>
        </r>
        <r>
          <rPr>
            <sz val="9"/>
            <color indexed="81"/>
            <rFont val="Tahoma"/>
            <family val="2"/>
          </rPr>
          <t xml:space="preserve">
Vol 2 (b) = 0.38, Vol 1 (d) shows tile = 0.38, use 0.38, change:
Unvented air space to vented (-0.15+0.00) = 0.38-0.15=0.23</t>
        </r>
      </text>
    </comment>
    <comment ref="GM27" authorId="0">
      <text>
        <r>
          <rPr>
            <b/>
            <sz val="9"/>
            <color indexed="81"/>
            <rFont val="Tahoma"/>
            <family val="2"/>
          </rPr>
          <t>James Bertram:</t>
        </r>
        <r>
          <rPr>
            <sz val="9"/>
            <color indexed="81"/>
            <rFont val="Tahoma"/>
            <family val="2"/>
          </rPr>
          <t xml:space="preserve">
Vol 2 (b) Tile+sark or metal=0.44, Vol 1 (d) shows tile as 0.44</t>
        </r>
      </text>
    </comment>
    <comment ref="GM28" authorId="0">
      <text>
        <r>
          <rPr>
            <b/>
            <sz val="9"/>
            <color indexed="81"/>
            <rFont val="Tahoma"/>
            <family val="2"/>
          </rPr>
          <t>James Bertram:</t>
        </r>
        <r>
          <rPr>
            <sz val="9"/>
            <color indexed="81"/>
            <rFont val="Tahoma"/>
            <family val="2"/>
          </rPr>
          <t xml:space="preserve">
Vol 2 (b) Tile+sark or metal=0.38, Vol 1 (d) shows tile = 0.38</t>
        </r>
      </text>
    </comment>
    <comment ref="AC29" authorId="0">
      <text>
        <r>
          <rPr>
            <b/>
            <sz val="9"/>
            <color indexed="81"/>
            <rFont val="Tahoma"/>
            <family val="2"/>
          </rPr>
          <t>James Bertram:</t>
        </r>
        <r>
          <rPr>
            <sz val="9"/>
            <color indexed="81"/>
            <rFont val="Tahoma"/>
            <family val="2"/>
          </rPr>
          <t xml:space="preserve">
RED="Existing" selected but glazing not shown on GLAZING CALCULATOR</t>
        </r>
      </text>
    </comment>
    <comment ref="AD29" authorId="0">
      <text>
        <r>
          <rPr>
            <b/>
            <sz val="9"/>
            <color indexed="81"/>
            <rFont val="Tahoma"/>
            <family val="2"/>
          </rPr>
          <t>James Bertram:</t>
        </r>
        <r>
          <rPr>
            <sz val="9"/>
            <color indexed="81"/>
            <rFont val="Tahoma"/>
            <family val="2"/>
          </rPr>
          <t xml:space="preserve">
RED="Yes" or "No" nominated but the glazing is NOT nominated as "Existing" (glazing not flagged as "Existing" is calculated as "New"), or glazing is nominated as existing and "Yes" or "No" has not been entered.</t>
        </r>
      </text>
    </comment>
    <comment ref="AF29" authorId="0">
      <text>
        <r>
          <rPr>
            <b/>
            <sz val="9"/>
            <color indexed="81"/>
            <rFont val="Tahoma"/>
            <family val="2"/>
          </rPr>
          <t>James Bertram:</t>
        </r>
        <r>
          <rPr>
            <sz val="9"/>
            <color indexed="81"/>
            <rFont val="Tahoma"/>
            <family val="2"/>
          </rPr>
          <t xml:space="preserve">
RED=Height from transom is greater than overall frame height, or no height entered into the GLAZING CALCULATOR, or value entered but glazing is nominated as not part the building work</t>
        </r>
      </text>
    </comment>
    <comment ref="AG29" authorId="0">
      <text>
        <r>
          <rPr>
            <b/>
            <sz val="9"/>
            <color indexed="81"/>
            <rFont val="Tahoma"/>
            <family val="2"/>
          </rPr>
          <t>James Bertram:</t>
        </r>
        <r>
          <rPr>
            <sz val="9"/>
            <color indexed="81"/>
            <rFont val="Tahoma"/>
            <family val="2"/>
          </rPr>
          <t xml:space="preserve">
RED=percentage entered but no width entered into the GLAZING CALCULATOR or glazing nominated as not part of building work, or no percentage entered and width entered into the GLAZING CALCULATOR or "dot" selected. </t>
        </r>
      </text>
    </comment>
    <comment ref="GM29" authorId="0">
      <text>
        <r>
          <rPr>
            <b/>
            <sz val="9"/>
            <color indexed="81"/>
            <rFont val="Tahoma"/>
            <family val="2"/>
          </rPr>
          <t>James Bertram:</t>
        </r>
        <r>
          <rPr>
            <sz val="9"/>
            <color indexed="81"/>
            <rFont val="Tahoma"/>
            <family val="2"/>
          </rPr>
          <t xml:space="preserve">
Vol 2 (b) = 0.44 metal or tile+sark, Vol 1 (d) tile 0.44, use 0.44, change:
Unvented air space to vented (-0.18+0.19) =0.44+0.01=0.43</t>
        </r>
      </text>
    </comment>
    <comment ref="GM30" authorId="0">
      <text>
        <r>
          <rPr>
            <b/>
            <sz val="9"/>
            <color indexed="81"/>
            <rFont val="Tahoma"/>
            <family val="2"/>
          </rPr>
          <t>James Bertram:</t>
        </r>
        <r>
          <rPr>
            <sz val="9"/>
            <color indexed="81"/>
            <rFont val="Tahoma"/>
            <family val="2"/>
          </rPr>
          <t xml:space="preserve">
Vol 2 (b) = 0.38, Vol 1 (c) shows metal as 0.36, change:
Unvented air space to vented (-0.15+0.00) = 0.36-0.15=0.21</t>
        </r>
      </text>
    </comment>
    <comment ref="GF31" authorId="0">
      <text>
        <r>
          <rPr>
            <b/>
            <sz val="9"/>
            <color indexed="81"/>
            <rFont val="Tahoma"/>
            <family val="2"/>
          </rPr>
          <t>James Bertram:</t>
        </r>
        <r>
          <rPr>
            <sz val="9"/>
            <color indexed="81"/>
            <rFont val="Tahoma"/>
            <family val="2"/>
          </rPr>
          <t xml:space="preserve">
Matches Vol 1 Fig 2d Cathedral ceiling 15-45 pitch, 10mm plaster on top of rafters, tiles external cladding
Up=0.38 Down=0.44
Note: Vol 2 does not limit pitch
Note: Vol 2 does not differentiate between tile and metal cover</t>
        </r>
      </text>
    </comment>
    <comment ref="GM31" authorId="0">
      <text>
        <r>
          <rPr>
            <b/>
            <sz val="9"/>
            <color indexed="81"/>
            <rFont val="Tahoma"/>
            <family val="2"/>
          </rPr>
          <t>James Bertram:</t>
        </r>
        <r>
          <rPr>
            <sz val="9"/>
            <color indexed="81"/>
            <rFont val="Tahoma"/>
            <family val="2"/>
          </rPr>
          <t xml:space="preserve">
Vol 2 does not differentiate between metal and tile, Vol 1 (c) and (d) show 0.02 variation, values reduced by 0.02 for metal cover</t>
        </r>
      </text>
    </comment>
    <comment ref="GM32" authorId="0">
      <text>
        <r>
          <rPr>
            <b/>
            <sz val="9"/>
            <color indexed="81"/>
            <rFont val="Tahoma"/>
            <family val="2"/>
          </rPr>
          <t>James Bertram:</t>
        </r>
        <r>
          <rPr>
            <sz val="9"/>
            <color indexed="81"/>
            <rFont val="Tahoma"/>
            <family val="2"/>
          </rPr>
          <t xml:space="preserve">
Vol 2 (b) Tile+sark or metal=0.38, Vol 1 (c) shows metal = 0.36</t>
        </r>
      </text>
    </comment>
    <comment ref="GF33" authorId="0">
      <text>
        <r>
          <rPr>
            <b/>
            <sz val="9"/>
            <color indexed="81"/>
            <rFont val="Tahoma"/>
            <family val="2"/>
          </rPr>
          <t>James Bertram:</t>
        </r>
        <r>
          <rPr>
            <sz val="9"/>
            <color indexed="81"/>
            <rFont val="Tahoma"/>
            <family val="2"/>
          </rPr>
          <t xml:space="preserve">
Matches Vol 1 Fig 2b Roof 15-45 pitch, horizontal ceiling, clay tiles 19mm
Up=0.23 Down=0.74
Note: Vol 2 does not limit pitch</t>
        </r>
      </text>
    </comment>
    <comment ref="GF37" authorId="0">
      <text>
        <r>
          <rPr>
            <b/>
            <sz val="9"/>
            <color indexed="81"/>
            <rFont val="Tahoma"/>
            <family val="2"/>
          </rPr>
          <t>James Bertram:</t>
        </r>
        <r>
          <rPr>
            <sz val="9"/>
            <color indexed="81"/>
            <rFont val="Tahoma"/>
            <family val="2"/>
          </rPr>
          <t xml:space="preserve">
Matches Vol 1 Fig 2a Roof 15-45 pitch, horizontal ceiling, metal cladding
Up=0.21 Down=0.72
Note: Vol 2 does not limit pitch</t>
        </r>
      </text>
    </comment>
    <comment ref="CW68" authorId="0">
      <text>
        <r>
          <rPr>
            <b/>
            <sz val="9"/>
            <color indexed="81"/>
            <rFont val="Tahoma"/>
            <family val="2"/>
          </rPr>
          <t>James Bertram:</t>
        </r>
        <r>
          <rPr>
            <sz val="9"/>
            <color indexed="81"/>
            <rFont val="Tahoma"/>
            <family val="2"/>
          </rPr>
          <t xml:space="preserve">
Refer to BCA Figure 3.12.1.3 Notes when wall airspace is filled, the wall airspace R-Value needs to be subtracted.</t>
        </r>
      </text>
    </comment>
    <comment ref="AA71" authorId="0">
      <text>
        <r>
          <rPr>
            <b/>
            <sz val="9"/>
            <color indexed="81"/>
            <rFont val="Tahoma"/>
            <family val="2"/>
          </rPr>
          <t>James Bertram:</t>
        </r>
        <r>
          <rPr>
            <sz val="9"/>
            <color indexed="81"/>
            <rFont val="Tahoma"/>
            <family val="2"/>
          </rPr>
          <t xml:space="preserve">
RED=width entered but no height entered.</t>
        </r>
      </text>
    </comment>
    <comment ref="AB71" authorId="0">
      <text>
        <r>
          <rPr>
            <b/>
            <sz val="9"/>
            <color indexed="81"/>
            <rFont val="Tahoma"/>
            <family val="2"/>
          </rPr>
          <t>James Bertram:</t>
        </r>
        <r>
          <rPr>
            <sz val="9"/>
            <color indexed="81"/>
            <rFont val="Tahoma"/>
            <family val="2"/>
          </rPr>
          <t xml:space="preserve">
RED=height entered but no width entered.</t>
        </r>
      </text>
    </comment>
    <comment ref="AC71" authorId="0">
      <text>
        <r>
          <rPr>
            <b/>
            <sz val="9"/>
            <color indexed="81"/>
            <rFont val="Tahoma"/>
            <family val="2"/>
          </rPr>
          <t>James Bertram:</t>
        </r>
        <r>
          <rPr>
            <sz val="9"/>
            <color indexed="81"/>
            <rFont val="Tahoma"/>
            <family val="2"/>
          </rPr>
          <t xml:space="preserve">
RED="Existing" selected but no glazing dimensions entered.</t>
        </r>
      </text>
    </comment>
    <comment ref="N76" authorId="0">
      <text>
        <r>
          <rPr>
            <b/>
            <sz val="9"/>
            <color indexed="81"/>
            <rFont val="Tahoma"/>
            <family val="2"/>
          </rPr>
          <t>James Bertram:</t>
        </r>
        <r>
          <rPr>
            <sz val="9"/>
            <color indexed="81"/>
            <rFont val="Tahoma"/>
            <family val="2"/>
          </rPr>
          <t xml:space="preserve">
Nominate the BCA edition that determines building work compliance.
Transitional arrangement under Regulation 31A of the Building Regulation allow </t>
        </r>
        <r>
          <rPr>
            <u/>
            <sz val="9"/>
            <color indexed="81"/>
            <rFont val="Tahoma"/>
            <family val="2"/>
          </rPr>
          <t>either</t>
        </r>
        <r>
          <rPr>
            <sz val="9"/>
            <color indexed="81"/>
            <rFont val="Tahoma"/>
            <family val="2"/>
          </rPr>
          <t xml:space="preserve"> a current or the immediately previous BCA edition to be used.</t>
        </r>
      </text>
    </comment>
    <comment ref="S76" authorId="0">
      <text>
        <r>
          <rPr>
            <b/>
            <sz val="9"/>
            <color indexed="81"/>
            <rFont val="Tahoma"/>
            <family val="2"/>
          </rPr>
          <t>James Bertram:</t>
        </r>
        <r>
          <rPr>
            <sz val="9"/>
            <color indexed="81"/>
            <rFont val="Tahoma"/>
            <family val="2"/>
          </rPr>
          <t xml:space="preserve">
Nominate the version of the Protocol that has been used to determine compliance.
The Protocol may be amended from time to time.  When this occurs, the "Version" date at the foot of this document will be amended accordingly. </t>
        </r>
      </text>
    </comment>
    <comment ref="BK78" authorId="0">
      <text>
        <r>
          <rPr>
            <b/>
            <sz val="9"/>
            <color indexed="81"/>
            <rFont val="Tahoma"/>
            <family val="2"/>
          </rPr>
          <t>James Bertram:</t>
        </r>
        <r>
          <rPr>
            <sz val="9"/>
            <color indexed="81"/>
            <rFont val="Tahoma"/>
            <family val="2"/>
          </rPr>
          <t xml:space="preserve">
Refer to BCA Figure 3.12.1.1, Note 1: when roof air space is filled, the roof air space R-Value needs to be subtracted.</t>
        </r>
      </text>
    </comment>
    <comment ref="BP78" authorId="0">
      <text>
        <r>
          <rPr>
            <b/>
            <sz val="9"/>
            <color indexed="81"/>
            <rFont val="Tahoma"/>
            <family val="2"/>
          </rPr>
          <t>James Bertram:</t>
        </r>
        <r>
          <rPr>
            <sz val="9"/>
            <color indexed="81"/>
            <rFont val="Tahoma"/>
            <family val="2"/>
          </rPr>
          <t xml:space="preserve">
BCA Table 3.12.1.1b insulation R-Values range from R1.0 to R6.0.
If greater than R6.0 insulation is nominated, the outcome reported is "O/side Table".  This indicates that Table 3.12.1.1b cannot be used to determine any required adjustment in R-Value.
If less than R1.0 insulation is nominated, an interpolated worst-case value is given (see Note 5)</t>
        </r>
      </text>
    </comment>
  </commentList>
</comments>
</file>

<file path=xl/sharedStrings.xml><?xml version="1.0" encoding="utf-8"?>
<sst xmlns="http://schemas.openxmlformats.org/spreadsheetml/2006/main" count="2265" uniqueCount="1131">
  <si>
    <t>Note:</t>
  </si>
  <si>
    <t>NE</t>
  </si>
  <si>
    <t>SE</t>
  </si>
  <si>
    <t>P/H</t>
  </si>
  <si>
    <t xml:space="preserve"> P/H
</t>
  </si>
  <si>
    <r>
      <t xml:space="preserve">P
</t>
    </r>
    <r>
      <rPr>
        <sz val="8"/>
        <rFont val="Arial"/>
        <family val="2"/>
      </rPr>
      <t>(m)</t>
    </r>
  </si>
  <si>
    <r>
      <t xml:space="preserve">H
</t>
    </r>
    <r>
      <rPr>
        <sz val="8"/>
        <rFont val="Arial"/>
        <family val="2"/>
      </rPr>
      <t>(m)</t>
    </r>
  </si>
  <si>
    <t>SW</t>
  </si>
  <si>
    <t>W</t>
  </si>
  <si>
    <t>N</t>
  </si>
  <si>
    <t>E</t>
  </si>
  <si>
    <t>S</t>
  </si>
  <si>
    <t>NW</t>
  </si>
  <si>
    <t>SHADING</t>
  </si>
  <si>
    <t>Notes</t>
  </si>
  <si>
    <t>The visible glazing calculator form relies on off-form calculations to the right of the form and below it. These calculations can be displayed by using outlining controls.</t>
  </si>
  <si>
    <t xml:space="preserve">Data validation constrains "Climate zone" and "Sector faced" values to those shown in BCA tables, "G" to the limits of the DTS shading provisions and "Facade areas" to positive values only. </t>
  </si>
  <si>
    <t>An area can be provided in place of height and width (and the height and width cells will be shaded grey) but, when shading is declared, the glazing height must be given to allow checking that H value is valid.</t>
  </si>
  <si>
    <t>Results of compliance checking are not displayed in the form until all local input issues and errors have been rectified.</t>
  </si>
  <si>
    <t>Notes:</t>
  </si>
  <si>
    <t>This sheet contains instructions for use of the Glazing Calculator.</t>
  </si>
  <si>
    <t>These may be in note form or as annotations to screenshots (once produced).</t>
  </si>
  <si>
    <t>Adding and changing glazing details:</t>
  </si>
  <si>
    <t>The Calculator has been designed to identify anticipated input errors but may not trap all invalid inputs.</t>
  </si>
  <si>
    <t>Printing:</t>
  </si>
  <si>
    <t>Operating system:</t>
  </si>
  <si>
    <t>Tips for using the Glazing Calculator:</t>
  </si>
  <si>
    <t>Size</t>
  </si>
  <si>
    <t>Performance</t>
  </si>
  <si>
    <t>In the body of the form, conditional formatting changes the appearance of cells when they are "active" (sector listed), "incomplete" (essential data missing) or "in error" (data invalid or part of a non-complying façade).</t>
  </si>
  <si>
    <t>Yellow filled cells on the Calculator form are accessible for user input. (Other cells generally cannot be selected or edited, except as noted below for the glazing elements table.)</t>
  </si>
  <si>
    <t>Type A</t>
  </si>
  <si>
    <t>Type B</t>
  </si>
  <si>
    <t>Calculation formulae refer to lookup tables located on a separate sheet (usually hidden). The "HELP" button on the top right of the form hyperlinks to a separate sheet of basic instructions.</t>
  </si>
  <si>
    <t>Conditional formulae and formatting provide advisory messages to assist data input for new users. Their operation is explained below the form in a dedicated section of notes.</t>
  </si>
  <si>
    <t>Displaying the Calculator form:</t>
  </si>
  <si>
    <t>In the explanatory notes that pop up on the form and in the off-form calculations, the terms "orientations" and "sectors" are interchangeable in many contexts.</t>
  </si>
  <si>
    <t>Any of the yellow filled cells can be selected and edited. Adjoining yellow filled cells can be selected in a block (or range) to clear their contents at the same time.</t>
  </si>
  <si>
    <t>Hyperlinks allow navigation between the Calculator and this sheet and this sheet and screenshots.</t>
  </si>
  <si>
    <t>This sheet contains annotated screenshots of the Glazing Calculator.</t>
  </si>
  <si>
    <t>Hyperlinks allow navigation between this sheet, the Help screen and the Calculator form.</t>
  </si>
  <si>
    <t>1.</t>
  </si>
  <si>
    <t>2.</t>
  </si>
  <si>
    <t>Titles of screenshots are by formulae from Help sheet.</t>
  </si>
  <si>
    <t>3.</t>
  </si>
  <si>
    <t>status</t>
  </si>
  <si>
    <t>NoZoneTableActive</t>
  </si>
  <si>
    <t>ActiveA</t>
  </si>
  <si>
    <t>ActiveB</t>
  </si>
  <si>
    <t>Glazing elements table display</t>
  </si>
  <si>
    <t>row active</t>
  </si>
  <si>
    <t>CALCULATION DATA</t>
  </si>
  <si>
    <t>H - h &gt; 0.5m</t>
  </si>
  <si>
    <r>
      <t xml:space="preserve">SUMMER </t>
    </r>
    <r>
      <rPr>
        <i/>
        <sz val="10"/>
        <color indexed="10"/>
        <rFont val="Arial"/>
        <family val="2"/>
      </rPr>
      <t>(taken as December - February in all locations)</t>
    </r>
  </si>
  <si>
    <t>CONSTANTS FOR CONDUCTANCE AND SOLAR HEAT GAIN</t>
  </si>
  <si>
    <r>
      <t>C</t>
    </r>
    <r>
      <rPr>
        <vertAlign val="subscript"/>
        <sz val="10"/>
        <rFont val="Arial"/>
        <family val="2"/>
      </rPr>
      <t>U</t>
    </r>
  </si>
  <si>
    <r>
      <t>C</t>
    </r>
    <r>
      <rPr>
        <vertAlign val="subscript"/>
        <sz val="10"/>
        <rFont val="Arial"/>
        <family val="2"/>
      </rPr>
      <t>SHGC</t>
    </r>
  </si>
  <si>
    <t>Table 3.12.2.1</t>
  </si>
  <si>
    <t>Floor in direct contact with the ground</t>
  </si>
  <si>
    <t>Standard</t>
  </si>
  <si>
    <t>High</t>
  </si>
  <si>
    <t>Suspended floor</t>
  </si>
  <si>
    <t>climate zone</t>
  </si>
  <si>
    <t>CuA</t>
  </si>
  <si>
    <t>CshgcA</t>
  </si>
  <si>
    <t>CuB</t>
  </si>
  <si>
    <t>CshgcB</t>
  </si>
  <si>
    <t>Headings are names of cells below</t>
  </si>
  <si>
    <t>Projections</t>
  </si>
  <si>
    <t xml:space="preserve"> ID</t>
  </si>
  <si>
    <r>
      <t>C</t>
    </r>
    <r>
      <rPr>
        <vertAlign val="subscript"/>
        <sz val="8"/>
        <rFont val="Arial"/>
        <family val="2"/>
      </rPr>
      <t>SHGC</t>
    </r>
    <r>
      <rPr>
        <sz val="8"/>
        <rFont val="Arial"/>
        <family val="2"/>
      </rPr>
      <t xml:space="preserve"> x Area</t>
    </r>
  </si>
  <si>
    <t>inputs OK</t>
  </si>
  <si>
    <t>filled cells</t>
  </si>
  <si>
    <t>visible failure</t>
  </si>
  <si>
    <t>h x w &lt;&gt; area</t>
  </si>
  <si>
    <t>width ignored</t>
  </si>
  <si>
    <t>DudSize</t>
  </si>
  <si>
    <t>DudPerformance</t>
  </si>
  <si>
    <t>DudShading</t>
  </si>
  <si>
    <t>P/H &gt; 2</t>
  </si>
  <si>
    <t>shading active</t>
  </si>
  <si>
    <t>P/H above</t>
  </si>
  <si>
    <t>P/H below</t>
  </si>
  <si>
    <t>P/H interval</t>
  </si>
  <si>
    <t>% interval</t>
  </si>
  <si>
    <t>sector</t>
  </si>
  <si>
    <t>Element outcomes</t>
  </si>
  <si>
    <t>solar heat gain</t>
  </si>
  <si>
    <t>% condct</t>
  </si>
  <si>
    <t>% SHG</t>
  </si>
  <si>
    <t>agg condct fails</t>
  </si>
  <si>
    <t>agg SHG fails</t>
  </si>
  <si>
    <t>DudTableInputs</t>
  </si>
  <si>
    <t>TopInputsOK</t>
  </si>
  <si>
    <t>ALLOWANCES</t>
  </si>
  <si>
    <t>TableEntries</t>
  </si>
  <si>
    <t>VisibleFailures</t>
  </si>
  <si>
    <t>RowsActive</t>
  </si>
  <si>
    <t>RowsOK</t>
  </si>
  <si>
    <t>ShowPassSHG</t>
  </si>
  <si>
    <t>ShowPassCond</t>
  </si>
  <si>
    <t>Keep row below glazing elements table blank to ensure intended operation of autofilter for rows</t>
  </si>
  <si>
    <t>NoSector</t>
  </si>
  <si>
    <t>filled data</t>
  </si>
  <si>
    <t>OrphanData</t>
  </si>
  <si>
    <t>RowsWithData</t>
  </si>
  <si>
    <t>First3Inputs</t>
  </si>
  <si>
    <t>Orientations</t>
  </si>
  <si>
    <r>
      <t>ConstantsA</t>
    </r>
    <r>
      <rPr>
        <sz val="8"/>
        <color indexed="12"/>
        <rFont val="Arial"/>
        <family val="2"/>
      </rPr>
      <t xml:space="preserve"> (contains 2 areas)</t>
    </r>
  </si>
  <si>
    <r>
      <t>ConstantsB</t>
    </r>
    <r>
      <rPr>
        <sz val="8"/>
        <color indexed="12"/>
        <rFont val="Arial"/>
        <family val="2"/>
      </rPr>
      <t xml:space="preserve"> (contains 2 areas)</t>
    </r>
  </si>
  <si>
    <t>EmptyA</t>
  </si>
  <si>
    <t>SectorsInA</t>
  </si>
  <si>
    <t>IMPORTANT NOTICE AND DISCLAIMER IN RESPECT OF THE GLAZING CALCULATOR</t>
  </si>
  <si>
    <t>issue / advice messages</t>
  </si>
  <si>
    <t>InputIssues</t>
  </si>
  <si>
    <t>AllInputsOK</t>
  </si>
  <si>
    <t>master cell for confirmation of inputs</t>
  </si>
  <si>
    <t>Allowance zero when no zone is shown (possible #DIV/0 errors)</t>
  </si>
  <si>
    <t>Error and alert messages:</t>
  </si>
  <si>
    <t>AdviceIssuesOnly</t>
  </si>
  <si>
    <t>Exposure</t>
  </si>
  <si>
    <t>invalid P</t>
  </si>
  <si>
    <t>RowsAvailable</t>
  </si>
  <si>
    <t>RowsDisplayed</t>
  </si>
  <si>
    <t>row</t>
  </si>
  <si>
    <t>show</t>
  </si>
  <si>
    <t>LastActive</t>
  </si>
  <si>
    <t>active shown</t>
  </si>
  <si>
    <t>ActiveDisplayed</t>
  </si>
  <si>
    <t>ActiveHidden</t>
  </si>
  <si>
    <t>% share of allowance (rounded up)</t>
  </si>
  <si>
    <t>move+size</t>
  </si>
  <si>
    <t>move only</t>
  </si>
  <si>
    <t>no move or size</t>
  </si>
  <si>
    <t>rows available in form</t>
  </si>
  <si>
    <t>rows currently displayed</t>
  </si>
  <si>
    <t>first 3 inputs complete</t>
  </si>
  <si>
    <t>Glazing elements inputs</t>
  </si>
  <si>
    <t>shading H needed</t>
  </si>
  <si>
    <t>row height</t>
  </si>
  <si>
    <r>
      <t xml:space="preserve">Height
</t>
    </r>
    <r>
      <rPr>
        <sz val="8"/>
        <rFont val="Arial"/>
        <family val="2"/>
      </rPr>
      <t>(m)</t>
    </r>
  </si>
  <si>
    <r>
      <t xml:space="preserve">Width
</t>
    </r>
    <r>
      <rPr>
        <sz val="8"/>
        <rFont val="Arial"/>
        <family val="2"/>
      </rPr>
      <t>(m)</t>
    </r>
  </si>
  <si>
    <r>
      <t xml:space="preserve">Area
</t>
    </r>
    <r>
      <rPr>
        <sz val="8"/>
        <rFont val="Arial"/>
        <family val="2"/>
      </rPr>
      <t>(m²)</t>
    </r>
  </si>
  <si>
    <t>Element share
of % of
allowance used</t>
  </si>
  <si>
    <r>
      <t xml:space="preserve">Area used
</t>
    </r>
    <r>
      <rPr>
        <sz val="8"/>
        <rFont val="Arial"/>
        <family val="2"/>
      </rPr>
      <t>(m²)</t>
    </r>
  </si>
  <si>
    <r>
      <t xml:space="preserve">P&amp;H </t>
    </r>
    <r>
      <rPr>
        <sz val="8"/>
        <rFont val="Arial"/>
        <family val="2"/>
      </rPr>
      <t xml:space="preserve">or </t>
    </r>
    <r>
      <rPr>
        <b/>
        <sz val="8"/>
        <rFont val="Arial"/>
        <family val="2"/>
      </rPr>
      <t>device</t>
    </r>
  </si>
  <si>
    <t>These Help instructions can be printed (using File | Print) for ready reference while using the Calculator form.</t>
  </si>
  <si>
    <t>Version history:</t>
  </si>
  <si>
    <t>1.01:</t>
  </si>
  <si>
    <t>1.00:</t>
  </si>
  <si>
    <t>•</t>
  </si>
  <si>
    <t>Added this Version history to the Help screen.</t>
  </si>
  <si>
    <t>First public issue.</t>
  </si>
  <si>
    <t>Added a new note 3 to Help notes and revised text of note 18 (formerly note 17).</t>
  </si>
  <si>
    <t>Enhanced input cues for data needed above the glazing elements table.</t>
  </si>
  <si>
    <t>A record of changes made to each version of the Glazing Calculator appears at the end of this Help section. (Scroll down to see the version history.)</t>
  </si>
  <si>
    <t>1.02:</t>
  </si>
  <si>
    <t>Changed second row title of Floor type table to "Area of floor" to match term in Clause 3.12.2.1(a).</t>
  </si>
  <si>
    <t>Fixed display of glazing percentages below Floor type table when both floor types are used.</t>
  </si>
  <si>
    <t>Added input tips (describing Floor types A and B) to the input cells for "Area of floor".</t>
  </si>
  <si>
    <t>DifferenceA / InterpolatedA</t>
  </si>
  <si>
    <t>DifferenceB / InterpolatedB</t>
  </si>
  <si>
    <t xml:space="preserve"> </t>
  </si>
  <si>
    <t>Enabled interpolation of Air Movement levels between Standard and High</t>
  </si>
  <si>
    <t>Users' worksheet:</t>
  </si>
  <si>
    <t>Updated screenshots.</t>
  </si>
  <si>
    <t>Use of this worksheet is optional and responsibility for its contents and consequences remains entirely with the user.</t>
  </si>
  <si>
    <t>This worksheet has been added at the request of industry for recording notes and making calculations (where desired).</t>
  </si>
  <si>
    <t>Added a worksheet for users' notes and calculations (and displayed worksheet tabs for access).</t>
  </si>
  <si>
    <t>Calculation of air movement levels, for example, may be done on the users' worksheet. Cells can be linked by formulae to the Calculator input cells or to cells in other Excel files.</t>
  </si>
  <si>
    <t>To maintain the integrity of the Calculator, this sheet is protected causing some unavoidable restrictions on the functions available.</t>
  </si>
  <si>
    <t>All cells below row 8 are accessible for user input, editing and formatting, subject to the limitations due to protection.</t>
  </si>
  <si>
    <t>Orientation</t>
  </si>
  <si>
    <t>CLIMATE ZONE 1</t>
  </si>
  <si>
    <t>CLIMATE ZONE 2</t>
  </si>
  <si>
    <t>CLIMATE ZONE 3</t>
  </si>
  <si>
    <t>CLIMATE ZONE 4</t>
  </si>
  <si>
    <t>CLIMATE ZONE 5</t>
  </si>
  <si>
    <t>CLIMATE ZONE 6</t>
  </si>
  <si>
    <t>CLIMATE ZONE 7</t>
  </si>
  <si>
    <t>CLIMATE ZONE 8</t>
  </si>
  <si>
    <t>Darwin</t>
  </si>
  <si>
    <t>Brisbane</t>
  </si>
  <si>
    <t>Longreach</t>
  </si>
  <si>
    <t>Wagga Wagga</t>
  </si>
  <si>
    <t>Sydney</t>
  </si>
  <si>
    <t>Melbourne</t>
  </si>
  <si>
    <t>Hobart</t>
  </si>
  <si>
    <t>Canberra</t>
  </si>
  <si>
    <t>glazing height</t>
  </si>
  <si>
    <t>overhang</t>
  </si>
  <si>
    <r>
      <t xml:space="preserve">WINTER </t>
    </r>
    <r>
      <rPr>
        <i/>
        <sz val="10"/>
        <color indexed="12"/>
        <rFont val="Arial"/>
        <family val="2"/>
      </rPr>
      <t>(taken as June - August in all listed locations)</t>
    </r>
  </si>
  <si>
    <t>Adjust height value to vary calculated overhangs. Overhangs are for information only and are not precedents for the Calculator.</t>
  </si>
  <si>
    <t>Values in the condensed summer exposure factors tables below have been confirmed as consistent in every instance with the related values in the former larger tables (21.6.09)</t>
  </si>
  <si>
    <t>Data on this sheet has been pasted from the Exposure sheet of Glazing constants derivations v1.1.xlsx (21.6.09)</t>
  </si>
  <si>
    <t>Constants are rounded to 3 decimal places and Exposure factors to 2 for consistency with manual calculations using printed values.</t>
  </si>
  <si>
    <t>Summer exposure factor tables are condensed from their former versions since the calculator interpolates values as needed.</t>
  </si>
  <si>
    <t>Table 3.12.2.2</t>
  </si>
  <si>
    <t>3.12.2.2a</t>
  </si>
  <si>
    <t>3.12.2.2b</t>
  </si>
  <si>
    <t>Used for indexing of multipart named ranges for exposure factors</t>
  </si>
  <si>
    <t>EXPOSURE FACTORS FOR CONDUCTANCE AND SOLAR HEAT GAIN</t>
  </si>
  <si>
    <t>Summer and winter tables form multipart named ranges for lookup purposes</t>
  </si>
  <si>
    <t>Conductance exposure factors are not used for Zone 1 but a dummy table is provided to suit the lookup mechanism which uses multipart named ranges.</t>
  </si>
  <si>
    <t xml:space="preserve">The tables now show only the P/H values directly available in the output of Terry Williamson's program SOLSHAD. </t>
  </si>
  <si>
    <t>Values updated to match effect of Public Draft stringency (adjusted for revised Conductance method).</t>
  </si>
  <si>
    <t>Table values are in 8 point font to constrain column widths.</t>
  </si>
  <si>
    <r>
      <t>C</t>
    </r>
    <r>
      <rPr>
        <vertAlign val="subscript"/>
        <sz val="8"/>
        <rFont val="Arial"/>
        <family val="2"/>
      </rPr>
      <t>U</t>
    </r>
  </si>
  <si>
    <r>
      <t>C</t>
    </r>
    <r>
      <rPr>
        <vertAlign val="subscript"/>
        <sz val="8"/>
        <rFont val="Arial"/>
        <family val="2"/>
      </rPr>
      <t>SHGC</t>
    </r>
  </si>
  <si>
    <t>Solar heat gain exposure factors</t>
  </si>
  <si>
    <t>condct A x U</t>
  </si>
  <si>
    <t>valid Exposure factor types</t>
  </si>
  <si>
    <t>Conductance factors / access</t>
  </si>
  <si>
    <t>ValidExposures (Dynamic range for Exposure Factors display)</t>
  </si>
  <si>
    <t>SHGC x
Es x area</t>
  </si>
  <si>
    <t>The Glazing Calculator has been developed by the ABCB to assist in developing a better understanding of glazing energy efficiency parameters.
While the ABCB believes that the Glazing Calculator, if used correctly, will produce accurate results, it is provided "as is" and without
any representation or warranty of any kind, including that it is fit for any purpose or of merchantable quality, or functions as intended or at all. 
Your use of the Glazing Calculator is entirely at your own risk and the ABCB accepts no liability of any kind.</t>
  </si>
  <si>
    <t>Es</t>
  </si>
  <si>
    <t>Ew</t>
  </si>
  <si>
    <t>Ew / Es</t>
  </si>
  <si>
    <t>Constants table</t>
  </si>
  <si>
    <t>CuA / CshgcA</t>
  </si>
  <si>
    <t>CuB / CshgcB</t>
  </si>
  <si>
    <t>MultipleAir / SuffixAir</t>
  </si>
  <si>
    <t>(Values for Standard Air Movement only</t>
  </si>
  <si>
    <t>AreaApercent / AreaBpercent</t>
  </si>
  <si>
    <t>CuWeighted / CshgcWeighted</t>
  </si>
  <si>
    <t>Zone and Building inputs</t>
  </si>
  <si>
    <t>Floor and Air inputs</t>
  </si>
  <si>
    <t>SHG</t>
  </si>
  <si>
    <t>Cond</t>
  </si>
  <si>
    <t>AllowedSHG</t>
  </si>
  <si>
    <t>Es
above</t>
  </si>
  <si>
    <t>Es
below</t>
  </si>
  <si>
    <t>Es
interval</t>
  </si>
  <si>
    <t>Ew
above</t>
  </si>
  <si>
    <t>Ew
below</t>
  </si>
  <si>
    <t>Ew interval</t>
  </si>
  <si>
    <t>actual Ew</t>
  </si>
  <si>
    <t>actual Es</t>
  </si>
  <si>
    <t>A x SHGC x Ew</t>
  </si>
  <si>
    <t>allowance minus outcome</t>
  </si>
  <si>
    <t>count of failed elements</t>
  </si>
  <si>
    <t>Aggregated elements outcome</t>
  </si>
  <si>
    <t>Outcomes (for reporting)</t>
  </si>
  <si>
    <t>AllowedCond</t>
  </si>
  <si>
    <t>GlazingAreaA</t>
  </si>
  <si>
    <t>FailedCondAFailedSHGA</t>
  </si>
  <si>
    <t>Conductance label</t>
  </si>
  <si>
    <t>Solar Heat Gain label</t>
  </si>
  <si>
    <t>Glazing / no Zone</t>
  </si>
  <si>
    <t xml:space="preserve"> no Glazing / no Building</t>
  </si>
  <si>
    <t>Glazing / no Building</t>
  </si>
  <si>
    <t>Glazing / no Storey</t>
  </si>
  <si>
    <t>Floor A / Air</t>
  </si>
  <si>
    <t>Floor B / Air</t>
  </si>
  <si>
    <t>active rows displayed</t>
  </si>
  <si>
    <t>active rows NOT displayed</t>
  </si>
  <si>
    <t>NoGlazing</t>
  </si>
  <si>
    <t>Glazing schedule inactive</t>
  </si>
  <si>
    <t>Glazing / no Floor</t>
  </si>
  <si>
    <t>no Glazing / Building / no Zone</t>
  </si>
  <si>
    <t>no Glazing / prior / no Storey</t>
  </si>
  <si>
    <t>no Glazing / prior / no Floor</t>
  </si>
  <si>
    <t>no Glazing / prior / no Air</t>
  </si>
  <si>
    <t>Glazing / no Air</t>
  </si>
  <si>
    <t>zone</t>
  </si>
  <si>
    <t>Cu</t>
  </si>
  <si>
    <t>Cshgc</t>
  </si>
  <si>
    <t>essential</t>
  </si>
  <si>
    <t>high mass walls AND CSOG OR internal masonry (both on lowest storey)</t>
  </si>
  <si>
    <t>high mass walls AND R0.5 AND CSOG OR internal masonry (both on lowest storey)</t>
  </si>
  <si>
    <t>high mass walls AND CSOG AND internal masonry (both on lowest storey)</t>
  </si>
  <si>
    <t>high mass walls</t>
  </si>
  <si>
    <t>high mass walls AND R1.0</t>
  </si>
  <si>
    <t>high mass walls AND R0.5</t>
  </si>
  <si>
    <t>Table 3.12.1.3b Climate zone 1 Option (a)(ii)</t>
  </si>
  <si>
    <t>Table 3.12.1.3b Climate zone 2 Option (a)(ii)</t>
  </si>
  <si>
    <t>Table 3.12.1.3b Climate zone 3 Option (a)(ii)</t>
  </si>
  <si>
    <t>Table 3.12.1.3b Climate zone 4 Option (a)(i)</t>
  </si>
  <si>
    <t>Table 3.12.1.3b Climate zone 4 Option (b)</t>
  </si>
  <si>
    <t>Table 3.12.1.3b Climate zone 5 Option (a)(ii)</t>
  </si>
  <si>
    <t>Table 3.12.1.3b Climate zone 5 Option (b)(ii)</t>
  </si>
  <si>
    <t>Table 3.12.1.3b Climate zone 6 Option (a)(i)</t>
  </si>
  <si>
    <t>Table 3.12.1.3b Climate zone 6 Option (b)</t>
  </si>
  <si>
    <t>Table 3.12.1.3b Climate zone 7 Option (a)(i)</t>
  </si>
  <si>
    <t>Table 3.12.1.3b Climate zone 7 Option (b)(i)</t>
  </si>
  <si>
    <t>Count of Options available in Zone</t>
  </si>
  <si>
    <t>Wall concession n/a for Zone</t>
  </si>
  <si>
    <t>Cu column label</t>
  </si>
  <si>
    <t>Checks only for presence of Building, Zone and Storey inputs. Does not evaluate whether glazing schedule is active.</t>
  </si>
  <si>
    <t>Sectors / no Floor / no Air</t>
  </si>
  <si>
    <t>count of Sectors in schedule</t>
  </si>
  <si>
    <t>Valid options for wall concession inputs</t>
  </si>
  <si>
    <t>Dynamic range below to limit list to options available in zone</t>
  </si>
  <si>
    <t>string</t>
  </si>
  <si>
    <t>Sectors / no Floor / Air</t>
  </si>
  <si>
    <t>Sectors / Floor / no Air</t>
  </si>
  <si>
    <t>No wall insulation concession used</t>
  </si>
  <si>
    <t xml:space="preserve">Floor Construction </t>
  </si>
  <si>
    <t>Glazing element</t>
  </si>
  <si>
    <t>2.00:</t>
  </si>
  <si>
    <t>First public issue of extensively revised version for use with BCA 2010.</t>
  </si>
  <si>
    <t>Identified issues concerning inputs above the glazing elements table are flagged above the input cells.</t>
  </si>
  <si>
    <t>DIV/0 error trap precedes logic test</t>
  </si>
  <si>
    <r>
      <t xml:space="preserve">Updates to this file may be available for download from the ABCB website from time to time.
The file name will include the version number. </t>
    </r>
    <r>
      <rPr>
        <b/>
        <sz val="10"/>
        <rFont val="Arial"/>
        <family val="2"/>
      </rPr>
      <t>The latest version should always be used.</t>
    </r>
  </si>
  <si>
    <t>Light green filled cells to the right of the table contain calculations whose results can be seen but not edited. To change results, change the user inputs.</t>
  </si>
  <si>
    <t>Input issues in each row of the glazing elements table are identified in bold red font to the right of the row (overlaying the calculations area).</t>
  </si>
  <si>
    <t xml:space="preserve">Direct contact </t>
  </si>
  <si>
    <t xml:space="preserve">Suspended </t>
  </si>
  <si>
    <t>1.03:</t>
  </si>
  <si>
    <t>Merged building description text box to become one cell.</t>
  </si>
  <si>
    <t>Added additional explanatory information for entering Standard and High Air Movement levels.</t>
  </si>
  <si>
    <t>2.01:</t>
  </si>
  <si>
    <t>Changed "NFRC" to "AFRC" in headings of Total U-Value and SHGC columns.</t>
  </si>
  <si>
    <t>(AFRC refers to the Australian Fenestration Rating Council. See cell comments in headings,)</t>
  </si>
  <si>
    <t>2.02:</t>
  </si>
  <si>
    <t>Fixed display of constants at upper right of form for Suspended floors.</t>
  </si>
  <si>
    <t>Increased the maximum number of rows available in the glazing elements table from 40 to 80.</t>
  </si>
  <si>
    <t>This version of the glazing calculator is valid only for BCA 2010 Volume Two and later (until notified otherwise).</t>
  </si>
  <si>
    <t>Conditional formatting applies light yellow shading to each row of the glazing elements table once a sector has been declared.</t>
  </si>
  <si>
    <t>Checks presence of upper inputs, validity of Wall concession and whether glazing schedule is active.</t>
  </si>
  <si>
    <t>upper inputs all present / Table inactive</t>
  </si>
  <si>
    <t>no Sector given</t>
  </si>
  <si>
    <t>Size needed (Height &amp; Width or Area)</t>
  </si>
  <si>
    <t>glazing Height needed</t>
  </si>
  <si>
    <t>shading H without P</t>
  </si>
  <si>
    <t>Row skipped (OK if intentional)</t>
  </si>
  <si>
    <t xml:space="preserve"> &amp; </t>
  </si>
  <si>
    <t>issues flagged</t>
  </si>
  <si>
    <t>When all input cells at the top of the Calculator form are blank, advisory messages (for new users) will appear in sequence above each of the cells needing input. A cell with an input advice message will also be coloured green until data is entered. Press Enter or Tab after typing inputs to move to the next available cell.</t>
  </si>
  <si>
    <t>Calculator outcomes cannot be displayed until all input issues have been resolved (which will clear any colour highlighting and advisory messages). Several messages may appear in sequence for the same row as issues are resolved.</t>
  </si>
  <si>
    <t>A protected worksheet with most cells accessible has been provided for users' notes and calculations. (Protection is essential to maintain the integrity of the Calculator but does restrict the functions and operations available to the user.) The Worksheet can be accessed by selecting its tab at the bottom of the Excel window.</t>
  </si>
  <si>
    <t xml:space="preserve">In the glazing elements table, all white cells below the heading rows are accessible but they are not yellow filled by default. Accessible cells in each row will be yellow filled once an orientation sector has been given. </t>
  </si>
  <si>
    <t>Details above the glazing elements table (including at least one Floor type) and at least one glazing element must be supplied for Calculator outcomes to be displayed.</t>
  </si>
  <si>
    <t>If copying data between cells, always use Paste Special | Paste Values to avoid formatting errors on the Calculator form.</t>
  </si>
  <si>
    <t>Number of rows for table below</t>
  </si>
  <si>
    <t>alert
/issue</t>
  </si>
  <si>
    <t>Element issues (excluding alerts) plus upper input issues</t>
  </si>
  <si>
    <t>Sectors available</t>
  </si>
  <si>
    <t>OrientationsA (Dynamic range for Sectors selection)</t>
  </si>
  <si>
    <t>Drop down list (if UpperInputsAlerts =0)</t>
  </si>
  <si>
    <t>UpperInputsAlerts</t>
  </si>
  <si>
    <t>UpperInputsIssues</t>
  </si>
  <si>
    <t>UpperInputsFlagged</t>
  </si>
  <si>
    <t>Negative values are failures</t>
  </si>
  <si>
    <t>In addition to the information offered here, the ABCB has prepared a document to explain the changes</t>
  </si>
  <si>
    <t>The Help button shown on the top right of the Calculator form, the coloured band behind the form title and the coloured background are not intended to print as part of the form (to reduce ink or toner usage).</t>
  </si>
  <si>
    <t>Facing sector</t>
  </si>
  <si>
    <t>Revised Help notes and screenshots to suit Calculator changes.</t>
  </si>
  <si>
    <t>The input cell for the number of rows preferred will not accept numbers that would cause data used by calculations to be hidden. (This data includes inputs to the 'Facing sector' column and those to its right.)  A warning message will be displayed if this is attempted.</t>
  </si>
  <si>
    <t>The Calculator form can be printed using the File | Print menu.</t>
  </si>
  <si>
    <t>VentPending</t>
  </si>
  <si>
    <t>OrphanVent</t>
  </si>
  <si>
    <t>NoWallConcession</t>
  </si>
  <si>
    <t>no Glazing / prior / Concession blank</t>
  </si>
  <si>
    <t>Glazing / prior / Concession blank</t>
  </si>
  <si>
    <t>to the Volume Two glazing provisions introduced with BCA 2010. It is available for download from the</t>
  </si>
  <si>
    <t>ABCB website.</t>
  </si>
  <si>
    <t>Modified Calculator formatting and error reporting for compatibility with Excel 2010 on Windows and 2011 on Mac.</t>
  </si>
  <si>
    <t>The Glazing Calculator has been developed in the Windows ® versions of Microsoft Excel ® 2003 and 2007/10. Two separate file formats (.xls and .xlsx) are offered due to formatting incompatibilities between Excel versions.</t>
  </si>
  <si>
    <t>To remove unwanted data, select the cell or range, right click to show the context menu and select Clear Contents from that menu. Alternatively (in Windows), use the Delete key.</t>
  </si>
  <si>
    <t xml:space="preserve">Calculator outcomes resulting in a "tick" are valid only if all of the input details comply with BCA elemental DTS requirements. The claimed Air Movement level must be verified by separate calculation since this is not checked by the Calculator.
</t>
  </si>
  <si>
    <r>
      <t>2.03</t>
    </r>
    <r>
      <rPr>
        <sz val="10"/>
        <rFont val="Arial"/>
        <family val="2"/>
      </rPr>
      <t xml:space="preserve"> (December 2011):</t>
    </r>
  </si>
  <si>
    <t xml:space="preserve">The Calculator form has been designed for viewing as a whole "page" with 10 rows visible in the glazing elements table (at 100% zoom - assuming a minimum screen resolution of 1024 x 768 pixels). </t>
  </si>
  <si>
    <r>
      <rPr>
        <sz val="10"/>
        <rFont val="Arial"/>
        <family val="2"/>
      </rPr>
      <t>The .xlsx file is suitable for use in the 2007 and 2010 versions of Excel for Windows and in the 2011 version of Excel for Apple Mac ®.</t>
    </r>
    <r>
      <rPr>
        <sz val="10"/>
        <rFont val="Arial"/>
        <family val="2"/>
      </rPr>
      <t xml:space="preserve"> These Help instructions and the screenshots refer to the Windows version and may not fully reflect the Mac interface.</t>
    </r>
  </si>
  <si>
    <r>
      <rPr>
        <sz val="10"/>
        <rFont val="Arial"/>
        <family val="2"/>
      </rPr>
      <t>Some users may need to adjust the screen zoom setting to see the whole form at once.</t>
    </r>
    <r>
      <rPr>
        <sz val="10"/>
        <rFont val="Arial"/>
        <family val="2"/>
      </rPr>
      <t xml:space="preserve"> The worksheet background does not change when zoom settings are altered and also does not print.</t>
    </r>
  </si>
  <si>
    <r>
      <t>Users with</t>
    </r>
    <r>
      <rPr>
        <b/>
        <sz val="10"/>
        <rFont val="Arial"/>
        <family val="2"/>
      </rPr>
      <t xml:space="preserve"> Excel 2002 (Excel XP) or later for Windows and 2011 for Mac</t>
    </r>
    <r>
      <rPr>
        <sz val="10"/>
        <rFont val="Arial"/>
        <family val="2"/>
      </rPr>
      <t xml:space="preserve"> can change the number of rows visible by using the arrow to the left of the 'ID' heading near the top left of the glazing elements table. First set the number of rows preferred (maximum 80) in the input cell immediately above the table and press Enter. Next, click the arrow beside 'ID' and select that number in the drop-down list which opens. (The number set will be the only number shown in the list.)</t>
    </r>
  </si>
  <si>
    <t>Missing inputs anywhere on the form are generally highlighted by tan fill. Invalid inputs or those which may be contributing to outcomes failures are highlighted by orange fill.</t>
  </si>
  <si>
    <t>The print area has been pre-set to allow printing as one or more A4 pages (landscape format), depending on the number of rows displayed in the form. Some margins may need to be adjusted to suit some printers (particularly inkjets).</t>
  </si>
  <si>
    <r>
      <t xml:space="preserve">Total System
U-Value
</t>
    </r>
    <r>
      <rPr>
        <sz val="8"/>
        <rFont val="Arial"/>
        <family val="2"/>
      </rPr>
      <t>(AFRC)</t>
    </r>
  </si>
  <si>
    <r>
      <t xml:space="preserve">Total System SHGC
</t>
    </r>
    <r>
      <rPr>
        <sz val="8"/>
        <rFont val="Arial"/>
        <family val="2"/>
      </rPr>
      <t>(AFRC)</t>
    </r>
  </si>
  <si>
    <t>Copyright © 2013 – Australian Government, State and Territory Governments of Australia. All Rights Reserved</t>
  </si>
  <si>
    <r>
      <t>Description</t>
    </r>
    <r>
      <rPr>
        <sz val="8"/>
        <rFont val="Arial"/>
        <family val="2"/>
      </rPr>
      <t xml:space="preserve"> 
(optional)</t>
    </r>
  </si>
  <si>
    <r>
      <t xml:space="preserve">2.04 </t>
    </r>
    <r>
      <rPr>
        <sz val="10"/>
        <rFont val="Arial"/>
        <family val="2"/>
      </rPr>
      <t>(May 2013):</t>
    </r>
  </si>
  <si>
    <t>BCA VOLUME TWO GLAZING CALCULATOR (first issued with BCA 2013)</t>
  </si>
  <si>
    <t>Calculator version (2.04):</t>
  </si>
  <si>
    <r>
      <t xml:space="preserve">Version 2.04 of the Glazing Calculator was first issued for use under Part 3.12.2 External </t>
    </r>
    <r>
      <rPr>
        <i/>
        <sz val="10"/>
        <rFont val="Arial"/>
        <family val="2"/>
      </rPr>
      <t>Glazing</t>
    </r>
    <r>
      <rPr>
        <sz val="10"/>
        <rFont val="Arial"/>
        <family val="2"/>
      </rPr>
      <t xml:space="preserve"> of BCA 2013 Volume Two (Housing Provisions).</t>
    </r>
  </si>
  <si>
    <t>Changed "Total U-Value" and "SHGC" to "Total System U-Value" and "Total System SHGC"
to reflect changes to BCA 2013.</t>
  </si>
  <si>
    <t>Total System U-Value</t>
  </si>
  <si>
    <t>Total System SHGC</t>
  </si>
  <si>
    <t>Original</t>
  </si>
  <si>
    <t>Amd No.</t>
  </si>
  <si>
    <t>Date</t>
  </si>
  <si>
    <t>Description</t>
  </si>
  <si>
    <t>Word and BC menu list</t>
  </si>
  <si>
    <t>Not applicable</t>
  </si>
  <si>
    <t>Climate zone</t>
  </si>
  <si>
    <t>Yes</t>
  </si>
  <si>
    <t>No</t>
  </si>
  <si>
    <t>BC_YN</t>
  </si>
  <si>
    <t>ID</t>
  </si>
  <si>
    <t>H(m)</t>
  </si>
  <si>
    <t>W(m)</t>
  </si>
  <si>
    <t>Existing</t>
  </si>
  <si>
    <t>(m)</t>
  </si>
  <si>
    <t>Ventilation opening calculations</t>
  </si>
  <si>
    <t>Frame m2</t>
  </si>
  <si>
    <t>Less frame</t>
  </si>
  <si>
    <t>HxW m2 overall</t>
  </si>
  <si>
    <t>H x 2 x F</t>
  </si>
  <si>
    <t>W x % x 2 x F</t>
  </si>
  <si>
    <t>H x W x %</t>
  </si>
  <si>
    <t>Ventilation opening area</t>
  </si>
  <si>
    <t>less frame area</t>
  </si>
  <si>
    <t>BC_FanEvap</t>
  </si>
  <si>
    <t>None</t>
  </si>
  <si>
    <t>Fan</t>
  </si>
  <si>
    <t>Evap</t>
  </si>
  <si>
    <t>Habitable room list</t>
  </si>
  <si>
    <t>BC_WAZones</t>
  </si>
  <si>
    <t>BC_AirMove</t>
  </si>
  <si>
    <t>Without a fan or evaporative cooler</t>
  </si>
  <si>
    <t>With a fan</t>
  </si>
  <si>
    <t>With an evaporative cooler</t>
  </si>
  <si>
    <t>Minimum total ventilation opening area as a percentage of the floor area for each habitable room</t>
  </si>
  <si>
    <t>Table 3.12.4.1 Provision for air movement</t>
  </si>
  <si>
    <t>●</t>
  </si>
  <si>
    <t>Total m2 ventilation opening area for each room</t>
  </si>
  <si>
    <t>Area</t>
  </si>
  <si>
    <t>None, fan, evap</t>
  </si>
  <si>
    <t>Room data missing check (outcomes reported are for ROW K-Y input data)</t>
  </si>
  <si>
    <t>Pass</t>
  </si>
  <si>
    <t>Fail</t>
  </si>
  <si>
    <t>Data</t>
  </si>
  <si>
    <t>Standard air movement percentage</t>
  </si>
  <si>
    <t xml:space="preserve">Required ventilation opening m2 </t>
  </si>
  <si>
    <t>Calculated ventilation opening m2</t>
  </si>
  <si>
    <t>Non-compliant</t>
  </si>
  <si>
    <t>Countif outcomes</t>
  </si>
  <si>
    <t>Countif "Evap"</t>
  </si>
  <si>
    <t>Total ventilation area m2 for the storey</t>
  </si>
  <si>
    <t>Total required ventilation area m2 for the storey</t>
  </si>
  <si>
    <t>Per room, Calc less Req'd m2</t>
  </si>
  <si>
    <t>Total Calc less Total Required</t>
  </si>
  <si>
    <t>Countif "None"</t>
  </si>
  <si>
    <t>Outcome</t>
  </si>
  <si>
    <t>m2</t>
  </si>
  <si>
    <t>Space</t>
  </si>
  <si>
    <t>Building</t>
  </si>
  <si>
    <t>Max Conductance % allowance</t>
  </si>
  <si>
    <t>BC_RoofConst</t>
  </si>
  <si>
    <t>Roof cover</t>
  </si>
  <si>
    <t>Roof air space</t>
  </si>
  <si>
    <t>Ceiling lining</t>
  </si>
  <si>
    <t>Indoor air film</t>
  </si>
  <si>
    <t>Total R-Value</t>
  </si>
  <si>
    <t>BCA check</t>
  </si>
  <si>
    <t>R-Value removed</t>
  </si>
  <si>
    <t>Ref: V2 Table 2b</t>
  </si>
  <si>
    <t>BC_RoofConst_Up</t>
  </si>
  <si>
    <t>BC_RoofConst_Dn</t>
  </si>
  <si>
    <r>
      <rPr>
        <sz val="8"/>
        <rFont val="Calibri"/>
        <family val="2"/>
      </rPr>
      <t>≤</t>
    </r>
    <r>
      <rPr>
        <sz val="8"/>
        <rFont val="Arial"/>
        <family val="2"/>
      </rPr>
      <t>0.4</t>
    </r>
  </si>
  <si>
    <t>&gt;0.6</t>
  </si>
  <si>
    <t>Absorptance</t>
  </si>
  <si>
    <t>BC_RoofR</t>
  </si>
  <si>
    <t>Total R-Value of existing roof construction</t>
  </si>
  <si>
    <t>BC_RoofValues</t>
  </si>
  <si>
    <t>Existing R-Value removed</t>
  </si>
  <si>
    <t>Residual Total R-Value</t>
  </si>
  <si>
    <t>Retain existing performance</t>
  </si>
  <si>
    <t>Comply with 3.12.1.2</t>
  </si>
  <si>
    <t>Percentage of building fabric Total R-Value removed</t>
  </si>
  <si>
    <t>Required Table 3.12.1.1a Total R-Value for roof cover absorptance value</t>
  </si>
  <si>
    <t>R-Value proportion of the building work</t>
  </si>
  <si>
    <t>Proportional R-Value Target</t>
  </si>
  <si>
    <t>BC_RoofAbs</t>
  </si>
  <si>
    <t>Area (m2)</t>
  </si>
  <si>
    <t>Area weighted calculation</t>
  </si>
  <si>
    <t>Total U-Value</t>
  </si>
  <si>
    <t>U*A</t>
  </si>
  <si>
    <t>Ceiling insulation penetrations</t>
  </si>
  <si>
    <t>Roof light 1</t>
  </si>
  <si>
    <t>Roof light area</t>
  </si>
  <si>
    <t>Rectangle</t>
  </si>
  <si>
    <t>Circle</t>
  </si>
  <si>
    <t>Average ceiling dimension</t>
  </si>
  <si>
    <t>3.12.1.1(a) percentage no more than</t>
  </si>
  <si>
    <t>3.12.1.1(b) percentage no more than</t>
  </si>
  <si>
    <t>Menus differentiate between UP, DN and UP+DN climate zones</t>
  </si>
  <si>
    <t>BC_WallConst</t>
  </si>
  <si>
    <t>BC_WallValues</t>
  </si>
  <si>
    <t>Wall cladding</t>
  </si>
  <si>
    <t>Airspace</t>
  </si>
  <si>
    <t>Wall lining</t>
  </si>
  <si>
    <t>Masonry</t>
  </si>
  <si>
    <t>BC_WallR</t>
  </si>
  <si>
    <t>BC_WallShade</t>
  </si>
  <si>
    <t>Shaded</t>
  </si>
  <si>
    <t>Unshaded</t>
  </si>
  <si>
    <t>Total R-Value for Climate Zone</t>
  </si>
  <si>
    <t>(BC_WAZones)</t>
  </si>
  <si>
    <t>Total R-Value of existing wall construction</t>
  </si>
  <si>
    <t>Percentage of building fabric Total R-Value</t>
  </si>
  <si>
    <t>Required Table 3.12.1.3a Total R-Value for roof shading</t>
  </si>
  <si>
    <t>Class 1 building</t>
  </si>
  <si>
    <t>Artificial lighting</t>
  </si>
  <si>
    <t>Watts</t>
  </si>
  <si>
    <t>Height (m)</t>
  </si>
  <si>
    <t>Width (%)</t>
  </si>
  <si>
    <t>Building sealing</t>
  </si>
  <si>
    <t>ARTIFICIAL LIGHTING DATASHEET</t>
  </si>
  <si>
    <t>ROOF LIGHT DATASHEET</t>
  </si>
  <si>
    <t>EXTERNAL WALL DATASHEET</t>
  </si>
  <si>
    <t>ROOF DATASHEET</t>
  </si>
  <si>
    <t>Compliance report text</t>
  </si>
  <si>
    <t>Note: External walls shaded as per Fig 3.12.1.2</t>
  </si>
  <si>
    <t>B. The EP option of the Protocol</t>
  </si>
  <si>
    <t>A. The HERS option of the Protocol</t>
  </si>
  <si>
    <r>
      <t>Protocol B1.1.1 (</t>
    </r>
    <r>
      <rPr>
        <i/>
        <sz val="8"/>
        <rFont val="Arial"/>
        <family val="2"/>
      </rPr>
      <t>Total R-Value</t>
    </r>
    <r>
      <rPr>
        <sz val="8"/>
        <rFont val="Arial"/>
        <family val="2"/>
      </rPr>
      <t xml:space="preserve"> Target for an altered roof)</t>
    </r>
  </si>
  <si>
    <r>
      <t>Protocol B1.3.1 (</t>
    </r>
    <r>
      <rPr>
        <i/>
        <sz val="8"/>
        <rFont val="Arial"/>
        <family val="2"/>
      </rPr>
      <t>Total R-Value</t>
    </r>
    <r>
      <rPr>
        <sz val="8"/>
        <rFont val="Arial"/>
        <family val="2"/>
      </rPr>
      <t xml:space="preserve"> Target for an altered </t>
    </r>
    <r>
      <rPr>
        <i/>
        <sz val="8"/>
        <rFont val="Arial"/>
        <family val="2"/>
      </rPr>
      <t>external wall</t>
    </r>
    <r>
      <rPr>
        <sz val="8"/>
        <rFont val="Arial"/>
        <family val="2"/>
      </rPr>
      <t>)</t>
    </r>
  </si>
  <si>
    <r>
      <t>Protocol B1.3.3 (filling existing openings in an e</t>
    </r>
    <r>
      <rPr>
        <i/>
        <sz val="8"/>
        <rFont val="Arial"/>
        <family val="2"/>
      </rPr>
      <t>xternal wall</t>
    </r>
    <r>
      <rPr>
        <sz val="8"/>
        <rFont val="Arial"/>
        <family val="2"/>
      </rPr>
      <t>)</t>
    </r>
  </si>
  <si>
    <t>Protocol B1.1.3 (percentage of ceiling area uninsulated for added and/or altered roof)</t>
  </si>
  <si>
    <t>Protocol C1.1.1 (artificial lighting in existing and altered space)</t>
  </si>
  <si>
    <t>Protocol C1.2.1 (relocation of an existing heated water supply system)</t>
  </si>
  <si>
    <t>Protocol B4.1.2 (breeze path connected to an existing ventilation opening)</t>
  </si>
  <si>
    <t>Name</t>
  </si>
  <si>
    <t>Business</t>
  </si>
  <si>
    <r>
      <t>Protocol B1.1.2 (</t>
    </r>
    <r>
      <rPr>
        <i/>
        <sz val="8"/>
        <rFont val="Arial"/>
        <family val="2"/>
      </rPr>
      <t>Total R-Value</t>
    </r>
    <r>
      <rPr>
        <sz val="8"/>
        <rFont val="Arial"/>
        <family val="2"/>
      </rPr>
      <t xml:space="preserve"> Target for existing, altered and/or added roof)</t>
    </r>
  </si>
  <si>
    <t>Applies</t>
  </si>
  <si>
    <t>BC_Apply</t>
  </si>
  <si>
    <t>C. The Services option of the Protocol</t>
  </si>
  <si>
    <r>
      <t xml:space="preserve">EXTERNAL WALL DATASHEET reports </t>
    </r>
    <r>
      <rPr>
        <i/>
        <sz val="8"/>
        <rFont val="Arial"/>
        <family val="2"/>
      </rPr>
      <t>Total R-Value</t>
    </r>
    <r>
      <rPr>
        <sz val="8"/>
        <rFont val="Arial"/>
        <family val="2"/>
      </rPr>
      <t xml:space="preserve"> calculations</t>
    </r>
  </si>
  <si>
    <t>and</t>
  </si>
  <si>
    <r>
      <t xml:space="preserve">FLOOR DATASHEET reports </t>
    </r>
    <r>
      <rPr>
        <i/>
        <sz val="8"/>
        <rFont val="Arial"/>
        <family val="2"/>
      </rPr>
      <t>Total R-Value</t>
    </r>
    <r>
      <rPr>
        <sz val="8"/>
        <rFont val="Arial"/>
        <family val="2"/>
      </rPr>
      <t xml:space="preserve"> calculations</t>
    </r>
  </si>
  <si>
    <t>Air movement text when Region D exemption = NO</t>
  </si>
  <si>
    <t>Note: Building work to comply with Part 3.8.5</t>
  </si>
  <si>
    <t>For the scope of building work being undertaken, the WA Additions:</t>
  </si>
  <si>
    <t>Compliance statement</t>
  </si>
  <si>
    <t>Email</t>
  </si>
  <si>
    <r>
      <t xml:space="preserve">Protocol B2.1.1 (Conductance and Solar Heat Gain Targets for added </t>
    </r>
    <r>
      <rPr>
        <i/>
        <sz val="8"/>
        <rFont val="Arial"/>
        <family val="2"/>
      </rPr>
      <t>glazing)</t>
    </r>
  </si>
  <si>
    <r>
      <t xml:space="preserve">Protocol B2.1.2 (Conductance and Solar Heat Gain Targets for altered </t>
    </r>
    <r>
      <rPr>
        <i/>
        <sz val="8"/>
        <rFont val="Arial"/>
        <family val="2"/>
      </rPr>
      <t>glazing)</t>
    </r>
  </si>
  <si>
    <t>Room description</t>
  </si>
  <si>
    <t>Floor area of the room</t>
  </si>
  <si>
    <t>Nominate if the room is with or without a ceiling fan or evaporative cooler</t>
  </si>
  <si>
    <t>width</t>
  </si>
  <si>
    <t>Nominal frame</t>
  </si>
  <si>
    <t>Nominate if:</t>
  </si>
  <si>
    <r>
      <rPr>
        <i/>
        <sz val="8"/>
        <rFont val="Arial"/>
        <family val="2"/>
      </rPr>
      <t>Glazing</t>
    </r>
    <r>
      <rPr>
        <sz val="8"/>
        <rFont val="Arial"/>
        <family val="2"/>
      </rPr>
      <t xml:space="preserve"> as nominated on the GLAZING CALCULATOR</t>
    </r>
  </si>
  <si>
    <t>Existing (incl altered) glazing</t>
  </si>
  <si>
    <t>Existing glazing AND part of building work</t>
  </si>
  <si>
    <r>
      <t>Protocol B1.3.2 (</t>
    </r>
    <r>
      <rPr>
        <i/>
        <sz val="8"/>
        <rFont val="Arial"/>
        <family val="2"/>
      </rPr>
      <t>Total R-Value</t>
    </r>
    <r>
      <rPr>
        <sz val="8"/>
        <rFont val="Arial"/>
        <family val="2"/>
      </rPr>
      <t xml:space="preserve"> Target for existing, altered and/or added </t>
    </r>
    <r>
      <rPr>
        <i/>
        <sz val="8"/>
        <rFont val="Arial"/>
        <family val="2"/>
      </rPr>
      <t>external walls</t>
    </r>
    <r>
      <rPr>
        <sz val="8"/>
        <rFont val="Arial"/>
        <family val="2"/>
      </rPr>
      <t>)</t>
    </r>
  </si>
  <si>
    <t xml:space="preserve">BCA 3.12.1.2 Roofs, </t>
  </si>
  <si>
    <t xml:space="preserve">BCA 3.12.1.3 Roof lights, </t>
  </si>
  <si>
    <t>BCA 3.12.1.4 External walls,</t>
  </si>
  <si>
    <t>BCA 3.12.1.5 Floors,</t>
  </si>
  <si>
    <t>BCA 3.12.1.6 Attached Class 10a blds,</t>
  </si>
  <si>
    <t>Part 3.12.2 External glazing,</t>
  </si>
  <si>
    <t>Part 3.12.3 Building sealing,</t>
  </si>
  <si>
    <t>Part 3.12.4 Air movement,</t>
  </si>
  <si>
    <t>BCA 3.12.4.1(c): Exempt, building in Region D severe tropical cyclone area</t>
  </si>
  <si>
    <t>Part 3.12.5 Services,</t>
  </si>
  <si>
    <t>Phone</t>
  </si>
  <si>
    <t>Blank</t>
  </si>
  <si>
    <t>Notes that apply for this report:</t>
  </si>
  <si>
    <r>
      <rPr>
        <b/>
        <i/>
        <sz val="8"/>
        <color theme="0"/>
        <rFont val="Arial"/>
        <family val="2"/>
      </rPr>
      <t>Ventilation opening</t>
    </r>
    <r>
      <rPr>
        <b/>
        <sz val="8"/>
        <color theme="0"/>
        <rFont val="Arial"/>
        <family val="2"/>
      </rPr>
      <t xml:space="preserve"> size</t>
    </r>
  </si>
  <si>
    <t>Storey assessed:</t>
  </si>
  <si>
    <t>Ground</t>
  </si>
  <si>
    <t>Air movement data entry error count</t>
  </si>
  <si>
    <t>Dots</t>
  </si>
  <si>
    <t>ERROR=TRUE</t>
  </si>
  <si>
    <r>
      <rPr>
        <b/>
        <i/>
        <sz val="8"/>
        <rFont val="Arial"/>
        <family val="2"/>
      </rPr>
      <t xml:space="preserve">Ventilation opening </t>
    </r>
    <r>
      <rPr>
        <b/>
        <sz val="8"/>
        <rFont val="Arial"/>
        <family val="2"/>
      </rPr>
      <t>outcome for each habitable room</t>
    </r>
  </si>
  <si>
    <t>Countif=TRUE=error</t>
  </si>
  <si>
    <t>Sum of errors for all data rows in header</t>
  </si>
  <si>
    <t>Calculated less required area</t>
  </si>
  <si>
    <t>Dot countif</t>
  </si>
  <si>
    <t>BCA Table 3.12.2.1 GLAZING CALCULATOR air movement value(s):</t>
  </si>
  <si>
    <t>(does not apply for Climate Zone 6)</t>
  </si>
  <si>
    <r>
      <rPr>
        <u/>
        <sz val="8"/>
        <rFont val="Arial"/>
        <family val="2"/>
      </rPr>
      <t>AND</t>
    </r>
    <r>
      <rPr>
        <sz val="8"/>
        <rFont val="Arial"/>
        <family val="2"/>
      </rPr>
      <t xml:space="preserve"> ceiling fan(s) nominated for each habitable room:</t>
    </r>
  </si>
  <si>
    <t>3.12.4.3(c) Ceiling fan floor area</t>
  </si>
  <si>
    <t>900mm diam</t>
  </si>
  <si>
    <t>1200mm diam</t>
  </si>
  <si>
    <t>Air movement text for DATASHEET</t>
  </si>
  <si>
    <t>BCA Climate Zone 6:</t>
  </si>
  <si>
    <t>Countif="Existing+Yes"=no whole-of-building assessment</t>
  </si>
  <si>
    <r>
      <t xml:space="preserve">Min </t>
    </r>
    <r>
      <rPr>
        <i/>
        <sz val="8"/>
        <rFont val="Arial"/>
        <family val="2"/>
      </rPr>
      <t xml:space="preserve">required </t>
    </r>
    <r>
      <rPr>
        <sz val="8"/>
        <rFont val="Arial"/>
        <family val="2"/>
      </rPr>
      <t>m2</t>
    </r>
  </si>
  <si>
    <t>Note 1:</t>
  </si>
  <si>
    <r>
      <t xml:space="preserve">When </t>
    </r>
    <r>
      <rPr>
        <u/>
        <sz val="8"/>
        <rFont val="Arial"/>
        <family val="2"/>
      </rPr>
      <t>ALL</t>
    </r>
    <r>
      <rPr>
        <sz val="8"/>
        <rFont val="Arial"/>
        <family val="2"/>
      </rPr>
      <t xml:space="preserve"> </t>
    </r>
    <r>
      <rPr>
        <i/>
        <sz val="8"/>
        <rFont val="Arial"/>
        <family val="2"/>
      </rPr>
      <t>habitable rooms</t>
    </r>
    <r>
      <rPr>
        <sz val="8"/>
        <rFont val="Arial"/>
        <family val="2"/>
      </rPr>
      <t xml:space="preserve"> for the storey are included, using:</t>
    </r>
  </si>
  <si>
    <t>Note 2(a):</t>
  </si>
  <si>
    <t>Note 2(b):</t>
  </si>
  <si>
    <t>PLUS the following number of fans per habitable room:</t>
  </si>
  <si>
    <t>900mm diam, or</t>
  </si>
  <si>
    <t>Interpolated value</t>
  </si>
  <si>
    <t>or</t>
  </si>
  <si>
    <t>Protocol B2.1.1 or B2.1.2 outcome:</t>
  </si>
  <si>
    <t>GLAZING CALCULATOR outcomes:</t>
  </si>
  <si>
    <t>Conductance</t>
  </si>
  <si>
    <t>Solar Heat Gain</t>
  </si>
  <si>
    <t>Protocol B2.1.1 proportion calculation outcomes:</t>
  </si>
  <si>
    <t>External glazing</t>
  </si>
  <si>
    <t>Glazing area</t>
  </si>
  <si>
    <t>Note: non-glazed openings not included</t>
  </si>
  <si>
    <r>
      <t xml:space="preserve">Area of all </t>
    </r>
    <r>
      <rPr>
        <i/>
        <sz val="8"/>
        <rFont val="Arial"/>
        <family val="2"/>
      </rPr>
      <t>glazing</t>
    </r>
    <r>
      <rPr>
        <sz val="8"/>
        <rFont val="Arial"/>
        <family val="2"/>
      </rPr>
      <t xml:space="preserve"> of the storey</t>
    </r>
  </si>
  <si>
    <r>
      <t xml:space="preserve">Area of new </t>
    </r>
    <r>
      <rPr>
        <i/>
        <sz val="8"/>
        <rFont val="Arial"/>
        <family val="2"/>
      </rPr>
      <t>glazing</t>
    </r>
  </si>
  <si>
    <r>
      <t xml:space="preserve">Area of existing </t>
    </r>
    <r>
      <rPr>
        <i/>
        <sz val="8"/>
        <rFont val="Arial"/>
        <family val="2"/>
      </rPr>
      <t>glazing</t>
    </r>
  </si>
  <si>
    <r>
      <t xml:space="preserve">Percentage of new </t>
    </r>
    <r>
      <rPr>
        <i/>
        <sz val="8"/>
        <rFont val="Arial"/>
        <family val="2"/>
      </rPr>
      <t>glazing</t>
    </r>
    <r>
      <rPr>
        <sz val="8"/>
        <rFont val="Arial"/>
        <family val="2"/>
      </rPr>
      <t xml:space="preserve"> area:</t>
    </r>
  </si>
  <si>
    <t>Max Solar Heat Gain % allowance</t>
  </si>
  <si>
    <t>Total</t>
  </si>
  <si>
    <t>Values derived from modelling data</t>
  </si>
  <si>
    <t>Direct</t>
  </si>
  <si>
    <t>Suspended</t>
  </si>
  <si>
    <t>pre 2012</t>
  </si>
  <si>
    <t>2012 onward</t>
  </si>
  <si>
    <t>Outcome values used to interpolate case specific % allowance</t>
  </si>
  <si>
    <t>Use Concatenate to search</t>
  </si>
  <si>
    <t>Glazing calculator wall concession text</t>
  </si>
  <si>
    <t>BC_DataColumn</t>
  </si>
  <si>
    <t>BC_DataTable</t>
  </si>
  <si>
    <t>SGH Constant</t>
  </si>
  <si>
    <t>Direct Standard</t>
  </si>
  <si>
    <t>Direct High</t>
  </si>
  <si>
    <t>Suspended Standard</t>
  </si>
  <si>
    <t>Suspended High</t>
  </si>
  <si>
    <t>% Std to High</t>
  </si>
  <si>
    <t>Floor</t>
  </si>
  <si>
    <t>Direct proportion</t>
  </si>
  <si>
    <t>Suspended proportion</t>
  </si>
  <si>
    <t>Proportion for floor types</t>
  </si>
  <si>
    <t>Proportion for glazing types</t>
  </si>
  <si>
    <t>Adjust outcome for 0-10% and +80% thresholds</t>
  </si>
  <si>
    <t>0-10%</t>
  </si>
  <si>
    <t>&gt;80%</t>
  </si>
  <si>
    <r>
      <t>&gt;10%</t>
    </r>
    <r>
      <rPr>
        <b/>
        <sz val="8"/>
        <rFont val="Calibri"/>
        <family val="2"/>
      </rPr>
      <t>≤</t>
    </r>
    <r>
      <rPr>
        <b/>
        <sz val="8"/>
        <rFont val="Arial"/>
        <family val="2"/>
      </rPr>
      <t>80%</t>
    </r>
  </si>
  <si>
    <t>Glazing</t>
  </si>
  <si>
    <t>Pre 2012</t>
  </si>
  <si>
    <t>2012+</t>
  </si>
  <si>
    <t>Reverse calc 2 &amp; 3 for error checking</t>
  </si>
  <si>
    <t>SHG Constants</t>
  </si>
  <si>
    <t>Table 3.12.2.1 (Excerpt)</t>
  </si>
  <si>
    <t>Climate Zone</t>
  </si>
  <si>
    <t>BC_WAZones_Glaz</t>
  </si>
  <si>
    <t>BC_Glaz_F_A</t>
  </si>
  <si>
    <t>BC_SHG_Constants</t>
  </si>
  <si>
    <t>Convert Glaz Calc Air Movement input data to number</t>
  </si>
  <si>
    <t>(if large decimal points are used, could under report)</t>
  </si>
  <si>
    <t>Adjust for greater than Std Air Move</t>
  </si>
  <si>
    <t>Proportion of floor types</t>
  </si>
  <si>
    <t>Colour=difference in values</t>
  </si>
  <si>
    <t>Glazing calculator percentage outcomes</t>
  </si>
  <si>
    <t>Solar heat gain</t>
  </si>
  <si>
    <t>Check for #Value outcome and show as ""</t>
  </si>
  <si>
    <t>Altered roof construction</t>
  </si>
  <si>
    <r>
      <t xml:space="preserve">&gt;0.4 </t>
    </r>
    <r>
      <rPr>
        <sz val="8"/>
        <rFont val="Calibri"/>
        <family val="2"/>
      </rPr>
      <t>≤</t>
    </r>
    <r>
      <rPr>
        <sz val="8"/>
        <rFont val="Arial"/>
        <family val="2"/>
      </rPr>
      <t>0.6</t>
    </r>
  </si>
  <si>
    <t>Roof cover upper surf solar abs</t>
  </si>
  <si>
    <r>
      <t xml:space="preserve">Existing added insul </t>
    </r>
    <r>
      <rPr>
        <i/>
        <sz val="8"/>
        <rFont val="Arial"/>
        <family val="2"/>
      </rPr>
      <t>R-Value</t>
    </r>
  </si>
  <si>
    <t>Existing roof construction</t>
  </si>
  <si>
    <t>BC_RoofCover</t>
  </si>
  <si>
    <t>Total         R-Value Target</t>
  </si>
  <si>
    <t>Required Total         R-Value</t>
  </si>
  <si>
    <t>Zone 3, 4, 5, 6</t>
  </si>
  <si>
    <t>Zone 1</t>
  </si>
  <si>
    <t>Up higher for 3</t>
  </si>
  <si>
    <t>Cover</t>
  </si>
  <si>
    <t>Ceiling</t>
  </si>
  <si>
    <t>BC_RoofCeiling</t>
  </si>
  <si>
    <t>New metal cover</t>
  </si>
  <si>
    <t>New tiled cover</t>
  </si>
  <si>
    <t>New p/board cathedral ceiling lining u/s rafter</t>
  </si>
  <si>
    <t>New p/board cathedral exposed rafter ceiling</t>
  </si>
  <si>
    <t>New p/board flat ceiling</t>
  </si>
  <si>
    <t>Grey shade is roof construction that has been separated from metal+tile to metal, metal or tile added, or vent/unvent added</t>
  </si>
  <si>
    <t>Exist cover, new ceiling</t>
  </si>
  <si>
    <t>New cover, exist ceiling</t>
  </si>
  <si>
    <t>New</t>
  </si>
  <si>
    <t>Tiled cover, P/board cathedral ceiling lining u/s rafter - Unvent, Dn</t>
  </si>
  <si>
    <t>Tiled cover, P/board cathedral ceiling lining u/s rafter - Unvent, Up</t>
  </si>
  <si>
    <t>Metal cover, P/board cathedral ceiling lining u/s rafter - Unvent, Dn</t>
  </si>
  <si>
    <t>Metal cover, P/board cathedral ceiling lining u/s rafter - Unvent, Up</t>
  </si>
  <si>
    <t>Tiled cover, P/board cathedral exposed rafter ceiling - Unvent, Dn</t>
  </si>
  <si>
    <t>Tiled cover, P/board cathedral exposed rafter ceiling - Unvent, Up</t>
  </si>
  <si>
    <t>Metal cover, P/board cathedral exposed rafter ceiling - Unvent, Dn</t>
  </si>
  <si>
    <t>Metal cover, P/board cathedral exposed rafter ceiling - Unvent, Up</t>
  </si>
  <si>
    <t>Tiled cover, P/board flat ceiling - Vented, Dn</t>
  </si>
  <si>
    <t>Tiled cover, P/board flat ceiling - Vented, Up</t>
  </si>
  <si>
    <t>Tiled cover, P/board flat ceiling - Unvent, Dn</t>
  </si>
  <si>
    <t>Tiled cover, P/board flat ceiling - Unvent, Up</t>
  </si>
  <si>
    <t>Metal cover, P/board flat ceiling - Vented, Dn</t>
  </si>
  <si>
    <t>Metal cover, P/board flat ceiling - Vented, Up</t>
  </si>
  <si>
    <t>Metal cover, P/board flat ceiling - Unvent, Dn</t>
  </si>
  <si>
    <t>Metal cover, P/board flat ceiling - Unvent, Up</t>
  </si>
  <si>
    <t>BC_RoofAlter</t>
  </si>
  <si>
    <t>BC_RoofVent</t>
  </si>
  <si>
    <t>Values triggered by climate zone (1=Dn, 3,4,5,6=Up)</t>
  </si>
  <si>
    <t>Ventilation and           Heat flow</t>
  </si>
  <si>
    <t>Tiled cover, P/board cathedral ceiling lining u/s rafter - Unventilated, Dn: BCA Fig 3.12.1.1(a)</t>
  </si>
  <si>
    <t>Tiled cover, P/board cathedral ceiling lining u/s rafter - Unventilated, Up: BCA Fig 3.12.1.1(a)</t>
  </si>
  <si>
    <t>Metal cover, P/board cathedral ceiling lining u/s rafter - Unventilated, Dn: BCA Fig 3.12.1.1(a)</t>
  </si>
  <si>
    <t>Metal cover, P/board cathedral ceiling lining u/s rafter - Unventilated, Up: BCA Fig 3.12.1.1(a)</t>
  </si>
  <si>
    <t>Tiled cover, P/board cathedral exposed rafter ceiling - Unventilated, Dn: BCA Fig 3.12.1.1(b)</t>
  </si>
  <si>
    <t>Tiled cover, P/board cathedral exposed rafter ceiling - Unventilated, Up: BCA Fig 3.12.1.1(b)</t>
  </si>
  <si>
    <t>Metal cover, P/board cathedral exposed rafter ceiling - Unventilated, Dn: BCA Fig 3.12.1.1(b)</t>
  </si>
  <si>
    <t>Metal cover, P/board cathedral exposed rafter ceiling - Unventilated, Up: BCA Fig 3.12.1.1(b)</t>
  </si>
  <si>
    <t>Tiled cover, P/board flat ceiling - Ventilated, Dn: BCA Fig 3.12.1.1(c)</t>
  </si>
  <si>
    <t>Tiled cover, P/board flat ceiling - Ventilated, Up: BCA Fig 3.12.1.1(c)</t>
  </si>
  <si>
    <t>Tiled cover, P/board flat ceiling - Unventilated, Dn: BCA Fig 3.12.1.1(c)</t>
  </si>
  <si>
    <t>Tiled cover, P/board flat ceiling - Unventilated, Up: BCA Fig 3.12.1.1(c)</t>
  </si>
  <si>
    <t>Metal cover, P/board flat ceiling - Ventilated, Dn: BCA Fig 3.12.1.1(d)</t>
  </si>
  <si>
    <t>Metal cover, P/board flat ceiling - Ventilated, Up: BCA Fig 3.12.1.1(d)</t>
  </si>
  <si>
    <t>Metal cover, P/board flat ceiling - Unventilated, Dn: BCA Fig 3.12.1.1(d)</t>
  </si>
  <si>
    <t>Tiled cover, P/board cathedral ceiling lining u/s rafter - Vented, Up</t>
  </si>
  <si>
    <t>Tiled cover, P/board cathedral ceiling lining u/s rafter - Vented, Dn</t>
  </si>
  <si>
    <t>Tiled cover, P/board cathedral ceiling lining u/s rafter - Ventilated, Dn: BCA Fig 3.12.1.1(a)</t>
  </si>
  <si>
    <t>Tiled cover, P/board cathedral ceiling lining u/s rafter - Ventilated, Up: BCA Fig 3.12.1.1(a)</t>
  </si>
  <si>
    <t>Metal cover, P/board cathedral ceiling lining u/s rafter - Ventilated, Dn: BCA Fig 3.12.1.1(a)</t>
  </si>
  <si>
    <t>Metal cover, P/board cathedral ceiling lining u/s rafter - Ventilated, Up: BCA Fig 3.12.1.1(a)</t>
  </si>
  <si>
    <t>Metal cover, P/board cathedral ceiling lining u/s rafter - Vented, Dn</t>
  </si>
  <si>
    <t>Metal cover, P/board cathedral ceiling lining u/s rafter - Vented, Up</t>
  </si>
  <si>
    <t>Tiled cover, P/board cathedral exposed rafter ceiling - Vented, Dn</t>
  </si>
  <si>
    <t>Tiled cover, P/board cathedral exposed rafter ceiling - Vented, Up</t>
  </si>
  <si>
    <t>Tiled cover, P/board cathedral exposed rafter ceiling - Ventilated, Dn: BCA Fig 3.12.1.1(b)</t>
  </si>
  <si>
    <t>Tiled cover, P/board cathedral exposed rafter ceiling - Ventilated, Up: BCA Fig 3.12.1.1(b)</t>
  </si>
  <si>
    <t>Metal cover, P/board cathedral exposed rafter ceiling - Vented, Dn</t>
  </si>
  <si>
    <t>Metal cover, P/board cathedral exposed rafter ceiling - Vented, Up</t>
  </si>
  <si>
    <t>Metal cover, P/board cathedral exposed rafter ceiling - Ventilated, Dn: BCA Fig 3.12.1.1(b)</t>
  </si>
  <si>
    <t>Metal cover, P/board cathedral exposed rafter ceiling - Ventilated, Up: BCA Fig 3.12.1.1(b)</t>
  </si>
  <si>
    <t>New cover, new ceiling</t>
  </si>
  <si>
    <t>Value linked Existing roof construction 1</t>
  </si>
  <si>
    <t>New target no less than existing roof Total R-Value</t>
  </si>
  <si>
    <t>Existing 1</t>
  </si>
  <si>
    <t>Existing 2</t>
  </si>
  <si>
    <t>Total R-Value Target output, allows report to have iserror function</t>
  </si>
  <si>
    <t>Sub-total U*A</t>
  </si>
  <si>
    <t>Sub-total A</t>
  </si>
  <si>
    <t>Total A</t>
  </si>
  <si>
    <t>Total U*A</t>
  </si>
  <si>
    <t>Total U*A/Total A - for each space</t>
  </si>
  <si>
    <t>Total U*A/Total A - for TOTAL space</t>
  </si>
  <si>
    <t>Convert to Total R-Value - for each space</t>
  </si>
  <si>
    <t>Convert to Total R-Value - for TOTAL space</t>
  </si>
  <si>
    <t>Each space</t>
  </si>
  <si>
    <t>Error checking TRUE/FALSE</t>
  </si>
  <si>
    <t>Space descriptions</t>
  </si>
  <si>
    <t>Existing roof</t>
  </si>
  <si>
    <t>Exist R-Value</t>
  </si>
  <si>
    <t>Vent</t>
  </si>
  <si>
    <t>Abs</t>
  </si>
  <si>
    <t>Add roof</t>
  </si>
  <si>
    <t>Space area totals (m2)</t>
  </si>
  <si>
    <t>Added roof construction</t>
  </si>
  <si>
    <t>Area (m2) existing, altered and/or added roof in space</t>
  </si>
  <si>
    <t>ALL spaces</t>
  </si>
  <si>
    <r>
      <rPr>
        <b/>
        <i/>
        <sz val="8"/>
        <color theme="0"/>
        <rFont val="Arial"/>
        <family val="2"/>
      </rPr>
      <t>Habitable room(s)</t>
    </r>
    <r>
      <rPr>
        <b/>
        <sz val="8"/>
        <color theme="0"/>
        <rFont val="Arial"/>
        <family val="2"/>
      </rPr>
      <t xml:space="preserve"> nominated as part of the building work for the storey</t>
    </r>
  </si>
  <si>
    <t>Space description</t>
  </si>
  <si>
    <t>(second option)</t>
  </si>
  <si>
    <t>Alteration to existing roof</t>
  </si>
  <si>
    <t>Ceiling insulation adjustment for penetration percentage</t>
  </si>
  <si>
    <t>&lt;0.5%</t>
  </si>
  <si>
    <r>
      <rPr>
        <sz val="8"/>
        <rFont val="Calibri"/>
        <family val="2"/>
      </rPr>
      <t>≥</t>
    </r>
    <r>
      <rPr>
        <sz val="8"/>
        <rFont val="Arial"/>
        <family val="2"/>
      </rPr>
      <t>0.5% and &lt;1.0%</t>
    </r>
  </si>
  <si>
    <r>
      <rPr>
        <sz val="8"/>
        <rFont val="Calibri"/>
        <family val="2"/>
      </rPr>
      <t>≥</t>
    </r>
    <r>
      <rPr>
        <sz val="8"/>
        <rFont val="Arial"/>
        <family val="2"/>
      </rPr>
      <t>4.0% and &lt;5.0%</t>
    </r>
  </si>
  <si>
    <r>
      <rPr>
        <sz val="8"/>
        <rFont val="Calibri"/>
        <family val="2"/>
      </rPr>
      <t>≥</t>
    </r>
    <r>
      <rPr>
        <sz val="8"/>
        <rFont val="Arial"/>
        <family val="2"/>
      </rPr>
      <t>1.0% and &lt;1.5%</t>
    </r>
  </si>
  <si>
    <r>
      <rPr>
        <sz val="8"/>
        <rFont val="Calibri"/>
        <family val="2"/>
      </rPr>
      <t>≥</t>
    </r>
    <r>
      <rPr>
        <sz val="8"/>
        <rFont val="Arial"/>
        <family val="2"/>
      </rPr>
      <t>1.5% and &lt;2.0%</t>
    </r>
  </si>
  <si>
    <r>
      <rPr>
        <sz val="8"/>
        <rFont val="Calibri"/>
        <family val="2"/>
      </rPr>
      <t>≥</t>
    </r>
    <r>
      <rPr>
        <sz val="8"/>
        <rFont val="Arial"/>
        <family val="2"/>
      </rPr>
      <t>2.0%nd &lt;2.5%</t>
    </r>
  </si>
  <si>
    <r>
      <rPr>
        <sz val="8"/>
        <rFont val="Calibri"/>
        <family val="2"/>
      </rPr>
      <t>≥</t>
    </r>
    <r>
      <rPr>
        <sz val="8"/>
        <rFont val="Arial"/>
        <family val="2"/>
      </rPr>
      <t>2.5% and &lt;3.0%</t>
    </r>
  </si>
  <si>
    <r>
      <rPr>
        <sz val="8"/>
        <rFont val="Calibri"/>
        <family val="2"/>
      </rPr>
      <t>≥</t>
    </r>
    <r>
      <rPr>
        <sz val="8"/>
        <rFont val="Arial"/>
        <family val="2"/>
      </rPr>
      <t>3.0%nd &lt;4.0%</t>
    </r>
  </si>
  <si>
    <t>Table 3.12.1.1b</t>
  </si>
  <si>
    <t>Less than</t>
  </si>
  <si>
    <t>5.0% or more</t>
  </si>
  <si>
    <t>More than</t>
  </si>
  <si>
    <t>Not permitted</t>
  </si>
  <si>
    <t>BC_PenRange1</t>
  </si>
  <si>
    <t>BC_PenRange2</t>
  </si>
  <si>
    <t>BC_InsRange2</t>
  </si>
  <si>
    <t>BC_InsValue2</t>
  </si>
  <si>
    <t>BC_PenRange8</t>
  </si>
  <si>
    <t>BC_InsValue8</t>
  </si>
  <si>
    <t>BC_InsRange8</t>
  </si>
  <si>
    <t>BC_PenRange7</t>
  </si>
  <si>
    <t>BC_InsValue7</t>
  </si>
  <si>
    <t>BC_InsRange7</t>
  </si>
  <si>
    <t>BC_PenRange6</t>
  </si>
  <si>
    <t>BC_InsValue6</t>
  </si>
  <si>
    <t>BC_InsRange6</t>
  </si>
  <si>
    <t>BC_PenRange5</t>
  </si>
  <si>
    <t>BC_InsValue5</t>
  </si>
  <si>
    <t>BC_InsRange5</t>
  </si>
  <si>
    <t>BC_PenRange4</t>
  </si>
  <si>
    <t>BC_InsValue4</t>
  </si>
  <si>
    <t>BC_InsRange4</t>
  </si>
  <si>
    <t>BC_PenRange3</t>
  </si>
  <si>
    <t>BC_InsRange3</t>
  </si>
  <si>
    <t>BC_InsValue3</t>
  </si>
  <si>
    <t>Roof construction (uninsulated)</t>
  </si>
  <si>
    <t>Countif TRUE (inside box)</t>
  </si>
  <si>
    <t>Used to hide Total R-Values for data error</t>
  </si>
  <si>
    <t>No data entered check = "" outcome</t>
  </si>
  <si>
    <t>Roof 1B</t>
  </si>
  <si>
    <t>Roof 1A</t>
  </si>
  <si>
    <t>Roof 2A</t>
  </si>
  <si>
    <t>Roof 2B</t>
  </si>
  <si>
    <t>Roof 1</t>
  </si>
  <si>
    <t>Roof 2</t>
  </si>
  <si>
    <t>Roof 3</t>
  </si>
  <si>
    <t>Roof 4</t>
  </si>
  <si>
    <t>Blank data fields on report</t>
  </si>
  <si>
    <t>Use to show data entry missing</t>
  </si>
  <si>
    <t>Air space</t>
  </si>
  <si>
    <t>Area (m2) existing, altered and/or added ext wall in space</t>
  </si>
  <si>
    <t>Existing wall construction</t>
  </si>
  <si>
    <t>Added wall construction</t>
  </si>
  <si>
    <t>Altered wall construction</t>
  </si>
  <si>
    <t>Shading as per BCA Fig 3.12.1.2</t>
  </si>
  <si>
    <t>Alteration to existing wall</t>
  </si>
  <si>
    <t>Metal cover, P/board flat ceiling - Unventilated, Up: BCA Fig 3.12.1.1(d)</t>
  </si>
  <si>
    <t>Calculated data interpolations shown on Report</t>
  </si>
  <si>
    <t>Adjust for 2012+ glazing thresholds</t>
  </si>
  <si>
    <t>Any error in any column</t>
  </si>
  <si>
    <t>Proportioning of glazing types</t>
  </si>
  <si>
    <t>TOTAL Calc is less than Req'd</t>
  </si>
  <si>
    <t>Outdoor air film</t>
  </si>
  <si>
    <t>Roof light calculations</t>
  </si>
  <si>
    <r>
      <t xml:space="preserve">For </t>
    </r>
    <r>
      <rPr>
        <b/>
        <sz val="8"/>
        <rFont val="Arial"/>
        <family val="2"/>
      </rPr>
      <t>Protocol B1.3.1</t>
    </r>
    <r>
      <rPr>
        <sz val="8"/>
        <rFont val="Arial"/>
        <family val="2"/>
      </rPr>
      <t xml:space="preserve"> this DATASHEET reports the </t>
    </r>
    <r>
      <rPr>
        <i/>
        <sz val="8"/>
        <rFont val="Arial"/>
        <family val="2"/>
      </rPr>
      <t xml:space="preserve">Total R-Value </t>
    </r>
    <r>
      <rPr>
        <sz val="8"/>
        <rFont val="Arial"/>
        <family val="2"/>
      </rPr>
      <t xml:space="preserve">Target when altering an existing </t>
    </r>
    <r>
      <rPr>
        <i/>
        <sz val="8"/>
        <rFont val="Arial"/>
        <family val="2"/>
      </rPr>
      <t>external wall</t>
    </r>
    <r>
      <rPr>
        <sz val="8"/>
        <rFont val="Arial"/>
        <family val="2"/>
      </rPr>
      <t>.</t>
    </r>
  </si>
  <si>
    <r>
      <t xml:space="preserve">For </t>
    </r>
    <r>
      <rPr>
        <b/>
        <sz val="8"/>
        <rFont val="Arial"/>
        <family val="2"/>
      </rPr>
      <t>Protocol B1.3.2</t>
    </r>
    <r>
      <rPr>
        <sz val="8"/>
        <rFont val="Arial"/>
        <family val="2"/>
      </rPr>
      <t xml:space="preserve"> this DATASHEET reports the </t>
    </r>
    <r>
      <rPr>
        <i/>
        <sz val="8"/>
        <rFont val="Arial"/>
        <family val="2"/>
      </rPr>
      <t>Total R-Value</t>
    </r>
    <r>
      <rPr>
        <sz val="8"/>
        <rFont val="Arial"/>
        <family val="2"/>
      </rPr>
      <t xml:space="preserve"> Target when there is existing, altered and/or added </t>
    </r>
    <r>
      <rPr>
        <i/>
        <sz val="8"/>
        <rFont val="Arial"/>
        <family val="2"/>
      </rPr>
      <t>external wall</t>
    </r>
    <r>
      <rPr>
        <sz val="8"/>
        <rFont val="Arial"/>
        <family val="2"/>
      </rPr>
      <t xml:space="preserve"> in the same space.</t>
    </r>
  </si>
  <si>
    <t>BC_WallAlt</t>
  </si>
  <si>
    <t>BEWARE: if values are changed, manual adjustment of correlation list below is also required</t>
  </si>
  <si>
    <t>New external weatherboard cladding, Existing frame and p/board internal lining</t>
  </si>
  <si>
    <t>Framed, Weatherboard external cladding, P/board internal lining: BCA Fig 3.12.1.3(a)</t>
  </si>
  <si>
    <t>Framed, Fibre cement external cladding, P/board internal lining: BCA Fig 3.12.1.3(b)</t>
  </si>
  <si>
    <t>New external fibre cement cladding, Existing frame and p/board internal lining</t>
  </si>
  <si>
    <t>Brick veneer, Ext clay masonry, Int frame with p/board internal lining: BCA Fig 3.12.1.3(c)</t>
  </si>
  <si>
    <t>R/b veneer, Clad ext frame, Int clay masonry with render or p/board lining: BCA Fig 3.12.1.3(f)</t>
  </si>
  <si>
    <t>New external clay masonry, Existing internal frame with p/board lining</t>
  </si>
  <si>
    <t>New external clay masonry, Existing internal clay masonry with render or p/board lining</t>
  </si>
  <si>
    <t>New clad external frame, Existing internal clay masonry with render or p/board lining</t>
  </si>
  <si>
    <t>Existing external fibre cement cladding and frame, New p/board internal lining</t>
  </si>
  <si>
    <t>Existing external clay masonry, New internal frame with p/board lining</t>
  </si>
  <si>
    <t>Existing clad external frame, New internal clay masonry with render or p/board lining</t>
  </si>
  <si>
    <t>Wall 1A</t>
  </si>
  <si>
    <t xml:space="preserve"> match test to check new/exist combinations (beware: driven by new/exist selection)</t>
  </si>
  <si>
    <t>Existing external clay masonry, New internal clay masonry with render or p/board lining</t>
  </si>
  <si>
    <t>Existing external weatherboard cladding and frame , New p/board internal lining</t>
  </si>
  <si>
    <t>match building work to BCA description</t>
  </si>
  <si>
    <t>add R-Value tag to end of description</t>
  </si>
  <si>
    <t>Adding render and/or cladding to an existing external wall</t>
  </si>
  <si>
    <t>Wall 1B</t>
  </si>
  <si>
    <t>Wall 2B</t>
  </si>
  <si>
    <t>Wall 2A</t>
  </si>
  <si>
    <t>Cavity, Ext clay masonry, Int clay masonry with render or p/board lining: BCA Fig 3.12.1.3(e)</t>
  </si>
  <si>
    <t>Wall 1</t>
  </si>
  <si>
    <t>Wall 2</t>
  </si>
  <si>
    <t>Wall 3</t>
  </si>
  <si>
    <t>Wall 4</t>
  </si>
  <si>
    <t>countif=TRUE</t>
  </si>
  <si>
    <t>linked value</t>
  </si>
  <si>
    <t>Altered 1A</t>
  </si>
  <si>
    <t>Altered 1B</t>
  </si>
  <si>
    <t>Altered 2A</t>
  </si>
  <si>
    <t>Altered 2B</t>
  </si>
  <si>
    <t>Added 3</t>
  </si>
  <si>
    <t>Added 4</t>
  </si>
  <si>
    <t>Added R</t>
  </si>
  <si>
    <t>Shading</t>
  </si>
  <si>
    <t>shading to all walls invoked.</t>
  </si>
  <si>
    <t>Wall construction (uninsulated)</t>
  </si>
  <si>
    <r>
      <t xml:space="preserve">less the </t>
    </r>
    <r>
      <rPr>
        <i/>
        <sz val="8"/>
        <rFont val="Arial"/>
        <family val="2"/>
      </rPr>
      <t>R-Value</t>
    </r>
    <r>
      <rPr>
        <sz val="8"/>
        <rFont val="Arial"/>
        <family val="2"/>
      </rPr>
      <t xml:space="preserve"> of:</t>
    </r>
  </si>
  <si>
    <t>Existing external clay masonry and frame, New internal p/board lining</t>
  </si>
  <si>
    <t>New wall = BCA description</t>
  </si>
  <si>
    <t>Existing wall MASTER TEXT = PINK</t>
  </si>
  <si>
    <t>Alteration to wall MASTER TEXT = PINK</t>
  </si>
  <si>
    <r>
      <t xml:space="preserve">Existing wall added to (note adjustment to add insulation </t>
    </r>
    <r>
      <rPr>
        <i/>
        <sz val="8"/>
        <rFont val="Arial"/>
        <family val="2"/>
      </rPr>
      <t xml:space="preserve">R-Value </t>
    </r>
    <r>
      <rPr>
        <sz val="8"/>
        <rFont val="Arial"/>
        <family val="2"/>
      </rPr>
      <t>below)</t>
    </r>
  </si>
  <si>
    <t>BC_WallAlt_FC</t>
  </si>
  <si>
    <t>BC_WallAlt_RBV</t>
  </si>
  <si>
    <t>BC_WallAlt_C</t>
  </si>
  <si>
    <t>BC_WallAlt_BV</t>
  </si>
  <si>
    <t>BC_WallAlt_WB</t>
  </si>
  <si>
    <t>BC_WallAlt_WB_Match</t>
  </si>
  <si>
    <t>BC_WallAlt_FC_Match</t>
  </si>
  <si>
    <t>BC_WallAlt_BV_Match</t>
  </si>
  <si>
    <t>BC_WallAlt_C_Match</t>
  </si>
  <si>
    <t>BC_WallAlt_RBV_Match</t>
  </si>
  <si>
    <t>R-Value</t>
  </si>
  <si>
    <t>No data entered error check</t>
  </si>
  <si>
    <t>Note 1</t>
  </si>
  <si>
    <t>Note 2</t>
  </si>
  <si>
    <t>Note 3</t>
  </si>
  <si>
    <t>The Protocol only supports external wall options listed in BCA Table 3.12.1.3a.</t>
  </si>
  <si>
    <t>Worksheet publisher notices</t>
  </si>
  <si>
    <t>Countif: select WxL or D</t>
  </si>
  <si>
    <t>Percentage of floor area</t>
  </si>
  <si>
    <t>Total area of roof lights as a percentage of floor area</t>
  </si>
  <si>
    <t>Shaft index</t>
  </si>
  <si>
    <t>Total area of roof lights = percentage</t>
  </si>
  <si>
    <t>Shaft index per roof light</t>
  </si>
  <si>
    <t>&lt;0.5</t>
  </si>
  <si>
    <t>0.5 &lt;1.0</t>
  </si>
  <si>
    <t>1.0 &lt; 2.5</t>
  </si>
  <si>
    <t>&gt;2.5</t>
  </si>
  <si>
    <t>Total system SHGC</t>
  </si>
  <si>
    <t>Total system U-Value</t>
  </si>
  <si>
    <t>Not more than 0.83</t>
  </si>
  <si>
    <t>Not more than 0.55</t>
  </si>
  <si>
    <t>Not more than 0.43</t>
  </si>
  <si>
    <t>Not more than 0.34</t>
  </si>
  <si>
    <t>Not more than 0.69</t>
  </si>
  <si>
    <t>Not more than 0.54</t>
  </si>
  <si>
    <t>Not more than 0.72</t>
  </si>
  <si>
    <t>Not more than 0.57</t>
  </si>
  <si>
    <t>Not more than 2%</t>
  </si>
  <si>
    <t>Not more than 3%</t>
  </si>
  <si>
    <t>Not more than 4%</t>
  </si>
  <si>
    <t>Not more than 5%</t>
  </si>
  <si>
    <t>BC_RLight_Percent</t>
  </si>
  <si>
    <t>BC_RLight_SHGC</t>
  </si>
  <si>
    <t>BC_RLight_U</t>
  </si>
  <si>
    <t>BC_Rlight_Shaft</t>
  </si>
  <si>
    <t>Not more than 8.5</t>
  </si>
  <si>
    <t>Not more than 3.4</t>
  </si>
  <si>
    <t>Not more than 4.3</t>
  </si>
  <si>
    <t>Not more than 5.7</t>
  </si>
  <si>
    <t>Storey</t>
  </si>
  <si>
    <t>Storey that applies for the nominated space</t>
  </si>
  <si>
    <r>
      <rPr>
        <i/>
        <sz val="8"/>
        <rFont val="Arial"/>
        <family val="2"/>
      </rPr>
      <t xml:space="preserve">Floor area </t>
    </r>
    <r>
      <rPr>
        <sz val="8"/>
        <rFont val="Arial"/>
        <family val="2"/>
      </rPr>
      <t>of the space (m2)</t>
    </r>
  </si>
  <si>
    <t>BC_Storeys</t>
  </si>
  <si>
    <t>First</t>
  </si>
  <si>
    <t>Second</t>
  </si>
  <si>
    <t>Third</t>
  </si>
  <si>
    <r>
      <rPr>
        <sz val="8"/>
        <rFont val="Arial"/>
        <family val="2"/>
      </rPr>
      <t xml:space="preserve">For </t>
    </r>
    <r>
      <rPr>
        <b/>
        <sz val="8"/>
        <rFont val="Arial"/>
        <family val="2"/>
      </rPr>
      <t>Protocol B1.2</t>
    </r>
    <r>
      <rPr>
        <sz val="8"/>
        <rFont val="Arial"/>
        <family val="2"/>
      </rPr>
      <t xml:space="preserve"> this DATASHEET reports minimum performance when roof light(s) are added or altered, and when the building work alters the way existing</t>
    </r>
    <r>
      <rPr>
        <i/>
        <sz val="8"/>
        <rFont val="Arial"/>
        <family val="2"/>
      </rPr>
      <t xml:space="preserve"> roof light</t>
    </r>
    <r>
      <rPr>
        <sz val="8"/>
        <rFont val="Arial"/>
        <family val="2"/>
      </rPr>
      <t xml:space="preserve"> compliance is achieved.</t>
    </r>
  </si>
  <si>
    <t>Storey summary</t>
  </si>
  <si>
    <r>
      <t xml:space="preserve">Aggregate area of </t>
    </r>
    <r>
      <rPr>
        <b/>
        <i/>
        <sz val="8"/>
        <rFont val="Arial"/>
        <family val="2"/>
      </rPr>
      <t>roof lights</t>
    </r>
    <r>
      <rPr>
        <b/>
        <sz val="8"/>
        <rFont val="Arial"/>
        <family val="2"/>
      </rPr>
      <t xml:space="preserve"> serving a storey as a percentage of the total storey floor area</t>
    </r>
  </si>
  <si>
    <t>3.12.1.3(a) Fail</t>
  </si>
  <si>
    <t>100=value to allow MATCH search to find highest value</t>
  </si>
  <si>
    <t>Aggregate area percentage of storey</t>
  </si>
  <si>
    <t>Floor area of the storey</t>
  </si>
  <si>
    <t>3.12.1.3(a) outcome</t>
  </si>
  <si>
    <t>Nominate storey (m2)</t>
  </si>
  <si>
    <t>Roof and ceiling opening size: Calculations presume the same size applies (see Table 3.12.1.2 Notes 1 and 3).</t>
  </si>
  <si>
    <t>Error check sum</t>
  </si>
  <si>
    <t>Error checking</t>
  </si>
  <si>
    <t>L</t>
  </si>
  <si>
    <t>Shaft</t>
  </si>
  <si>
    <t>Count if error space check</t>
  </si>
  <si>
    <t>Storey error check</t>
  </si>
  <si>
    <t>Overall check</t>
  </si>
  <si>
    <t>FLOOR DATASHEET</t>
  </si>
  <si>
    <t>Area (m2) existing and added floor in  the space</t>
  </si>
  <si>
    <t>Suspended concrete floor</t>
  </si>
  <si>
    <t>Air movement</t>
  </si>
  <si>
    <t>Roof</t>
  </si>
  <si>
    <t>Roof lights</t>
  </si>
  <si>
    <t>External wall</t>
  </si>
  <si>
    <t>Suspended timber floor</t>
  </si>
  <si>
    <t>9mm fibre-cement sheet</t>
  </si>
  <si>
    <t>190mm concrete masonry</t>
  </si>
  <si>
    <t>Single skin masonry</t>
  </si>
  <si>
    <t>Unenclosed</t>
  </si>
  <si>
    <t>Enclosed - &gt;0.6m and ≤1.2m</t>
  </si>
  <si>
    <t>Enclosed - Not more than 0.6m</t>
  </si>
  <si>
    <t>Enclosed - &gt;1.2m and ≤2.4m</t>
  </si>
  <si>
    <t>Table 3.12.1.5</t>
  </si>
  <si>
    <t>Cavity masonry</t>
  </si>
  <si>
    <t>BC_Floor_Enclose</t>
  </si>
  <si>
    <t>Floor type</t>
  </si>
  <si>
    <t>Enclosure and height</t>
  </si>
  <si>
    <t>Enclosing material</t>
  </si>
  <si>
    <t>BC_Floor_TimberDn</t>
  </si>
  <si>
    <t>BC_Floor_TimberUp</t>
  </si>
  <si>
    <t>BC_Floor_ConcUp</t>
  </si>
  <si>
    <t>BC_Floor_ConcDn</t>
  </si>
  <si>
    <t>BC_Floor_Type</t>
  </si>
  <si>
    <t>BC_Floor_EncloseHt</t>
  </si>
  <si>
    <t>Formula to generate Total R-Value and allow iserror for report</t>
  </si>
  <si>
    <t>Floor 1</t>
  </si>
  <si>
    <t>Floor 2</t>
  </si>
  <si>
    <t>Floor 3</t>
  </si>
  <si>
    <t>Floor 4</t>
  </si>
  <si>
    <t>Existing floor construction</t>
  </si>
  <si>
    <t>Added floor construction</t>
  </si>
  <si>
    <t>Table 3.12.1.4</t>
  </si>
  <si>
    <t>BC_FloorR</t>
  </si>
  <si>
    <t>Enclose</t>
  </si>
  <si>
    <t>Material</t>
  </si>
  <si>
    <t>overall error check</t>
  </si>
  <si>
    <t>No data entered = "" check</t>
  </si>
  <si>
    <t>Count = TRUE</t>
  </si>
  <si>
    <t>GLAZING &amp; AIR MOVEMENT DATASHEET</t>
  </si>
  <si>
    <r>
      <t xml:space="preserve">For </t>
    </r>
    <r>
      <rPr>
        <b/>
        <sz val="8"/>
        <rFont val="Arial"/>
        <family val="2"/>
      </rPr>
      <t>Protocol B2.1.1 and B2.1.2</t>
    </r>
    <r>
      <rPr>
        <sz val="8"/>
        <rFont val="Arial"/>
        <family val="2"/>
      </rPr>
      <t xml:space="preserve"> this DATASHEET reports </t>
    </r>
    <r>
      <rPr>
        <i/>
        <sz val="8"/>
        <rFont val="Arial"/>
        <family val="2"/>
      </rPr>
      <t>glazing</t>
    </r>
    <r>
      <rPr>
        <sz val="8"/>
        <rFont val="Arial"/>
        <family val="2"/>
      </rPr>
      <t xml:space="preserve"> that is nominated as existing to allow for verification of performance values, and calculated air movement values, used on the GLAZING CALCULATOR report.</t>
    </r>
  </si>
  <si>
    <r>
      <t xml:space="preserve">For </t>
    </r>
    <r>
      <rPr>
        <b/>
        <sz val="8"/>
        <rFont val="Arial"/>
        <family val="2"/>
      </rPr>
      <t>Protocol B4.1</t>
    </r>
    <r>
      <rPr>
        <sz val="8"/>
        <rFont val="Arial"/>
        <family val="2"/>
      </rPr>
      <t xml:space="preserve"> this DATASHEET reports air movement calculations for nominated </t>
    </r>
    <r>
      <rPr>
        <i/>
        <sz val="8"/>
        <rFont val="Arial"/>
        <family val="2"/>
      </rPr>
      <t>habitable rooms</t>
    </r>
    <r>
      <rPr>
        <sz val="8"/>
        <rFont val="Arial"/>
        <family val="2"/>
      </rPr>
      <t>.</t>
    </r>
  </si>
  <si>
    <t>Nominal</t>
  </si>
  <si>
    <t>GLAZING &amp; AIR M/MENT D/SHEET(s) report calculations per storey for:</t>
  </si>
  <si>
    <t>New glazing percentage:</t>
  </si>
  <si>
    <t>Calculated m2</t>
  </si>
  <si>
    <t>Nominal Total         R-Value</t>
  </si>
  <si>
    <t>BCA 3.12.3(b): Exempt, evaporative cooler is the only means of air-conditioning the building</t>
  </si>
  <si>
    <t>Version</t>
  </si>
  <si>
    <t>Text used except when exemption=YES</t>
  </si>
  <si>
    <t>Error message</t>
  </si>
  <si>
    <t>Cat D exemption cannot be invoked for the nominated climate zone</t>
  </si>
  <si>
    <t>Existing roof can be zero, use isblank</t>
  </si>
  <si>
    <t xml:space="preserve">Note 1:   </t>
  </si>
  <si>
    <t>Total System
U-Value</t>
  </si>
  <si>
    <t>have at least one other</t>
  </si>
  <si>
    <t>fabric area nominated</t>
  </si>
  <si>
    <t>COMPLIANCE REPORT</t>
  </si>
  <si>
    <t>WA Alterations &amp; Additions Protocol for Energy Efficiency (Protocol)</t>
  </si>
  <si>
    <t>Protocol B1.5.1 (existing and altered attached Class 10a buildings)</t>
  </si>
  <si>
    <t>Protocol B1.2 (existing and altered roof lights)</t>
  </si>
  <si>
    <t>BCA edition (year)</t>
  </si>
  <si>
    <t>Ref dwgs</t>
  </si>
  <si>
    <t>Building site</t>
  </si>
  <si>
    <t>Project ref</t>
  </si>
  <si>
    <t>Job No.</t>
  </si>
  <si>
    <t>Protocol version (date)</t>
  </si>
  <si>
    <t>and Protocol alternative(s):</t>
  </si>
  <si>
    <r>
      <t>ROOF DATASHEET reports</t>
    </r>
    <r>
      <rPr>
        <i/>
        <sz val="8"/>
        <rFont val="Arial"/>
        <family val="2"/>
      </rPr>
      <t xml:space="preserve"> Total R-Value</t>
    </r>
    <r>
      <rPr>
        <sz val="8"/>
        <rFont val="Arial"/>
        <family val="2"/>
      </rPr>
      <t xml:space="preserve"> Target calculations</t>
    </r>
  </si>
  <si>
    <t>B3.1 (existing or altered building sealing)</t>
  </si>
  <si>
    <t>Protocol B4.1.1 (existing and altered air movement)</t>
  </si>
  <si>
    <t>ROOF DATASHEET reports the nominated maximum percentage ceiling uninsulated calculation</t>
  </si>
  <si>
    <t>BC_Y</t>
  </si>
  <si>
    <t>Error message remove for isblank+No</t>
  </si>
  <si>
    <t>(No option deleted to simplify reporting)</t>
  </si>
  <si>
    <r>
      <t xml:space="preserve">When each </t>
    </r>
    <r>
      <rPr>
        <i/>
        <sz val="8"/>
        <rFont val="Arial"/>
        <family val="2"/>
      </rPr>
      <t>habitable room</t>
    </r>
    <r>
      <rPr>
        <sz val="8"/>
        <rFont val="Arial"/>
        <family val="2"/>
      </rPr>
      <t xml:space="preserve"> that is part of the building work is included, using:</t>
    </r>
  </si>
  <si>
    <r>
      <t>Min</t>
    </r>
    <r>
      <rPr>
        <i/>
        <sz val="8"/>
        <rFont val="Arial"/>
        <family val="2"/>
      </rPr>
      <t xml:space="preserve"> R-Value
</t>
    </r>
    <r>
      <rPr>
        <sz val="8"/>
        <rFont val="Arial"/>
        <family val="2"/>
      </rPr>
      <t>of ceiling level added insulation</t>
    </r>
  </si>
  <si>
    <t>Additional notes that apply for this DATASHEET:</t>
  </si>
  <si>
    <t>Added insulation calculation for nominated roof(s) construction:</t>
  </si>
  <si>
    <r>
      <t xml:space="preserve">less the                  </t>
    </r>
    <r>
      <rPr>
        <i/>
        <sz val="8"/>
        <rFont val="Arial"/>
        <family val="2"/>
      </rPr>
      <t xml:space="preserve">   R-Value</t>
    </r>
    <r>
      <rPr>
        <sz val="8"/>
        <rFont val="Arial"/>
        <family val="2"/>
      </rPr>
      <t xml:space="preserve"> of:</t>
    </r>
  </si>
  <si>
    <t>Insulation at underside roof cover</t>
  </si>
  <si>
    <r>
      <t xml:space="preserve">Min </t>
    </r>
    <r>
      <rPr>
        <b/>
        <i/>
        <sz val="8"/>
        <rFont val="Arial"/>
        <family val="2"/>
      </rPr>
      <t>R-Value</t>
    </r>
    <r>
      <rPr>
        <b/>
        <sz val="8"/>
        <rFont val="Arial"/>
        <family val="2"/>
      </rPr>
      <t xml:space="preserve"> adjusted for ceiling area uninsulated</t>
    </r>
  </si>
  <si>
    <r>
      <t xml:space="preserve">BCA Fig 3.12.1.1(a): Likely common existing tiled roof cover and/or ventilated option roof constructions have been added to roof types shown, calculated </t>
    </r>
    <r>
      <rPr>
        <i/>
        <sz val="8"/>
        <rFont val="Arial"/>
        <family val="2"/>
      </rPr>
      <t xml:space="preserve">Total R-Values </t>
    </r>
    <r>
      <rPr>
        <sz val="8"/>
        <rFont val="Arial"/>
        <family val="2"/>
      </rPr>
      <t>declared above.</t>
    </r>
  </si>
  <si>
    <r>
      <t>BCA Fig 3.12.1.1 (b): Likely common existing ventilated roof construction options have been added to roof types shown and "generic" tiled/metal construction has been adjusted to separate tile or metal cover, calculated</t>
    </r>
    <r>
      <rPr>
        <i/>
        <sz val="8"/>
        <rFont val="Arial"/>
        <family val="2"/>
      </rPr>
      <t xml:space="preserve"> Total R-Values</t>
    </r>
    <r>
      <rPr>
        <sz val="8"/>
        <rFont val="Arial"/>
        <family val="2"/>
      </rPr>
      <t xml:space="preserve"> declared above.</t>
    </r>
  </si>
  <si>
    <t>Note 4</t>
  </si>
  <si>
    <t>For an area weighed value: if there is existing, altered and/or added roof in the same space, nominate the space(s) and the m2 area of each roof type in the space.</t>
  </si>
  <si>
    <r>
      <t>For</t>
    </r>
    <r>
      <rPr>
        <b/>
        <sz val="8"/>
        <rFont val="Arial"/>
        <family val="2"/>
      </rPr>
      <t xml:space="preserve"> BCA 3.12.2</t>
    </r>
    <r>
      <rPr>
        <sz val="8"/>
        <rFont val="Arial"/>
        <family val="2"/>
      </rPr>
      <t xml:space="preserve"> this DATASHEET reports the </t>
    </r>
    <r>
      <rPr>
        <i/>
        <sz val="8"/>
        <rFont val="Arial"/>
        <family val="2"/>
      </rPr>
      <t>required Total R-Value</t>
    </r>
    <r>
      <rPr>
        <sz val="8"/>
        <rFont val="Arial"/>
        <family val="2"/>
      </rPr>
      <t xml:space="preserve"> for added roof.</t>
    </r>
  </si>
  <si>
    <r>
      <t xml:space="preserve">For </t>
    </r>
    <r>
      <rPr>
        <b/>
        <sz val="8"/>
        <rFont val="Arial"/>
        <family val="2"/>
      </rPr>
      <t>Protocol B1.1.1</t>
    </r>
    <r>
      <rPr>
        <sz val="8"/>
        <rFont val="Arial"/>
        <family val="2"/>
      </rPr>
      <t xml:space="preserve"> this DATASHEET reports the nominal </t>
    </r>
    <r>
      <rPr>
        <i/>
        <sz val="8"/>
        <rFont val="Arial"/>
        <family val="2"/>
      </rPr>
      <t>Total R-Value</t>
    </r>
    <r>
      <rPr>
        <sz val="8"/>
        <rFont val="Arial"/>
        <family val="2"/>
      </rPr>
      <t xml:space="preserve"> for existing roof and the </t>
    </r>
    <r>
      <rPr>
        <i/>
        <sz val="8"/>
        <rFont val="Arial"/>
        <family val="2"/>
      </rPr>
      <t>Total R-Value</t>
    </r>
    <r>
      <rPr>
        <sz val="8"/>
        <rFont val="Arial"/>
        <family val="2"/>
      </rPr>
      <t xml:space="preserve"> Target for altered roof.</t>
    </r>
  </si>
  <si>
    <r>
      <t xml:space="preserve">For </t>
    </r>
    <r>
      <rPr>
        <b/>
        <sz val="8"/>
        <rFont val="Arial"/>
        <family val="2"/>
      </rPr>
      <t>Protocol B1.1.2</t>
    </r>
    <r>
      <rPr>
        <sz val="8"/>
        <rFont val="Arial"/>
        <family val="2"/>
      </rPr>
      <t xml:space="preserve"> this DATASHEET reports the area weighted </t>
    </r>
    <r>
      <rPr>
        <i/>
        <sz val="8"/>
        <rFont val="Arial"/>
        <family val="2"/>
      </rPr>
      <t>Total R-Value</t>
    </r>
    <r>
      <rPr>
        <sz val="8"/>
        <rFont val="Arial"/>
        <family val="2"/>
      </rPr>
      <t xml:space="preserve"> Target when there is existing, altered and/or added roof in the same space.</t>
    </r>
  </si>
  <si>
    <t>Air space
(if filled)</t>
  </si>
  <si>
    <t>Space description(s)</t>
  </si>
  <si>
    <t>BC_InsRange1</t>
  </si>
  <si>
    <t>BC_InsValue1</t>
  </si>
  <si>
    <t>Individual roof construction Total R-Values</t>
  </si>
  <si>
    <t>Area weighted value must</t>
  </si>
  <si>
    <t>Added roof combined to show if added included</t>
  </si>
  <si>
    <t>Sum existing + altered in space</t>
  </si>
  <si>
    <t>If added in space (no sum)</t>
  </si>
  <si>
    <r>
      <t xml:space="preserve">Calculated
</t>
    </r>
    <r>
      <rPr>
        <i/>
        <sz val="8"/>
        <rFont val="Arial"/>
        <family val="2"/>
      </rPr>
      <t xml:space="preserve">Total R-Value
</t>
    </r>
    <r>
      <rPr>
        <sz val="8"/>
        <rFont val="Arial"/>
        <family val="2"/>
      </rPr>
      <t>Target</t>
    </r>
  </si>
  <si>
    <t>O/side Table</t>
  </si>
  <si>
    <t>Note 5</t>
  </si>
  <si>
    <t>Error checking area and percentage</t>
  </si>
  <si>
    <r>
      <rPr>
        <b/>
        <sz val="8"/>
        <color theme="0"/>
        <rFont val="Arial"/>
        <family val="2"/>
      </rPr>
      <t xml:space="preserve">The Protocol provides two compliance options.  This </t>
    </r>
    <r>
      <rPr>
        <b/>
        <i/>
        <sz val="8"/>
        <color theme="0"/>
        <rFont val="Arial"/>
        <family val="2"/>
      </rPr>
      <t>Building Solution</t>
    </r>
    <r>
      <rPr>
        <b/>
        <sz val="8"/>
        <color theme="0"/>
        <rFont val="Arial"/>
        <family val="2"/>
      </rPr>
      <t xml:space="preserve"> has been assessed using:</t>
    </r>
  </si>
  <si>
    <t>BCA 3.12.1.1 Building fabric thermal insulation</t>
  </si>
  <si>
    <t>I am appropriately qualified to undertake this assessment and have determined that the building work satisfies the Protocol if it complies with the nominated provisions and achieves the minimum calculated values.</t>
  </si>
  <si>
    <t>The PERMIT HOLDER is responsible for achieving as-built compliance with the nominated provisions and calculated values.</t>
  </si>
  <si>
    <t>For the nominated Protocol options, the scope of Energy Efficiency compliance that applies for the building work is nominated below:</t>
  </si>
  <si>
    <r>
      <rPr>
        <b/>
        <i/>
        <sz val="8"/>
        <rFont val="Arial"/>
        <family val="2"/>
      </rPr>
      <t xml:space="preserve">Glazing </t>
    </r>
    <r>
      <rPr>
        <b/>
        <sz val="8"/>
        <rFont val="Arial"/>
        <family val="2"/>
      </rPr>
      <t>nominated as part of the building work for the storey</t>
    </r>
  </si>
  <si>
    <r>
      <t xml:space="preserve">BCA 3.12.1.3(b): Minimum area </t>
    </r>
    <r>
      <rPr>
        <i/>
        <sz val="8"/>
        <rFont val="Arial"/>
        <family val="2"/>
      </rPr>
      <t>required</t>
    </r>
    <r>
      <rPr>
        <sz val="8"/>
        <rFont val="Arial"/>
        <family val="2"/>
      </rPr>
      <t xml:space="preserve"> by Part 3.8.5 is 5%, therefore 150% x 5% = 7.5%, but the allowable roof light contribution will be less when other ventilation openings also contribute to natural ventilation.  If invoked, separate calculations must be provided.</t>
    </r>
  </si>
  <si>
    <r>
      <rPr>
        <b/>
        <sz val="8"/>
        <rFont val="Arial"/>
        <family val="2"/>
      </rPr>
      <t xml:space="preserve">Open-exchange-use: </t>
    </r>
    <r>
      <rPr>
        <sz val="8"/>
        <rFont val="Arial"/>
        <family val="2"/>
      </rPr>
      <t>This publication has been developed by Building Commons.  Building Commission WA is granted open-exchange use and distribution rights.</t>
    </r>
  </si>
  <si>
    <t>Percentage of storey floor area</t>
  </si>
  <si>
    <r>
      <t xml:space="preserve">For an area weighted value: if there is existing, altered and/or added </t>
    </r>
    <r>
      <rPr>
        <b/>
        <i/>
        <sz val="8"/>
        <rFont val="Arial"/>
        <family val="2"/>
      </rPr>
      <t xml:space="preserve">external wall </t>
    </r>
    <r>
      <rPr>
        <b/>
        <sz val="8"/>
        <rFont val="Arial"/>
        <family val="2"/>
      </rPr>
      <t>in the same space, nominate the space(s) and the m2 area of each wall type in the space.</t>
    </r>
  </si>
  <si>
    <r>
      <t xml:space="preserve">Calculated </t>
    </r>
    <r>
      <rPr>
        <i/>
        <sz val="8"/>
        <rFont val="Arial"/>
        <family val="2"/>
      </rPr>
      <t>Total
R-Value Target.</t>
    </r>
  </si>
  <si>
    <r>
      <t xml:space="preserve">BCA Fig 3.12.1.3 (f): Likely common existing wall construction will include internal render, R0.02 has been added to the </t>
    </r>
    <r>
      <rPr>
        <i/>
        <sz val="8"/>
        <rFont val="Arial"/>
        <family val="2"/>
      </rPr>
      <t>Total R-Value</t>
    </r>
    <r>
      <rPr>
        <sz val="8"/>
        <rFont val="Arial"/>
        <family val="2"/>
      </rPr>
      <t>.</t>
    </r>
  </si>
  <si>
    <r>
      <t xml:space="preserve">"Adding render or cladding to an existing external wall" option: applies when no material layers are removed from the existing wall.  When used, nominate the add wall construction </t>
    </r>
    <r>
      <rPr>
        <i/>
        <sz val="8"/>
        <rFont val="Arial"/>
        <family val="2"/>
      </rPr>
      <t>R-Value</t>
    </r>
    <r>
      <rPr>
        <sz val="8"/>
        <rFont val="Arial"/>
        <family val="2"/>
      </rPr>
      <t xml:space="preserve"> and adjust down the calculated added insulation </t>
    </r>
    <r>
      <rPr>
        <i/>
        <sz val="8"/>
        <rFont val="Arial"/>
        <family val="2"/>
      </rPr>
      <t>R-Value.</t>
    </r>
  </si>
  <si>
    <r>
      <t xml:space="preserve">Minimum
added insulation
</t>
    </r>
    <r>
      <rPr>
        <b/>
        <i/>
        <sz val="8"/>
        <rFont val="Arial"/>
        <family val="2"/>
      </rPr>
      <t>R-Value</t>
    </r>
  </si>
  <si>
    <t>Air space will be filled                     with bulk insulation</t>
  </si>
  <si>
    <t>Air space will be filled with bulk insulation</t>
  </si>
  <si>
    <t>Air space (if filled)</t>
  </si>
  <si>
    <r>
      <t>Added insulation calculation for nominated</t>
    </r>
    <r>
      <rPr>
        <b/>
        <i/>
        <sz val="8"/>
        <rFont val="Arial"/>
        <family val="2"/>
      </rPr>
      <t xml:space="preserve"> external wall(s) </t>
    </r>
    <r>
      <rPr>
        <b/>
        <sz val="8"/>
        <rFont val="Arial"/>
        <family val="2"/>
      </rPr>
      <t>construction:</t>
    </r>
  </si>
  <si>
    <r>
      <t xml:space="preserve">For </t>
    </r>
    <r>
      <rPr>
        <b/>
        <sz val="8"/>
        <rFont val="Arial"/>
        <family val="2"/>
      </rPr>
      <t>Protocol B1.4</t>
    </r>
    <r>
      <rPr>
        <sz val="8"/>
        <rFont val="Arial"/>
        <family val="2"/>
      </rPr>
      <t xml:space="preserve"> this DATASHEET reports the </t>
    </r>
    <r>
      <rPr>
        <i/>
        <sz val="8"/>
        <rFont val="Arial"/>
        <family val="2"/>
      </rPr>
      <t xml:space="preserve">Total R-Value </t>
    </r>
    <r>
      <rPr>
        <sz val="8"/>
        <rFont val="Arial"/>
        <family val="2"/>
      </rPr>
      <t>Target when there are existing and added floor in the same space.</t>
    </r>
  </si>
  <si>
    <t>Place a "Dot" to correlate ventilation opening and the room it serves</t>
  </si>
  <si>
    <r>
      <t xml:space="preserve">ROOF LIGHT DATASHEET reports </t>
    </r>
    <r>
      <rPr>
        <i/>
        <sz val="8"/>
        <rFont val="Arial"/>
        <family val="2"/>
      </rPr>
      <t xml:space="preserve">Total System U-Value/SHGC </t>
    </r>
    <r>
      <rPr>
        <sz val="8"/>
        <rFont val="Arial"/>
        <family val="2"/>
      </rPr>
      <t>calculations</t>
    </r>
  </si>
  <si>
    <r>
      <t>Protocol B1.4.1 (</t>
    </r>
    <r>
      <rPr>
        <i/>
        <sz val="8"/>
        <rFont val="Arial"/>
        <family val="2"/>
      </rPr>
      <t>Total R-Value</t>
    </r>
    <r>
      <rPr>
        <sz val="8"/>
        <rFont val="Arial"/>
        <family val="2"/>
      </rPr>
      <t xml:space="preserve"> Target for existing and added floor)</t>
    </r>
  </si>
  <si>
    <t>GLAZING CALCULATOR report(s) show BCA 3.12.2 C/SHG %'s and GLAZING &amp; AIR MOVEMENT DATASHEET(s) report B2.1.1 C/SHG Target %'s and air movement calculations per storey for:</t>
  </si>
  <si>
    <t>ARTIFICIAL LIGHTING DATASHEET reports nominated maximum wattage calculations</t>
  </si>
  <si>
    <t>For an area weighted value: if there is existing and added floor in the same space, nominate the space(s) and the m2 area of each floor type in the space.</t>
  </si>
  <si>
    <r>
      <t xml:space="preserve">Area weighted </t>
    </r>
    <r>
      <rPr>
        <b/>
        <i/>
        <sz val="8"/>
        <rFont val="Arial"/>
        <family val="2"/>
      </rPr>
      <t xml:space="preserve">Total R-Value
</t>
    </r>
    <r>
      <rPr>
        <b/>
        <sz val="8"/>
        <rFont val="Arial"/>
        <family val="2"/>
      </rPr>
      <t>Target for ALL floor in:</t>
    </r>
  </si>
  <si>
    <r>
      <t xml:space="preserve">Calculated </t>
    </r>
    <r>
      <rPr>
        <i/>
        <sz val="8"/>
        <rFont val="Arial"/>
        <family val="2"/>
      </rPr>
      <t xml:space="preserve">Total
R-Value </t>
    </r>
    <r>
      <rPr>
        <sz val="8"/>
        <rFont val="Arial"/>
        <family val="2"/>
      </rPr>
      <t>Target</t>
    </r>
  </si>
  <si>
    <r>
      <t xml:space="preserve">less the                                    </t>
    </r>
    <r>
      <rPr>
        <i/>
        <sz val="8"/>
        <rFont val="Arial"/>
        <family val="2"/>
      </rPr>
      <t xml:space="preserve"> R-Value</t>
    </r>
    <r>
      <rPr>
        <sz val="8"/>
        <rFont val="Arial"/>
        <family val="2"/>
      </rPr>
      <t xml:space="preserve"> of:</t>
    </r>
  </si>
  <si>
    <r>
      <t>Added insulation calculation for nominated</t>
    </r>
    <r>
      <rPr>
        <b/>
        <i/>
        <sz val="8"/>
        <rFont val="Arial"/>
        <family val="2"/>
      </rPr>
      <t xml:space="preserve"> floor </t>
    </r>
    <r>
      <rPr>
        <b/>
        <sz val="8"/>
        <rFont val="Arial"/>
        <family val="2"/>
      </rPr>
      <t>construction:</t>
    </r>
  </si>
  <si>
    <t>Aggregate ceiling insulation area of all spaces</t>
  </si>
  <si>
    <t>Aggregate area of all spaces</t>
  </si>
  <si>
    <r>
      <rPr>
        <sz val="8"/>
        <rFont val="Arial"/>
        <family val="2"/>
      </rPr>
      <t xml:space="preserve">For </t>
    </r>
    <r>
      <rPr>
        <b/>
        <sz val="8"/>
        <rFont val="Arial"/>
        <family val="2"/>
      </rPr>
      <t>Protocol B1.1.3</t>
    </r>
    <r>
      <rPr>
        <sz val="8"/>
        <rFont val="Arial"/>
        <family val="2"/>
      </rPr>
      <t xml:space="preserve"> this DATASHEET reports the maximum percentage of ceiling area uninsulated and any </t>
    </r>
    <r>
      <rPr>
        <i/>
        <sz val="8"/>
        <rFont val="Arial"/>
        <family val="2"/>
      </rPr>
      <t>required</t>
    </r>
    <r>
      <rPr>
        <sz val="8"/>
        <rFont val="Arial"/>
        <family val="2"/>
      </rPr>
      <t xml:space="preserve"> increase in insulation </t>
    </r>
    <r>
      <rPr>
        <i/>
        <sz val="8"/>
        <rFont val="Arial"/>
        <family val="2"/>
      </rPr>
      <t xml:space="preserve">R-Value </t>
    </r>
    <r>
      <rPr>
        <sz val="8"/>
        <rFont val="Arial"/>
        <family val="2"/>
      </rPr>
      <t>when there are existing, altered and/or added penetrations in the aggregate space area.</t>
    </r>
  </si>
  <si>
    <r>
      <rPr>
        <sz val="8"/>
        <rFont val="Arial"/>
        <family val="2"/>
      </rPr>
      <t xml:space="preserve">For </t>
    </r>
    <r>
      <rPr>
        <b/>
        <sz val="8"/>
        <rFont val="Arial"/>
        <family val="2"/>
      </rPr>
      <t xml:space="preserve">Protocol C1.1.1 </t>
    </r>
    <r>
      <rPr>
        <sz val="8"/>
        <rFont val="Arial"/>
        <family val="2"/>
      </rPr>
      <t>this DATASHEET reports the maximum wattage for the Class 1 building, attached verandah or balcony or associated Class10a building when there is existing, altered and/or added artificial lighting in the aggregate space area.</t>
    </r>
  </si>
  <si>
    <t>Lamp power density</t>
  </si>
  <si>
    <t>Calculation method</t>
  </si>
  <si>
    <t>MAXIMUM total wattage</t>
  </si>
  <si>
    <t>Attached verandah or balcony</t>
  </si>
  <si>
    <t>Associated Class 10a building</t>
  </si>
  <si>
    <r>
      <t xml:space="preserve">BCA 3.12.5.5(a): when </t>
    </r>
    <r>
      <rPr>
        <i/>
        <sz val="8"/>
        <rFont val="Arial"/>
        <family val="2"/>
      </rPr>
      <t>lamp power density</t>
    </r>
    <r>
      <rPr>
        <sz val="8"/>
        <rFont val="Arial"/>
        <family val="2"/>
      </rPr>
      <t xml:space="preserve"> is used, compliance verified by multiplying the aggregate area (m2) by the prescribed W/m2 to determined the "total of the maximum power rating of the lamps".  It is not necessary to provide an electrical plan nominating individual lighting location or wattage.</t>
    </r>
  </si>
  <si>
    <t>Verandah/balcony</t>
  </si>
  <si>
    <t>Class 10a</t>
  </si>
  <si>
    <r>
      <rPr>
        <b/>
        <sz val="8"/>
        <rFont val="Arial"/>
        <family val="2"/>
      </rPr>
      <t xml:space="preserve">Disclaimer: </t>
    </r>
    <r>
      <rPr>
        <sz val="8"/>
        <rFont val="Arial"/>
        <family val="2"/>
      </rPr>
      <t>The purpose of this publication is to provide building professionals with a guide to the application of the WA Alterations &amp; Additions Protocol for Energy Efficiency (Protocol) to existing Class 1 buildings in Western Australia.  This publication is only a guide and may not apply in every instance.  Building professionals must familiarise themselves with the Protocol.  The publisher gives no undertakings, guarantees, or warranties concerning the accuracy, completeness or fitness for purpose of this publication.  To the maximum extent permissible by law, the publisher excludes liability for loss suffered by any person resulting in any way from the use of or reliance upon this publication.</t>
    </r>
  </si>
  <si>
    <t>Width x Length (mm)</t>
  </si>
  <si>
    <t>Diam (mm)</t>
  </si>
  <si>
    <t>Shaft length (mm)</t>
  </si>
  <si>
    <t>Shaft
index</t>
  </si>
  <si>
    <t>Roof opening dimension</t>
  </si>
  <si>
    <t>Test calculation to verify frame deduction</t>
  </si>
  <si>
    <t>Sum existing in space</t>
  </si>
  <si>
    <t>Diam</t>
  </si>
  <si>
    <t>Percentage</t>
  </si>
  <si>
    <r>
      <t xml:space="preserve">BCA 3.12.1.2(e): compliance verified by nominating building work ceiling insulation area, maximum percentage of ceiling insulation area that can be lost to installed penetrations, and the R-Value </t>
    </r>
    <r>
      <rPr>
        <i/>
        <sz val="8"/>
        <rFont val="Arial"/>
        <family val="2"/>
      </rPr>
      <t>required</t>
    </r>
    <r>
      <rPr>
        <sz val="8"/>
        <rFont val="Arial"/>
        <family val="2"/>
      </rPr>
      <t xml:space="preserve"> for ceiling insulation with no penetrations; then calculating the </t>
    </r>
    <r>
      <rPr>
        <i/>
        <sz val="8"/>
        <rFont val="Arial"/>
        <family val="2"/>
      </rPr>
      <t>required</t>
    </r>
    <r>
      <rPr>
        <sz val="8"/>
        <rFont val="Arial"/>
        <family val="2"/>
      </rPr>
      <t xml:space="preserve"> minimum installed </t>
    </r>
    <r>
      <rPr>
        <i/>
        <sz val="8"/>
        <rFont val="Arial"/>
        <family val="2"/>
      </rPr>
      <t>R-Value</t>
    </r>
    <r>
      <rPr>
        <sz val="8"/>
        <rFont val="Arial"/>
        <family val="2"/>
      </rPr>
      <t xml:space="preserve"> using Protocol B1.1.3.  It is not necessary to provide an electrical plan nominating individual penetration location or size.</t>
    </r>
  </si>
  <si>
    <t>Added for unenclosed option</t>
  </si>
  <si>
    <t>diam</t>
  </si>
  <si>
    <t>Aggregate area</t>
  </si>
  <si>
    <r>
      <t xml:space="preserve">Other </t>
    </r>
    <r>
      <rPr>
        <b/>
        <i/>
        <sz val="8"/>
        <rFont val="Arial"/>
        <family val="2"/>
      </rPr>
      <t>ventilation openings</t>
    </r>
    <r>
      <rPr>
        <b/>
        <sz val="8"/>
        <rFont val="Arial"/>
        <family val="2"/>
      </rPr>
      <t xml:space="preserve"> that contribute to building work air movement (not listed on Glazing Calculator)</t>
    </r>
  </si>
  <si>
    <t>Edit calculated values to show whole numbers in Protocol schedule</t>
  </si>
  <si>
    <r>
      <t xml:space="preserve">Climate Zone 3: heat flow up and down applies, </t>
    </r>
    <r>
      <rPr>
        <i/>
        <sz val="8"/>
        <rFont val="Arial"/>
        <family val="2"/>
      </rPr>
      <t>Total R-Value</t>
    </r>
    <r>
      <rPr>
        <sz val="8"/>
        <rFont val="Arial"/>
        <family val="2"/>
      </rPr>
      <t xml:space="preserve"> shown are for the worst-case heat flow Up.</t>
    </r>
  </si>
  <si>
    <r>
      <rPr>
        <i/>
        <sz val="8"/>
        <rFont val="Arial"/>
        <family val="2"/>
      </rPr>
      <t>Total R-Values</t>
    </r>
    <r>
      <rPr>
        <sz val="8"/>
        <rFont val="Arial"/>
        <family val="2"/>
      </rPr>
      <t xml:space="preserve">: </t>
    </r>
    <r>
      <rPr>
        <i/>
        <sz val="8"/>
        <rFont val="Arial"/>
        <family val="2"/>
      </rPr>
      <t>climate zones</t>
    </r>
    <r>
      <rPr>
        <sz val="8"/>
        <rFont val="Arial"/>
        <family val="2"/>
      </rPr>
      <t xml:space="preserve"> 1 &amp; 3 performance is for heat flow upward, </t>
    </r>
    <r>
      <rPr>
        <i/>
        <sz val="8"/>
        <rFont val="Arial"/>
        <family val="2"/>
      </rPr>
      <t>climate zones</t>
    </r>
    <r>
      <rPr>
        <sz val="8"/>
        <rFont val="Arial"/>
        <family val="2"/>
      </rPr>
      <t xml:space="preserve"> 4, 5 &amp; 6 performance is for heat flow downward.</t>
    </r>
  </si>
  <si>
    <r>
      <t xml:space="preserve">BCA Table 3.12.1.1b: Insulation </t>
    </r>
    <r>
      <rPr>
        <i/>
        <sz val="8"/>
        <rFont val="Arial"/>
        <family val="2"/>
      </rPr>
      <t>R-Values</t>
    </r>
    <r>
      <rPr>
        <sz val="8"/>
        <rFont val="Arial"/>
        <family val="2"/>
      </rPr>
      <t xml:space="preserve"> less than R1.0 adjusted for penetrations using a worst-case "as for R1.0" proportional increase.</t>
    </r>
  </si>
  <si>
    <t>Nominated Total 
R-Value</t>
  </si>
  <si>
    <t>Increase increments as for R1.0=worst-case</t>
  </si>
  <si>
    <t>01 May 2014</t>
  </si>
  <si>
    <r>
      <t xml:space="preserve">The Protocol is an </t>
    </r>
    <r>
      <rPr>
        <i/>
        <sz val="8"/>
        <rFont val="Arial"/>
        <family val="2"/>
      </rPr>
      <t>Alternative Solution</t>
    </r>
    <r>
      <rPr>
        <sz val="8"/>
        <rFont val="Arial"/>
        <family val="2"/>
      </rPr>
      <t xml:space="preserve"> that describes a </t>
    </r>
    <r>
      <rPr>
        <i/>
        <sz val="8"/>
        <rFont val="Arial"/>
        <family val="2"/>
      </rPr>
      <t xml:space="preserve">Building Solution </t>
    </r>
    <r>
      <rPr>
        <sz val="8"/>
        <rFont val="Arial"/>
        <family val="2"/>
      </rPr>
      <t xml:space="preserve">that satisfies </t>
    </r>
    <r>
      <rPr>
        <i/>
        <sz val="8"/>
        <rFont val="Arial"/>
        <family val="2"/>
      </rPr>
      <t>Performance Requirements P2.6.1 Building</t>
    </r>
    <r>
      <rPr>
        <sz val="8"/>
        <rFont val="Arial"/>
        <family val="2"/>
      </rPr>
      <t xml:space="preserve"> and </t>
    </r>
    <r>
      <rPr>
        <i/>
        <sz val="8"/>
        <rFont val="Arial"/>
        <family val="2"/>
      </rPr>
      <t>P2.6.2 Services</t>
    </r>
    <r>
      <rPr>
        <sz val="8"/>
        <rFont val="Arial"/>
        <family val="2"/>
      </rPr>
      <t xml:space="preserve">, when building work is undertaken on an existing Class 1 or Class 10 building.  A </t>
    </r>
    <r>
      <rPr>
        <i/>
        <sz val="8"/>
        <rFont val="Arial"/>
        <family val="2"/>
      </rPr>
      <t xml:space="preserve">Building Solution </t>
    </r>
    <r>
      <rPr>
        <sz val="8"/>
        <rFont val="Arial"/>
        <family val="2"/>
      </rPr>
      <t>satisfies the Protocol when it complies with BCA Part 3.12 Energy Efficiency, except where the Protocol provides an alternative and the building work satisfies that alternative.</t>
    </r>
  </si>
  <si>
    <r>
      <t xml:space="preserve">Total area </t>
    </r>
    <r>
      <rPr>
        <i/>
        <sz val="8"/>
        <rFont val="Arial"/>
        <family val="2"/>
      </rPr>
      <t xml:space="preserve">roof light(s)
</t>
    </r>
    <r>
      <rPr>
        <sz val="8"/>
        <rFont val="Arial"/>
        <family val="2"/>
      </rPr>
      <t xml:space="preserve">as a % of </t>
    </r>
    <r>
      <rPr>
        <i/>
        <sz val="8"/>
        <rFont val="Arial"/>
        <family val="2"/>
      </rPr>
      <t>floor area</t>
    </r>
  </si>
  <si>
    <t>Total System
SHGC</t>
  </si>
  <si>
    <r>
      <rPr>
        <b/>
        <i/>
        <sz val="8"/>
        <color theme="0"/>
        <rFont val="Arial"/>
        <family val="2"/>
      </rPr>
      <t>Habitable room</t>
    </r>
    <r>
      <rPr>
        <b/>
        <sz val="8"/>
        <color theme="0"/>
        <rFont val="Arial"/>
        <family val="2"/>
      </rPr>
      <t xml:space="preserve"> or interconnecting space
nominated as part of the building work</t>
    </r>
  </si>
  <si>
    <t>Floor construction (uninsulated, includes height and enclosure nominated above)</t>
  </si>
  <si>
    <t>%)</t>
  </si>
  <si>
    <t>BC_PenRange (used for drop-down, ignore second 5)</t>
  </si>
  <si>
    <r>
      <t xml:space="preserve">Required minimum total </t>
    </r>
    <r>
      <rPr>
        <i/>
        <sz val="8"/>
        <rFont val="Arial"/>
        <family val="2"/>
      </rPr>
      <t>ventilation opening</t>
    </r>
    <r>
      <rPr>
        <sz val="8"/>
        <rFont val="Arial"/>
        <family val="2"/>
      </rPr>
      <t xml:space="preserve"> area as a percentage of the floor area</t>
    </r>
  </si>
  <si>
    <t>BCA 3.12.4.1(c)  Region D exemption applies:</t>
  </si>
  <si>
    <t>BCA 3.12.4 "Not applicable":</t>
  </si>
  <si>
    <t xml:space="preserve">Glazing nominated to verify GLAZING CALCULATOR outcomes. </t>
  </si>
  <si>
    <t>Air movement does not apply (5% ventilation opening indicates Part 3.8.5 compliance).</t>
  </si>
  <si>
    <t>Text used to error check exemption box</t>
  </si>
  <si>
    <r>
      <t xml:space="preserve">BCA 3.12.2: External </t>
    </r>
    <r>
      <rPr>
        <i/>
        <sz val="8"/>
        <rFont val="Arial"/>
        <family val="2"/>
      </rPr>
      <t>glazing</t>
    </r>
    <r>
      <rPr>
        <sz val="8"/>
        <rFont val="Arial"/>
        <family val="2"/>
      </rPr>
      <t xml:space="preserve"> is a per storey assessment.  Building work undertaken on more than one storey </t>
    </r>
    <r>
      <rPr>
        <i/>
        <sz val="8"/>
        <rFont val="Arial"/>
        <family val="2"/>
      </rPr>
      <t>requires</t>
    </r>
    <r>
      <rPr>
        <sz val="8"/>
        <rFont val="Arial"/>
        <family val="2"/>
      </rPr>
      <t xml:space="preserve"> additional Glazing calculations.</t>
    </r>
  </si>
  <si>
    <t>BCA 3.12.4: Air movement is not a per storey assessment, but the simplied calculation method is based on per storey Glazing Calculator data.</t>
  </si>
  <si>
    <r>
      <t xml:space="preserve">Area weighted </t>
    </r>
    <r>
      <rPr>
        <b/>
        <i/>
        <sz val="8"/>
        <rFont val="Arial"/>
        <family val="2"/>
      </rPr>
      <t>Total R-Value</t>
    </r>
    <r>
      <rPr>
        <b/>
        <sz val="8"/>
        <rFont val="Arial"/>
        <family val="2"/>
      </rPr>
      <t xml:space="preserve"> Target for ALL roofs in:</t>
    </r>
  </si>
  <si>
    <r>
      <t xml:space="preserve">Area weighted value </t>
    </r>
    <r>
      <rPr>
        <b/>
        <i/>
        <sz val="8"/>
        <rFont val="Arial"/>
        <family val="2"/>
      </rPr>
      <t>Total R-Value</t>
    </r>
    <r>
      <rPr>
        <b/>
        <sz val="8"/>
        <rFont val="Arial"/>
        <family val="2"/>
      </rPr>
      <t xml:space="preserve"> Target for ALL walls in:</t>
    </r>
  </si>
  <si>
    <t>Added</t>
  </si>
  <si>
    <t>Altered/existing</t>
  </si>
  <si>
    <t>after the altered and/or existing ceiling       area 0.5%max concession is applied</t>
  </si>
  <si>
    <t>0.5max percentage that applies</t>
  </si>
  <si>
    <t>Max percentage of ceiling area uninsulated LESS THAN</t>
  </si>
  <si>
    <t>20 Oct 2014</t>
  </si>
  <si>
    <t>Correction of "Max percentage of ceiling area uninsulated LESS THAN" description</t>
  </si>
  <si>
    <t>Up</t>
  </si>
  <si>
    <t>Dn</t>
  </si>
  <si>
    <t>Req'd            Total         R-Value</t>
  </si>
  <si>
    <t>Req'd           Total       R-Value</t>
  </si>
  <si>
    <t>Correction: show required value</t>
  </si>
  <si>
    <t>Correction to Floor data sheet formulas, High air movement, and Added building fabric Total R-Value descriptions</t>
  </si>
  <si>
    <t>13 Feb 2015</t>
  </si>
  <si>
    <t>18 May 2015</t>
  </si>
  <si>
    <t>Correction to Roof datasheet formula for min R-Value added insulation at ceiling level when air space filled with bulk insulation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</si>
</sst>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General\°"/>
    <numFmt numFmtId="165" formatCode="General&quot;°&quot;"/>
    <numFmt numFmtId="166" formatCode="#,##0_ ;[Red]\-#,##0\ "/>
    <numFmt numFmtId="167" formatCode="0.00_ ;[Red]\-0.00\ "/>
    <numFmt numFmtId="168" formatCode="0_ ;[Red]\-0\ "/>
    <numFmt numFmtId="169" formatCode="0.0_ ;[Red]\-0.0\ "/>
    <numFmt numFmtId="170" formatCode="0.000_ ;[Red]\-0.000\ "/>
    <numFmt numFmtId="171" formatCode="0.00;;"/>
    <numFmt numFmtId="172" formatCode="General&quot;m²&quot;"/>
    <numFmt numFmtId="173" formatCode="0.000"/>
    <numFmt numFmtId="174" formatCode="#,##0.00_ ;[Red]\-#,##0.00\ "/>
    <numFmt numFmtId="175" formatCode="0."/>
    <numFmt numFmtId="176" formatCode="0.00;;0"/>
    <numFmt numFmtId="177" formatCode="0%;;0"/>
    <numFmt numFmtId="178" formatCode="0%;\-0%;0"/>
    <numFmt numFmtId="179" formatCode="0.0\ ;;"/>
    <numFmt numFmtId="180" formatCode="0.00\ ;;"/>
    <numFmt numFmtId="181" formatCode="0.0&quot;m²&quot;;;"/>
    <numFmt numFmtId="182" formatCode="General&quot;m²&quot;;;"/>
    <numFmt numFmtId="183" formatCode="0&quot;m²&quot;;;"/>
    <numFmt numFmtId="184" formatCode="0.000_ ;[Red]\-0.000_ ;&quot;inactive&quot;;"/>
    <numFmt numFmtId="185" formatCode="General&quot; x Std&quot;"/>
    <numFmt numFmtId="186" formatCode="0.0"/>
    <numFmt numFmtId="187" formatCode="0.0_ ;[Red]\-0.0\ ;"/>
    <numFmt numFmtId="188" formatCode="0%;;"/>
    <numFmt numFmtId="189" formatCode="0.000;;"/>
    <numFmt numFmtId="190" formatCode="0.0%"/>
    <numFmt numFmtId="191" formatCode="#,##0.000_);[Red]\(#,##0.000\)"/>
    <numFmt numFmtId="192" formatCode="#,##0.00_);[Red]\(#,##0.00\)"/>
    <numFmt numFmtId="193" formatCode="0.0000000000000000%"/>
    <numFmt numFmtId="194" formatCode="0.000%"/>
    <numFmt numFmtId="195" formatCode="0.00000%"/>
  </numFmts>
  <fonts count="116">
    <font>
      <sz val="10"/>
      <name val="Arial"/>
    </font>
    <font>
      <sz val="10"/>
      <name val="Arial"/>
      <family val="2"/>
    </font>
    <font>
      <sz val="8"/>
      <name val="Arial"/>
      <family val="2"/>
    </font>
    <font>
      <b/>
      <sz val="10"/>
      <color indexed="12"/>
      <name val="Arial"/>
      <family val="2"/>
    </font>
    <font>
      <i/>
      <sz val="10"/>
      <color indexed="12"/>
      <name val="Arial"/>
      <family val="2"/>
    </font>
    <font>
      <i/>
      <sz val="10"/>
      <color indexed="10"/>
      <name val="Arial"/>
      <family val="2"/>
    </font>
    <font>
      <i/>
      <sz val="10"/>
      <name val="Arial"/>
      <family val="2"/>
    </font>
    <font>
      <b/>
      <sz val="10"/>
      <name val="Arial"/>
      <family val="2"/>
    </font>
    <font>
      <b/>
      <sz val="8"/>
      <name val="Arial"/>
      <family val="2"/>
    </font>
    <font>
      <b/>
      <i/>
      <sz val="8"/>
      <name val="Arial"/>
      <family val="2"/>
    </font>
    <font>
      <sz val="10"/>
      <color indexed="23"/>
      <name val="Arial"/>
      <family val="2"/>
    </font>
    <font>
      <b/>
      <i/>
      <sz val="10"/>
      <name val="Arial"/>
      <family val="2"/>
    </font>
    <font>
      <b/>
      <sz val="8"/>
      <color indexed="81"/>
      <name val="Tahoma"/>
      <family val="2"/>
    </font>
    <font>
      <sz val="8"/>
      <color indexed="81"/>
      <name val="Tahoma"/>
      <family val="2"/>
    </font>
    <font>
      <sz val="8"/>
      <name val="Arial"/>
      <family val="2"/>
    </font>
    <font>
      <b/>
      <sz val="12"/>
      <name val="Arial"/>
      <family val="2"/>
    </font>
    <font>
      <sz val="10"/>
      <color indexed="23"/>
      <name val="Arial"/>
      <family val="2"/>
    </font>
    <font>
      <b/>
      <i/>
      <sz val="10"/>
      <color indexed="23"/>
      <name val="Arial"/>
      <family val="2"/>
    </font>
    <font>
      <b/>
      <sz val="8"/>
      <color indexed="9"/>
      <name val="Arial"/>
      <family val="2"/>
    </font>
    <font>
      <i/>
      <sz val="10"/>
      <color indexed="23"/>
      <name val="Arial"/>
      <family val="2"/>
    </font>
    <font>
      <sz val="8"/>
      <color indexed="9"/>
      <name val="Arial"/>
      <family val="2"/>
    </font>
    <font>
      <sz val="8"/>
      <color indexed="9"/>
      <name val="Arial"/>
      <family val="2"/>
    </font>
    <font>
      <b/>
      <i/>
      <sz val="10"/>
      <color indexed="9"/>
      <name val="Arial"/>
      <family val="2"/>
    </font>
    <font>
      <b/>
      <sz val="8"/>
      <color indexed="10"/>
      <name val="Arial"/>
      <family val="2"/>
    </font>
    <font>
      <sz val="8"/>
      <color indexed="23"/>
      <name val="Arial"/>
      <family val="2"/>
    </font>
    <font>
      <sz val="10"/>
      <name val="Arial"/>
      <family val="2"/>
    </font>
    <font>
      <b/>
      <sz val="8"/>
      <color indexed="23"/>
      <name val="Arial"/>
      <family val="2"/>
    </font>
    <font>
      <sz val="10"/>
      <color indexed="22"/>
      <name val="Arial"/>
      <family val="2"/>
    </font>
    <font>
      <sz val="8"/>
      <color indexed="23"/>
      <name val="Arial"/>
      <family val="2"/>
    </font>
    <font>
      <b/>
      <i/>
      <sz val="10"/>
      <color indexed="10"/>
      <name val="Arial"/>
      <family val="2"/>
    </font>
    <font>
      <i/>
      <sz val="10"/>
      <color indexed="9"/>
      <name val="Arial"/>
      <family val="2"/>
    </font>
    <font>
      <i/>
      <sz val="8"/>
      <color indexed="12"/>
      <name val="Arial"/>
      <family val="2"/>
    </font>
    <font>
      <b/>
      <i/>
      <sz val="10"/>
      <color indexed="17"/>
      <name val="Arial"/>
      <family val="2"/>
    </font>
    <font>
      <vertAlign val="subscript"/>
      <sz val="10"/>
      <name val="Arial"/>
      <family val="2"/>
    </font>
    <font>
      <b/>
      <sz val="12"/>
      <color indexed="10"/>
      <name val="Arial"/>
      <family val="2"/>
    </font>
    <font>
      <vertAlign val="subscript"/>
      <sz val="8"/>
      <name val="Arial"/>
      <family val="2"/>
    </font>
    <font>
      <i/>
      <sz val="8"/>
      <color indexed="55"/>
      <name val="Arial"/>
      <family val="2"/>
    </font>
    <font>
      <i/>
      <sz val="8"/>
      <color indexed="10"/>
      <name val="Tahoma"/>
      <family val="2"/>
    </font>
    <font>
      <sz val="10"/>
      <color indexed="9"/>
      <name val="Arial"/>
      <family val="2"/>
    </font>
    <font>
      <i/>
      <sz val="8"/>
      <color indexed="12"/>
      <name val="Tahoma"/>
      <family val="2"/>
    </font>
    <font>
      <i/>
      <sz val="8"/>
      <color indexed="10"/>
      <name val="Arial"/>
      <family val="2"/>
    </font>
    <font>
      <sz val="8"/>
      <color indexed="12"/>
      <name val="Arial"/>
      <family val="2"/>
    </font>
    <font>
      <b/>
      <sz val="10"/>
      <color indexed="23"/>
      <name val="Arial"/>
      <family val="2"/>
    </font>
    <font>
      <b/>
      <sz val="16"/>
      <color indexed="9"/>
      <name val="Arial"/>
      <family val="2"/>
    </font>
    <font>
      <sz val="16"/>
      <color indexed="9"/>
      <name val="Arial"/>
      <family val="2"/>
    </font>
    <font>
      <sz val="20"/>
      <name val="Arial"/>
      <family val="2"/>
    </font>
    <font>
      <b/>
      <i/>
      <sz val="10"/>
      <color indexed="53"/>
      <name val="Arial"/>
      <family val="2"/>
    </font>
    <font>
      <i/>
      <sz val="10"/>
      <color indexed="53"/>
      <name val="Arial"/>
      <family val="2"/>
    </font>
    <font>
      <b/>
      <sz val="10"/>
      <color indexed="10"/>
      <name val="Arial"/>
      <family val="2"/>
    </font>
    <font>
      <i/>
      <sz val="8"/>
      <color indexed="23"/>
      <name val="Arial"/>
      <family val="2"/>
    </font>
    <font>
      <b/>
      <sz val="72"/>
      <color indexed="9"/>
      <name val="Wingdings"/>
      <charset val="2"/>
    </font>
    <font>
      <sz val="72"/>
      <name val="Arial"/>
      <family val="2"/>
    </font>
    <font>
      <sz val="10"/>
      <color indexed="10"/>
      <name val="Arial"/>
      <family val="2"/>
    </font>
    <font>
      <b/>
      <sz val="16"/>
      <name val="Arial"/>
      <family val="2"/>
    </font>
    <font>
      <b/>
      <sz val="24"/>
      <color indexed="43"/>
      <name val="Arial"/>
      <family val="2"/>
    </font>
    <font>
      <sz val="10"/>
      <color indexed="22"/>
      <name val="Arial"/>
      <family val="2"/>
    </font>
    <font>
      <sz val="10"/>
      <color indexed="10"/>
      <name val="Arial"/>
      <family val="2"/>
    </font>
    <font>
      <b/>
      <sz val="10"/>
      <color indexed="10"/>
      <name val="Arial"/>
      <family val="2"/>
    </font>
    <font>
      <b/>
      <sz val="10"/>
      <color indexed="12"/>
      <name val="Arial"/>
      <family val="2"/>
    </font>
    <font>
      <sz val="10"/>
      <color indexed="12"/>
      <name val="Arial"/>
      <family val="2"/>
    </font>
    <font>
      <i/>
      <sz val="10"/>
      <color indexed="12"/>
      <name val="Arial"/>
      <family val="2"/>
    </font>
    <font>
      <b/>
      <sz val="12"/>
      <color indexed="12"/>
      <name val="Arial"/>
      <family val="2"/>
    </font>
    <font>
      <b/>
      <sz val="10"/>
      <color indexed="23"/>
      <name val="Arial"/>
      <family val="2"/>
    </font>
    <font>
      <i/>
      <sz val="10"/>
      <color indexed="23"/>
      <name val="Arial"/>
      <family val="2"/>
    </font>
    <font>
      <sz val="12"/>
      <name val="Arial"/>
      <family val="2"/>
    </font>
    <font>
      <sz val="10"/>
      <color indexed="23"/>
      <name val="Arial"/>
      <family val="2"/>
    </font>
    <font>
      <sz val="14"/>
      <name val="Arial"/>
      <family val="2"/>
    </font>
    <font>
      <i/>
      <sz val="8"/>
      <name val="Arial"/>
      <family val="2"/>
    </font>
    <font>
      <sz val="8"/>
      <name val="Arial"/>
      <family val="2"/>
    </font>
    <font>
      <sz val="8"/>
      <color indexed="23"/>
      <name val="Arial"/>
      <family val="2"/>
    </font>
    <font>
      <sz val="2"/>
      <color indexed="9"/>
      <name val="Arial"/>
      <family val="2"/>
    </font>
    <font>
      <b/>
      <sz val="10"/>
      <name val="Arial"/>
      <family val="2"/>
    </font>
    <font>
      <sz val="10"/>
      <name val="Arial"/>
      <family val="2"/>
    </font>
    <font>
      <i/>
      <sz val="8"/>
      <color indexed="23"/>
      <name val="Tahoma"/>
      <family val="2"/>
    </font>
    <font>
      <b/>
      <i/>
      <sz val="10"/>
      <color rgb="FFFF0000"/>
      <name val="Arial"/>
      <family val="2"/>
    </font>
    <font>
      <sz val="10"/>
      <color theme="0"/>
      <name val="Arial"/>
      <family val="2"/>
    </font>
    <font>
      <sz val="9"/>
      <color indexed="81"/>
      <name val="Tahoma"/>
      <family val="2"/>
    </font>
    <font>
      <b/>
      <sz val="9"/>
      <color indexed="81"/>
      <name val="Tahoma"/>
      <family val="2"/>
    </font>
    <font>
      <sz val="10"/>
      <color theme="1" tint="0.499984740745262"/>
      <name val="Arial"/>
      <family val="2"/>
    </font>
    <font>
      <b/>
      <sz val="10"/>
      <color theme="1" tint="0.499984740745262"/>
      <name val="Arial"/>
      <family val="2"/>
    </font>
    <font>
      <sz val="8"/>
      <color indexed="22"/>
      <name val="Arial"/>
      <family val="2"/>
    </font>
    <font>
      <sz val="8"/>
      <color rgb="FF808080"/>
      <name val="Arial"/>
      <family val="2"/>
    </font>
    <font>
      <i/>
      <sz val="8"/>
      <color theme="0"/>
      <name val="Arial"/>
      <family val="2"/>
    </font>
    <font>
      <i/>
      <sz val="10"/>
      <color rgb="FF969696"/>
      <name val="Arial"/>
      <family val="2"/>
    </font>
    <font>
      <sz val="8"/>
      <color rgb="FF0000FF"/>
      <name val="Arial"/>
      <family val="2"/>
    </font>
    <font>
      <i/>
      <sz val="10"/>
      <color rgb="FFFF0000"/>
      <name val="Arial"/>
      <family val="2"/>
    </font>
    <font>
      <sz val="8"/>
      <color rgb="FFFF0000"/>
      <name val="Arial"/>
      <family val="2"/>
    </font>
    <font>
      <i/>
      <sz val="10"/>
      <color rgb="FF0000FF"/>
      <name val="Arial"/>
      <family val="2"/>
    </font>
    <font>
      <b/>
      <i/>
      <sz val="10"/>
      <color rgb="FF008000"/>
      <name val="Arial"/>
      <family val="2"/>
    </font>
    <font>
      <b/>
      <i/>
      <sz val="8"/>
      <color rgb="FFFF0000"/>
      <name val="Arial"/>
      <family val="2"/>
    </font>
    <font>
      <b/>
      <i/>
      <sz val="9"/>
      <color rgb="FFFF0000"/>
      <name val="Arial"/>
      <family val="2"/>
    </font>
    <font>
      <b/>
      <i/>
      <sz val="8"/>
      <color theme="0"/>
      <name val="Arial"/>
      <family val="2"/>
    </font>
    <font>
      <b/>
      <i/>
      <sz val="8"/>
      <color indexed="17"/>
      <name val="Arial"/>
      <family val="2"/>
    </font>
    <font>
      <b/>
      <i/>
      <sz val="8"/>
      <color indexed="10"/>
      <name val="Arial"/>
      <family val="2"/>
    </font>
    <font>
      <i/>
      <sz val="8"/>
      <color indexed="9"/>
      <name val="Arial"/>
      <family val="2"/>
    </font>
    <font>
      <b/>
      <sz val="8"/>
      <color indexed="52"/>
      <name val="Tahoma"/>
      <family val="2"/>
    </font>
    <font>
      <b/>
      <sz val="10"/>
      <color rgb="FF0000FF"/>
      <name val="Arial"/>
      <family val="2"/>
    </font>
    <font>
      <sz val="10"/>
      <color rgb="FF0000FF"/>
      <name val="Arial"/>
      <family val="2"/>
    </font>
    <font>
      <b/>
      <i/>
      <sz val="10"/>
      <color rgb="FF0000FF"/>
      <name val="Arial"/>
      <family val="2"/>
    </font>
    <font>
      <b/>
      <sz val="12"/>
      <color rgb="FF0000FF"/>
      <name val="Arial"/>
      <family val="2"/>
    </font>
    <font>
      <b/>
      <sz val="8"/>
      <color theme="0"/>
      <name val="Arial"/>
      <family val="2"/>
    </font>
    <font>
      <i/>
      <sz val="8"/>
      <color rgb="FF0000FF"/>
      <name val="Arial"/>
      <family val="2"/>
    </font>
    <font>
      <sz val="8"/>
      <color theme="0" tint="-0.499984740745262"/>
      <name val="Arial"/>
      <family val="2"/>
    </font>
    <font>
      <sz val="8"/>
      <name val="Calibri"/>
      <family val="2"/>
    </font>
    <font>
      <i/>
      <sz val="8"/>
      <color rgb="FFFF0000"/>
      <name val="Arial"/>
      <family val="2"/>
    </font>
    <font>
      <sz val="8"/>
      <color theme="0"/>
      <name val="Arial"/>
      <family val="2"/>
    </font>
    <font>
      <b/>
      <sz val="14"/>
      <color theme="0"/>
      <name val="Arial"/>
      <family val="2"/>
    </font>
    <font>
      <b/>
      <sz val="8"/>
      <name val="Calibri"/>
      <family val="2"/>
    </font>
    <font>
      <b/>
      <sz val="8"/>
      <color theme="0" tint="-0.499984740745262"/>
      <name val="Arial"/>
      <family val="2"/>
    </font>
    <font>
      <u/>
      <sz val="10"/>
      <color theme="10"/>
      <name val="Arial"/>
      <family val="2"/>
    </font>
    <font>
      <u/>
      <sz val="8"/>
      <name val="Arial"/>
      <family val="2"/>
    </font>
    <font>
      <b/>
      <sz val="8"/>
      <color rgb="FFFF66CC"/>
      <name val="Arial"/>
      <family val="2"/>
    </font>
    <font>
      <sz val="8"/>
      <color rgb="FFFF66CC"/>
      <name val="Arial"/>
      <family val="2"/>
    </font>
    <font>
      <b/>
      <sz val="8"/>
      <color rgb="FFFF0000"/>
      <name val="Arial"/>
      <family val="2"/>
    </font>
    <font>
      <u/>
      <sz val="9"/>
      <color indexed="81"/>
      <name val="Tahoma"/>
      <family val="2"/>
    </font>
    <font>
      <sz val="7.5"/>
      <name val="Arial"/>
      <family val="2"/>
    </font>
  </fonts>
  <fills count="40">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indexed="10"/>
        <bgColor indexed="64"/>
      </patternFill>
    </fill>
    <fill>
      <patternFill patternType="solid">
        <fgColor indexed="47"/>
        <bgColor indexed="64"/>
      </patternFill>
    </fill>
    <fill>
      <patternFill patternType="solid">
        <fgColor indexed="26"/>
        <bgColor indexed="64"/>
      </patternFill>
    </fill>
    <fill>
      <patternFill patternType="mediumGray">
        <fgColor indexed="42"/>
      </patternFill>
    </fill>
    <fill>
      <patternFill patternType="solid">
        <fgColor indexed="13"/>
        <bgColor indexed="64"/>
      </patternFill>
    </fill>
    <fill>
      <patternFill patternType="solid">
        <fgColor indexed="52"/>
        <bgColor indexed="64"/>
      </patternFill>
    </fill>
    <fill>
      <patternFill patternType="solid">
        <fgColor indexed="9"/>
        <bgColor indexed="64"/>
      </patternFill>
    </fill>
    <fill>
      <patternFill patternType="solid">
        <fgColor indexed="42"/>
        <bgColor indexed="64"/>
      </patternFill>
    </fill>
    <fill>
      <patternFill patternType="solid">
        <fgColor indexed="17"/>
        <bgColor indexed="64"/>
      </patternFill>
    </fill>
    <fill>
      <patternFill patternType="solid">
        <fgColor rgb="FFCCFFCC"/>
        <bgColor indexed="64"/>
      </patternFill>
    </fill>
    <fill>
      <patternFill patternType="solid">
        <fgColor theme="0"/>
        <bgColor indexed="64"/>
      </patternFill>
    </fill>
    <fill>
      <patternFill patternType="solid">
        <fgColor rgb="FF4D4D4D"/>
        <bgColor indexed="64"/>
      </patternFill>
    </fill>
    <fill>
      <patternFill patternType="solid">
        <fgColor rgb="FFFFCC99"/>
        <bgColor indexed="64"/>
      </patternFill>
    </fill>
    <fill>
      <patternFill patternType="solid">
        <fgColor rgb="FFFF0000"/>
        <bgColor indexed="64"/>
      </patternFill>
    </fill>
    <fill>
      <patternFill patternType="solid">
        <fgColor rgb="FFC0C0C0"/>
        <bgColor indexed="64"/>
      </patternFill>
    </fill>
    <fill>
      <patternFill patternType="solid">
        <fgColor rgb="FFFFFFCC"/>
        <bgColor indexed="64"/>
      </patternFill>
    </fill>
    <fill>
      <patternFill patternType="solid">
        <fgColor rgb="FFFFFF00"/>
        <bgColor indexed="64"/>
      </patternFill>
    </fill>
    <fill>
      <patternFill patternType="solid">
        <fgColor theme="1"/>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249977111117893"/>
        <bgColor indexed="64"/>
      </patternFill>
    </fill>
  </fills>
  <borders count="170">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n">
        <color indexed="64"/>
      </top>
      <bottom/>
      <diagonal/>
    </border>
    <border>
      <left/>
      <right/>
      <top style="medium">
        <color indexed="64"/>
      </top>
      <bottom/>
      <diagonal/>
    </border>
    <border>
      <left/>
      <right/>
      <top style="thin">
        <color indexed="64"/>
      </top>
      <bottom style="thin">
        <color indexed="55"/>
      </bottom>
      <diagonal/>
    </border>
    <border>
      <left/>
      <right/>
      <top style="thin">
        <color indexed="55"/>
      </top>
      <bottom style="thin">
        <color indexed="55"/>
      </bottom>
      <diagonal/>
    </border>
    <border>
      <left/>
      <right/>
      <top/>
      <bottom style="thin">
        <color indexed="55"/>
      </bottom>
      <diagonal/>
    </border>
    <border>
      <left style="thin">
        <color indexed="9"/>
      </left>
      <right style="thin">
        <color indexed="9"/>
      </right>
      <top/>
      <bottom style="medium">
        <color indexed="9"/>
      </bottom>
      <diagonal/>
    </border>
    <border>
      <left style="thin">
        <color indexed="9"/>
      </left>
      <right style="thin">
        <color indexed="9"/>
      </right>
      <top style="medium">
        <color indexed="9"/>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medium">
        <color indexed="9"/>
      </bottom>
      <diagonal/>
    </border>
    <border>
      <left/>
      <right style="thin">
        <color indexed="9"/>
      </right>
      <top style="thin">
        <color indexed="9"/>
      </top>
      <bottom style="medium">
        <color indexed="9"/>
      </bottom>
      <diagonal/>
    </border>
    <border>
      <left style="thin">
        <color indexed="9"/>
      </left>
      <right/>
      <top style="thin">
        <color indexed="9"/>
      </top>
      <bottom style="medium">
        <color indexed="9"/>
      </bottom>
      <diagonal/>
    </border>
    <border>
      <left style="thin">
        <color indexed="9"/>
      </left>
      <right style="thin">
        <color indexed="9"/>
      </right>
      <top/>
      <bottom style="thin">
        <color indexed="9"/>
      </bottom>
      <diagonal/>
    </border>
    <border>
      <left style="thin">
        <color indexed="9"/>
      </left>
      <right style="thin">
        <color indexed="9"/>
      </right>
      <top/>
      <bottom style="medium">
        <color indexed="22"/>
      </bottom>
      <diagonal/>
    </border>
    <border>
      <left/>
      <right/>
      <top/>
      <bottom style="thin">
        <color indexed="9"/>
      </bottom>
      <diagonal/>
    </border>
    <border>
      <left/>
      <right/>
      <top/>
      <bottom style="medium">
        <color indexed="9"/>
      </bottom>
      <diagonal/>
    </border>
    <border>
      <left/>
      <right/>
      <top style="thin">
        <color indexed="55"/>
      </top>
      <bottom/>
      <diagonal/>
    </border>
    <border>
      <left style="thin">
        <color indexed="64"/>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55"/>
      </left>
      <right style="thin">
        <color indexed="64"/>
      </right>
      <top style="thin">
        <color indexed="64"/>
      </top>
      <bottom style="thin">
        <color indexed="64"/>
      </bottom>
      <diagonal/>
    </border>
    <border>
      <left style="thin">
        <color indexed="64"/>
      </left>
      <right style="thin">
        <color indexed="55"/>
      </right>
      <top style="thin">
        <color indexed="64"/>
      </top>
      <bottom/>
      <diagonal/>
    </border>
    <border>
      <left style="thin">
        <color indexed="55"/>
      </left>
      <right style="thin">
        <color indexed="64"/>
      </right>
      <top style="thin">
        <color indexed="64"/>
      </top>
      <bottom style="thin">
        <color indexed="55"/>
      </bottom>
      <diagonal/>
    </border>
    <border>
      <left style="thin">
        <color indexed="64"/>
      </left>
      <right style="thin">
        <color indexed="55"/>
      </right>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style="thin">
        <color indexed="55"/>
      </right>
      <top/>
      <bottom/>
      <diagonal/>
    </border>
    <border>
      <left style="thin">
        <color indexed="55"/>
      </left>
      <right style="thin">
        <color indexed="64"/>
      </right>
      <top/>
      <bottom style="thin">
        <color indexed="55"/>
      </bottom>
      <diagonal/>
    </border>
    <border>
      <left/>
      <right style="thin">
        <color indexed="22"/>
      </right>
      <top style="thin">
        <color indexed="22"/>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right style="thin">
        <color indexed="22"/>
      </right>
      <top style="thin">
        <color indexed="64"/>
      </top>
      <bottom style="thin">
        <color indexed="22"/>
      </bottom>
      <diagonal/>
    </border>
    <border>
      <left/>
      <right style="thin">
        <color indexed="22"/>
      </right>
      <top style="thin">
        <color indexed="2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medium">
        <color indexed="9"/>
      </left>
      <right style="thin">
        <color indexed="9"/>
      </right>
      <top style="medium">
        <color indexed="9"/>
      </top>
      <bottom style="medium">
        <color indexed="9"/>
      </bottom>
      <diagonal/>
    </border>
    <border>
      <left style="thin">
        <color indexed="9"/>
      </left>
      <right style="thin">
        <color indexed="9"/>
      </right>
      <top style="medium">
        <color indexed="9"/>
      </top>
      <bottom style="medium">
        <color indexed="9"/>
      </bottom>
      <diagonal/>
    </border>
    <border>
      <left style="thin">
        <color indexed="9"/>
      </left>
      <right style="medium">
        <color indexed="9"/>
      </right>
      <top style="medium">
        <color indexed="9"/>
      </top>
      <bottom style="medium">
        <color indexed="9"/>
      </bottom>
      <diagonal/>
    </border>
    <border>
      <left style="medium">
        <color indexed="9"/>
      </left>
      <right style="thin">
        <color indexed="9"/>
      </right>
      <top/>
      <bottom style="thin">
        <color indexed="9"/>
      </bottom>
      <diagonal/>
    </border>
    <border>
      <left style="thin">
        <color indexed="9"/>
      </left>
      <right style="medium">
        <color indexed="9"/>
      </right>
      <top/>
      <bottom style="thin">
        <color indexed="9"/>
      </bottom>
      <diagonal/>
    </border>
    <border>
      <left style="thin">
        <color indexed="9"/>
      </left>
      <right style="medium">
        <color indexed="9"/>
      </right>
      <top style="thin">
        <color indexed="9"/>
      </top>
      <bottom style="thin">
        <color indexed="9"/>
      </bottom>
      <diagonal/>
    </border>
    <border>
      <left style="medium">
        <color indexed="9"/>
      </left>
      <right style="thin">
        <color indexed="9"/>
      </right>
      <top style="thin">
        <color indexed="9"/>
      </top>
      <bottom style="medium">
        <color indexed="9"/>
      </bottom>
      <diagonal/>
    </border>
    <border>
      <left style="thin">
        <color indexed="9"/>
      </left>
      <right style="medium">
        <color indexed="9"/>
      </right>
      <top style="thin">
        <color indexed="9"/>
      </top>
      <bottom style="medium">
        <color indexed="9"/>
      </bottom>
      <diagonal/>
    </border>
    <border>
      <left style="medium">
        <color indexed="9"/>
      </left>
      <right style="thin">
        <color indexed="9"/>
      </right>
      <top style="thin">
        <color indexed="9"/>
      </top>
      <bottom style="thin">
        <color indexed="9"/>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55"/>
      </right>
      <top style="thin">
        <color indexed="64"/>
      </top>
      <bottom style="thin">
        <color indexed="64"/>
      </bottom>
      <diagonal/>
    </border>
    <border>
      <left style="medium">
        <color indexed="55"/>
      </left>
      <right style="medium">
        <color indexed="55"/>
      </right>
      <top style="medium">
        <color indexed="55"/>
      </top>
      <bottom style="medium">
        <color indexed="55"/>
      </bottom>
      <diagonal/>
    </border>
    <border>
      <left style="medium">
        <color indexed="55"/>
      </left>
      <right style="medium">
        <color indexed="55"/>
      </right>
      <top style="medium">
        <color indexed="55"/>
      </top>
      <bottom style="thin">
        <color indexed="55"/>
      </bottom>
      <diagonal/>
    </border>
    <border>
      <left style="medium">
        <color indexed="55"/>
      </left>
      <right style="medium">
        <color indexed="55"/>
      </right>
      <top/>
      <bottom style="medium">
        <color indexed="55"/>
      </bottom>
      <diagonal/>
    </border>
    <border>
      <left style="thin">
        <color indexed="9"/>
      </left>
      <right style="thin">
        <color indexed="9"/>
      </right>
      <top style="thin">
        <color indexed="9"/>
      </top>
      <bottom/>
      <diagonal/>
    </border>
    <border>
      <left/>
      <right/>
      <top style="medium">
        <color indexed="9"/>
      </top>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23"/>
      </right>
      <top style="thin">
        <color indexed="23"/>
      </top>
      <bottom style="thin">
        <color indexed="9"/>
      </bottom>
      <diagonal/>
    </border>
    <border>
      <left style="thin">
        <color indexed="23"/>
      </left>
      <right style="thin">
        <color indexed="23"/>
      </right>
      <top style="thin">
        <color indexed="23"/>
      </top>
      <bottom style="thin">
        <color indexed="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55"/>
      </left>
      <right style="medium">
        <color indexed="64"/>
      </right>
      <top style="thin">
        <color indexed="64"/>
      </top>
      <bottom style="thin">
        <color indexed="64"/>
      </bottom>
      <diagonal/>
    </border>
    <border>
      <left/>
      <right style="thin">
        <color indexed="55"/>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right style="thin">
        <color indexed="55"/>
      </right>
      <top style="thin">
        <color indexed="55"/>
      </top>
      <bottom style="thin">
        <color indexed="64"/>
      </bottom>
      <diagonal/>
    </border>
    <border>
      <left style="thin">
        <color indexed="55"/>
      </left>
      <right style="thin">
        <color indexed="55"/>
      </right>
      <top style="thin">
        <color indexed="55"/>
      </top>
      <bottom style="thin">
        <color indexed="64"/>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55"/>
      </left>
      <right/>
      <top style="thin">
        <color indexed="64"/>
      </top>
      <bottom style="thin">
        <color rgb="FF969696"/>
      </bottom>
      <diagonal/>
    </border>
    <border>
      <left/>
      <right style="thin">
        <color indexed="64"/>
      </right>
      <top style="thin">
        <color indexed="64"/>
      </top>
      <bottom style="thin">
        <color rgb="FF969696"/>
      </bottom>
      <diagonal/>
    </border>
    <border>
      <left style="thin">
        <color indexed="64"/>
      </left>
      <right style="thin">
        <color indexed="64"/>
      </right>
      <top style="thin">
        <color indexed="64"/>
      </top>
      <bottom style="thin">
        <color rgb="FF969696"/>
      </bottom>
      <diagonal/>
    </border>
    <border>
      <left/>
      <right style="thin">
        <color indexed="55"/>
      </right>
      <top style="thin">
        <color indexed="64"/>
      </top>
      <bottom style="thin">
        <color rgb="FF969696"/>
      </bottom>
      <diagonal/>
    </border>
    <border>
      <left style="thin">
        <color indexed="55"/>
      </left>
      <right style="thin">
        <color indexed="55"/>
      </right>
      <top style="thin">
        <color indexed="64"/>
      </top>
      <bottom style="thin">
        <color rgb="FF969696"/>
      </bottom>
      <diagonal/>
    </border>
    <border>
      <left style="thin">
        <color indexed="64"/>
      </left>
      <right style="thin">
        <color indexed="55"/>
      </right>
      <top style="thin">
        <color indexed="64"/>
      </top>
      <bottom style="thin">
        <color rgb="FF969696"/>
      </bottom>
      <diagonal/>
    </border>
    <border>
      <left style="thin">
        <color indexed="55"/>
      </left>
      <right style="thin">
        <color indexed="64"/>
      </right>
      <top style="thin">
        <color indexed="64"/>
      </top>
      <bottom style="thin">
        <color rgb="FF969696"/>
      </bottom>
      <diagonal/>
    </border>
    <border>
      <left style="thin">
        <color indexed="55"/>
      </left>
      <right style="medium">
        <color indexed="64"/>
      </right>
      <top style="thin">
        <color indexed="64"/>
      </top>
      <bottom style="thin">
        <color rgb="FF969696"/>
      </bottom>
      <diagonal/>
    </border>
    <border>
      <left style="thin">
        <color indexed="55"/>
      </left>
      <right/>
      <top style="thin">
        <color rgb="FF969696"/>
      </top>
      <bottom style="thin">
        <color rgb="FF969696"/>
      </bottom>
      <diagonal/>
    </border>
    <border>
      <left/>
      <right style="thin">
        <color indexed="64"/>
      </right>
      <top style="thin">
        <color rgb="FF969696"/>
      </top>
      <bottom style="thin">
        <color rgb="FF969696"/>
      </bottom>
      <diagonal/>
    </border>
    <border>
      <left style="thin">
        <color indexed="64"/>
      </left>
      <right style="thin">
        <color indexed="64"/>
      </right>
      <top style="thin">
        <color rgb="FF969696"/>
      </top>
      <bottom style="thin">
        <color rgb="FF969696"/>
      </bottom>
      <diagonal/>
    </border>
    <border>
      <left/>
      <right style="thin">
        <color indexed="55"/>
      </right>
      <top style="thin">
        <color rgb="FF969696"/>
      </top>
      <bottom style="thin">
        <color rgb="FF969696"/>
      </bottom>
      <diagonal/>
    </border>
    <border>
      <left style="thin">
        <color indexed="55"/>
      </left>
      <right style="thin">
        <color indexed="55"/>
      </right>
      <top style="thin">
        <color rgb="FF969696"/>
      </top>
      <bottom style="thin">
        <color rgb="FF969696"/>
      </bottom>
      <diagonal/>
    </border>
    <border>
      <left style="thin">
        <color indexed="64"/>
      </left>
      <right style="thin">
        <color indexed="55"/>
      </right>
      <top style="thin">
        <color rgb="FF969696"/>
      </top>
      <bottom style="thin">
        <color rgb="FF969696"/>
      </bottom>
      <diagonal/>
    </border>
    <border>
      <left style="thin">
        <color indexed="55"/>
      </left>
      <right style="thin">
        <color indexed="64"/>
      </right>
      <top style="thin">
        <color rgb="FF969696"/>
      </top>
      <bottom style="thin">
        <color rgb="FF969696"/>
      </bottom>
      <diagonal/>
    </border>
    <border>
      <left style="thin">
        <color indexed="55"/>
      </left>
      <right style="medium">
        <color indexed="64"/>
      </right>
      <top style="thin">
        <color rgb="FF969696"/>
      </top>
      <bottom style="thin">
        <color rgb="FF969696"/>
      </bottom>
      <diagonal/>
    </border>
    <border>
      <left style="thin">
        <color indexed="55"/>
      </left>
      <right/>
      <top style="thin">
        <color rgb="FF969696"/>
      </top>
      <bottom style="medium">
        <color indexed="64"/>
      </bottom>
      <diagonal/>
    </border>
    <border>
      <left/>
      <right style="thin">
        <color indexed="64"/>
      </right>
      <top style="thin">
        <color rgb="FF969696"/>
      </top>
      <bottom style="medium">
        <color indexed="64"/>
      </bottom>
      <diagonal/>
    </border>
    <border>
      <left style="thin">
        <color indexed="64"/>
      </left>
      <right style="thin">
        <color indexed="64"/>
      </right>
      <top style="thin">
        <color rgb="FF969696"/>
      </top>
      <bottom style="medium">
        <color indexed="64"/>
      </bottom>
      <diagonal/>
    </border>
    <border>
      <left/>
      <right style="thin">
        <color indexed="55"/>
      </right>
      <top style="thin">
        <color rgb="FF969696"/>
      </top>
      <bottom style="medium">
        <color indexed="64"/>
      </bottom>
      <diagonal/>
    </border>
    <border>
      <left style="thin">
        <color indexed="55"/>
      </left>
      <right style="thin">
        <color indexed="55"/>
      </right>
      <top style="thin">
        <color rgb="FF969696"/>
      </top>
      <bottom style="medium">
        <color indexed="64"/>
      </bottom>
      <diagonal/>
    </border>
    <border>
      <left style="thin">
        <color indexed="64"/>
      </left>
      <right style="thin">
        <color indexed="55"/>
      </right>
      <top style="thin">
        <color rgb="FF969696"/>
      </top>
      <bottom style="medium">
        <color indexed="64"/>
      </bottom>
      <diagonal/>
    </border>
    <border>
      <left style="thin">
        <color indexed="55"/>
      </left>
      <right style="thin">
        <color indexed="64"/>
      </right>
      <top style="thin">
        <color rgb="FF969696"/>
      </top>
      <bottom style="medium">
        <color indexed="64"/>
      </bottom>
      <diagonal/>
    </border>
    <border>
      <left style="thin">
        <color indexed="55"/>
      </left>
      <right style="medium">
        <color indexed="64"/>
      </right>
      <top style="thin">
        <color rgb="FF969696"/>
      </top>
      <bottom style="medium">
        <color indexed="64"/>
      </bottom>
      <diagonal/>
    </border>
    <border>
      <left/>
      <right/>
      <top style="thin">
        <color indexed="64"/>
      </top>
      <bottom style="thin">
        <color rgb="FF969696"/>
      </bottom>
      <diagonal/>
    </border>
    <border>
      <left/>
      <right/>
      <top style="thin">
        <color rgb="FF969696"/>
      </top>
      <bottom style="thin">
        <color rgb="FF969696"/>
      </bottom>
      <diagonal/>
    </border>
    <border>
      <left/>
      <right/>
      <top/>
      <bottom style="medium">
        <color indexed="64"/>
      </bottom>
      <diagonal/>
    </border>
    <border>
      <left/>
      <right/>
      <top style="thin">
        <color rgb="FF969696"/>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rgb="FFFFFF99"/>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bottom style="medium">
        <color indexed="64"/>
      </bottom>
      <diagonal/>
    </border>
    <border>
      <left style="thin">
        <color theme="0" tint="-0.499984740745262"/>
      </left>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auto="1"/>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theme="0" tint="-0.499984740745262"/>
      </left>
      <right style="thin">
        <color theme="0" tint="-0.499984740745262"/>
      </right>
      <top style="thin">
        <color theme="0" tint="-0.499984740745262"/>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09" fillId="0" borderId="0" applyNumberFormat="0" applyFill="0" applyBorder="0" applyAlignment="0" applyProtection="0"/>
  </cellStyleXfs>
  <cellXfs count="1159">
    <xf numFmtId="0" fontId="0" fillId="0" borderId="0" xfId="0"/>
    <xf numFmtId="0" fontId="3" fillId="0" borderId="0" xfId="0" applyFont="1"/>
    <xf numFmtId="0" fontId="4" fillId="0" borderId="0" xfId="0" applyFont="1"/>
    <xf numFmtId="0" fontId="7" fillId="0" borderId="0" xfId="0" applyFont="1"/>
    <xf numFmtId="0" fontId="0" fillId="2" borderId="0" xfId="0" applyFill="1"/>
    <xf numFmtId="0" fontId="0" fillId="0" borderId="0" xfId="0" applyFill="1"/>
    <xf numFmtId="0" fontId="0" fillId="3" borderId="0" xfId="0" applyFill="1"/>
    <xf numFmtId="0" fontId="4" fillId="2" borderId="0" xfId="0" applyFont="1" applyFill="1"/>
    <xf numFmtId="0" fontId="7" fillId="2" borderId="0" xfId="0" applyFont="1" applyFill="1"/>
    <xf numFmtId="0" fontId="8" fillId="2" borderId="2" xfId="0" applyFont="1" applyFill="1" applyBorder="1" applyAlignment="1">
      <alignment horizontal="center"/>
    </xf>
    <xf numFmtId="0" fontId="2" fillId="0" borderId="0" xfId="0" applyFont="1" applyAlignment="1">
      <alignment vertical="top"/>
    </xf>
    <xf numFmtId="0" fontId="1" fillId="2" borderId="0" xfId="0" applyFont="1" applyFill="1"/>
    <xf numFmtId="0" fontId="1" fillId="0" borderId="0" xfId="0" applyFont="1" applyFill="1"/>
    <xf numFmtId="0" fontId="1" fillId="3" borderId="0" xfId="0" applyFont="1" applyFill="1"/>
    <xf numFmtId="0" fontId="0" fillId="2" borderId="3" xfId="0" applyFill="1" applyBorder="1"/>
    <xf numFmtId="0" fontId="19" fillId="2" borderId="0" xfId="0" applyFont="1" applyFill="1" applyAlignment="1">
      <alignment horizontal="center"/>
    </xf>
    <xf numFmtId="0" fontId="3" fillId="2" borderId="0" xfId="0" applyFont="1" applyFill="1"/>
    <xf numFmtId="0" fontId="17" fillId="4" borderId="0" xfId="0" applyFont="1" applyFill="1" applyAlignment="1">
      <alignment horizontal="center"/>
    </xf>
    <xf numFmtId="0" fontId="8" fillId="2" borderId="2" xfId="0" applyFont="1" applyFill="1" applyBorder="1" applyAlignment="1">
      <alignment horizontal="center" wrapText="1"/>
    </xf>
    <xf numFmtId="0" fontId="6" fillId="2" borderId="0" xfId="0" applyFont="1" applyFill="1" applyAlignment="1">
      <alignment horizontal="right"/>
    </xf>
    <xf numFmtId="0" fontId="17" fillId="5" borderId="0" xfId="0" applyFont="1" applyFill="1" applyAlignment="1">
      <alignment horizontal="center"/>
    </xf>
    <xf numFmtId="0" fontId="0" fillId="2" borderId="0" xfId="0" applyFill="1" applyBorder="1"/>
    <xf numFmtId="0" fontId="0" fillId="0" borderId="0" xfId="0" applyFill="1" applyProtection="1"/>
    <xf numFmtId="0" fontId="0" fillId="0" borderId="4" xfId="0" applyBorder="1"/>
    <xf numFmtId="175" fontId="0" fillId="0" borderId="0" xfId="0" applyNumberFormat="1" applyAlignment="1">
      <alignment vertical="top"/>
    </xf>
    <xf numFmtId="0" fontId="0" fillId="0" borderId="0" xfId="0" applyAlignment="1">
      <alignment vertical="top"/>
    </xf>
    <xf numFmtId="175" fontId="10" fillId="0" borderId="0" xfId="0" applyNumberFormat="1" applyFont="1" applyAlignment="1">
      <alignment vertical="top"/>
    </xf>
    <xf numFmtId="0" fontId="15" fillId="0" borderId="3" xfId="0" applyFont="1" applyBorder="1"/>
    <xf numFmtId="0" fontId="0" fillId="0" borderId="3" xfId="0" applyBorder="1"/>
    <xf numFmtId="0" fontId="0" fillId="0" borderId="2" xfId="0" applyBorder="1"/>
    <xf numFmtId="0" fontId="6" fillId="2" borderId="0" xfId="0" applyFont="1" applyFill="1" applyAlignment="1">
      <alignment horizontal="left"/>
    </xf>
    <xf numFmtId="0" fontId="9" fillId="2" borderId="2" xfId="0" applyFont="1" applyFill="1" applyBorder="1" applyAlignment="1">
      <alignment horizontal="center"/>
    </xf>
    <xf numFmtId="0" fontId="8" fillId="2" borderId="0" xfId="0" applyFont="1" applyFill="1" applyBorder="1" applyAlignment="1">
      <alignment horizontal="center"/>
    </xf>
    <xf numFmtId="0" fontId="0" fillId="0" borderId="0" xfId="0" applyFill="1" applyAlignment="1">
      <alignment horizontal="left"/>
    </xf>
    <xf numFmtId="0" fontId="19" fillId="2" borderId="0" xfId="0" applyFont="1" applyFill="1" applyBorder="1" applyAlignment="1">
      <alignment horizontal="center"/>
    </xf>
    <xf numFmtId="0" fontId="25" fillId="2" borderId="0" xfId="0" applyFont="1" applyFill="1" applyAlignment="1">
      <alignment horizontal="right"/>
    </xf>
    <xf numFmtId="0" fontId="16" fillId="2" borderId="0" xfId="0" applyFont="1" applyFill="1" applyAlignment="1">
      <alignment horizontal="center"/>
    </xf>
    <xf numFmtId="0" fontId="0" fillId="2" borderId="2" xfId="0" applyFill="1" applyBorder="1"/>
    <xf numFmtId="0" fontId="7" fillId="2" borderId="2" xfId="0" applyFont="1" applyFill="1" applyBorder="1"/>
    <xf numFmtId="0" fontId="7" fillId="2" borderId="0" xfId="0" applyFont="1" applyFill="1" applyBorder="1"/>
    <xf numFmtId="0" fontId="9" fillId="2" borderId="0" xfId="0" applyFont="1" applyFill="1" applyBorder="1" applyAlignment="1">
      <alignment horizontal="center"/>
    </xf>
    <xf numFmtId="0" fontId="0" fillId="2" borderId="5" xfId="0" applyFill="1" applyBorder="1"/>
    <xf numFmtId="0" fontId="0" fillId="2" borderId="6" xfId="0" applyFill="1" applyBorder="1"/>
    <xf numFmtId="0" fontId="0" fillId="2" borderId="7" xfId="0" applyFill="1" applyBorder="1"/>
    <xf numFmtId="0" fontId="6" fillId="2" borderId="7" xfId="0" applyFont="1" applyFill="1" applyBorder="1"/>
    <xf numFmtId="0" fontId="4" fillId="2" borderId="7" xfId="0" applyFont="1" applyFill="1" applyBorder="1"/>
    <xf numFmtId="0" fontId="6" fillId="2" borderId="7" xfId="0" applyFont="1" applyFill="1" applyBorder="1" applyAlignment="1">
      <alignment horizontal="left"/>
    </xf>
    <xf numFmtId="0" fontId="19" fillId="2" borderId="7" xfId="0" applyFont="1" applyFill="1" applyBorder="1" applyAlignment="1">
      <alignment horizontal="center"/>
    </xf>
    <xf numFmtId="0" fontId="31" fillId="2" borderId="0" xfId="0" applyFont="1" applyFill="1"/>
    <xf numFmtId="0" fontId="2" fillId="6" borderId="8" xfId="0" applyFont="1" applyFill="1" applyBorder="1" applyAlignment="1">
      <alignment horizontal="center" wrapText="1"/>
    </xf>
    <xf numFmtId="0" fontId="21" fillId="7" borderId="8" xfId="0" applyFont="1" applyFill="1" applyBorder="1" applyAlignment="1">
      <alignment horizontal="center" wrapText="1"/>
    </xf>
    <xf numFmtId="0" fontId="10" fillId="2" borderId="9" xfId="0" applyFont="1" applyFill="1" applyBorder="1" applyAlignment="1">
      <alignment horizontal="center"/>
    </xf>
    <xf numFmtId="0" fontId="24" fillId="2" borderId="9" xfId="0" applyFont="1" applyFill="1" applyBorder="1" applyAlignment="1">
      <alignment horizontal="center"/>
    </xf>
    <xf numFmtId="0" fontId="10" fillId="2" borderId="10" xfId="0" applyFont="1" applyFill="1" applyBorder="1" applyAlignment="1">
      <alignment horizontal="center"/>
    </xf>
    <xf numFmtId="0" fontId="24" fillId="2" borderId="10" xfId="0" applyFont="1" applyFill="1" applyBorder="1" applyAlignment="1">
      <alignment horizontal="center"/>
    </xf>
    <xf numFmtId="0" fontId="24" fillId="2" borderId="11" xfId="0" applyFont="1" applyFill="1" applyBorder="1" applyAlignment="1">
      <alignment horizontal="center"/>
    </xf>
    <xf numFmtId="0" fontId="24" fillId="2" borderId="12" xfId="0" applyFont="1" applyFill="1" applyBorder="1" applyAlignment="1">
      <alignment horizontal="center"/>
    </xf>
    <xf numFmtId="0" fontId="10" fillId="2" borderId="13" xfId="0" applyFont="1" applyFill="1" applyBorder="1" applyAlignment="1">
      <alignment horizontal="center"/>
    </xf>
    <xf numFmtId="0" fontId="24" fillId="2" borderId="13" xfId="0" applyFont="1" applyFill="1" applyBorder="1" applyAlignment="1">
      <alignment horizontal="center"/>
    </xf>
    <xf numFmtId="0" fontId="24" fillId="2" borderId="14" xfId="0" applyFont="1" applyFill="1" applyBorder="1" applyAlignment="1">
      <alignment horizontal="center"/>
    </xf>
    <xf numFmtId="0" fontId="24" fillId="2" borderId="15" xfId="0" applyFont="1" applyFill="1" applyBorder="1" applyAlignment="1">
      <alignment horizontal="center"/>
    </xf>
    <xf numFmtId="0" fontId="23" fillId="8" borderId="8" xfId="0" applyFont="1" applyFill="1" applyBorder="1" applyAlignment="1">
      <alignment horizontal="center" wrapText="1"/>
    </xf>
    <xf numFmtId="0" fontId="8" fillId="2" borderId="0" xfId="0" applyFont="1" applyFill="1" applyBorder="1" applyAlignment="1">
      <alignment horizontal="left" indent="1"/>
    </xf>
    <xf numFmtId="0" fontId="2" fillId="2" borderId="2" xfId="0" applyFont="1" applyFill="1" applyBorder="1" applyAlignment="1">
      <alignment horizontal="center"/>
    </xf>
    <xf numFmtId="0" fontId="16" fillId="4" borderId="0" xfId="0" applyFont="1" applyFill="1" applyAlignment="1">
      <alignment horizontal="center"/>
    </xf>
    <xf numFmtId="0" fontId="16" fillId="5" borderId="0" xfId="0" applyFont="1" applyFill="1" applyAlignment="1">
      <alignment horizontal="center"/>
    </xf>
    <xf numFmtId="0" fontId="36" fillId="9" borderId="17" xfId="0" applyFont="1" applyFill="1" applyBorder="1" applyAlignment="1">
      <alignment horizontal="center" wrapText="1"/>
    </xf>
    <xf numFmtId="0" fontId="31" fillId="2" borderId="0" xfId="0" applyFont="1" applyFill="1" applyAlignment="1">
      <alignment horizontal="left"/>
    </xf>
    <xf numFmtId="0" fontId="40" fillId="8" borderId="8" xfId="0" applyFont="1" applyFill="1" applyBorder="1" applyAlignment="1">
      <alignment horizontal="center" wrapText="1"/>
    </xf>
    <xf numFmtId="0" fontId="24" fillId="2" borderId="0" xfId="0" applyFont="1" applyFill="1" applyBorder="1" applyAlignment="1">
      <alignment horizontal="center"/>
    </xf>
    <xf numFmtId="0" fontId="0" fillId="0" borderId="4" xfId="0" applyFill="1" applyBorder="1"/>
    <xf numFmtId="176" fontId="10" fillId="8" borderId="16" xfId="0" applyNumberFormat="1" applyFont="1" applyFill="1" applyBorder="1" applyAlignment="1">
      <alignment horizontal="center"/>
    </xf>
    <xf numFmtId="176" fontId="10" fillId="8" borderId="10" xfId="0" applyNumberFormat="1" applyFont="1" applyFill="1" applyBorder="1" applyAlignment="1">
      <alignment horizontal="center"/>
    </xf>
    <xf numFmtId="176" fontId="10" fillId="8" borderId="13" xfId="0" applyNumberFormat="1" applyFont="1" applyFill="1" applyBorder="1" applyAlignment="1">
      <alignment horizontal="center"/>
    </xf>
    <xf numFmtId="177" fontId="10" fillId="8" borderId="16" xfId="1" applyNumberFormat="1" applyFont="1" applyFill="1" applyBorder="1" applyAlignment="1">
      <alignment horizontal="center"/>
    </xf>
    <xf numFmtId="177" fontId="10" fillId="8" borderId="10" xfId="1" applyNumberFormat="1" applyFont="1" applyFill="1" applyBorder="1" applyAlignment="1">
      <alignment horizontal="center"/>
    </xf>
    <xf numFmtId="0" fontId="4" fillId="2" borderId="0" xfId="0" quotePrefix="1" applyFont="1" applyFill="1"/>
    <xf numFmtId="174" fontId="10" fillId="8" borderId="0" xfId="0" applyNumberFormat="1" applyFont="1" applyFill="1"/>
    <xf numFmtId="178" fontId="10" fillId="8" borderId="16" xfId="1" applyNumberFormat="1" applyFont="1" applyFill="1" applyBorder="1" applyAlignment="1">
      <alignment horizontal="center"/>
    </xf>
    <xf numFmtId="0" fontId="8" fillId="2" borderId="18" xfId="0" applyFont="1" applyFill="1" applyBorder="1" applyAlignment="1">
      <alignment horizontal="center"/>
    </xf>
    <xf numFmtId="178" fontId="24" fillId="2" borderId="16" xfId="1" applyNumberFormat="1" applyFont="1" applyFill="1" applyBorder="1" applyAlignment="1">
      <alignment horizontal="center"/>
    </xf>
    <xf numFmtId="0" fontId="31" fillId="2" borderId="0" xfId="0" applyFont="1" applyFill="1" applyBorder="1" applyAlignment="1">
      <alignment horizontal="left"/>
    </xf>
    <xf numFmtId="0" fontId="7" fillId="2" borderId="0" xfId="0" applyFont="1" applyFill="1" applyBorder="1" applyAlignment="1">
      <alignment horizontal="right"/>
    </xf>
    <xf numFmtId="166" fontId="16" fillId="5" borderId="19" xfId="0" applyNumberFormat="1" applyFont="1" applyFill="1" applyBorder="1" applyAlignment="1">
      <alignment horizontal="center"/>
    </xf>
    <xf numFmtId="0" fontId="26" fillId="4" borderId="0" xfId="0" applyFont="1" applyFill="1"/>
    <xf numFmtId="0" fontId="4" fillId="2" borderId="0" xfId="0" applyFont="1" applyFill="1" applyBorder="1" applyAlignment="1">
      <alignment horizontal="left"/>
    </xf>
    <xf numFmtId="0" fontId="38" fillId="0" borderId="4" xfId="0" applyFont="1" applyFill="1" applyBorder="1"/>
    <xf numFmtId="0" fontId="31" fillId="2" borderId="0" xfId="0" applyFont="1" applyFill="1" applyAlignment="1">
      <alignment horizontal="right"/>
    </xf>
    <xf numFmtId="0" fontId="25" fillId="2" borderId="2" xfId="0" applyFont="1" applyFill="1" applyBorder="1"/>
    <xf numFmtId="0" fontId="0" fillId="2" borderId="0" xfId="0" applyFill="1" applyAlignment="1">
      <alignment horizontal="right"/>
    </xf>
    <xf numFmtId="0" fontId="0" fillId="0" borderId="0" xfId="0" applyFill="1" applyBorder="1"/>
    <xf numFmtId="0" fontId="0" fillId="0" borderId="0" xfId="0" applyFill="1" applyBorder="1" applyProtection="1"/>
    <xf numFmtId="0" fontId="0" fillId="0" borderId="0" xfId="0" applyAlignment="1"/>
    <xf numFmtId="0" fontId="31" fillId="2" borderId="0" xfId="0" applyFont="1" applyFill="1" applyBorder="1" applyAlignment="1">
      <alignment vertical="top"/>
    </xf>
    <xf numFmtId="0" fontId="8" fillId="0" borderId="0" xfId="0" applyFont="1" applyBorder="1" applyAlignment="1">
      <alignment horizontal="left" vertical="top"/>
    </xf>
    <xf numFmtId="0" fontId="42" fillId="2" borderId="0" xfId="0" applyFont="1" applyFill="1"/>
    <xf numFmtId="0" fontId="14" fillId="0" borderId="0" xfId="0" applyFont="1" applyFill="1" applyBorder="1" applyAlignment="1" applyProtection="1">
      <alignment horizontal="left" indent="1"/>
    </xf>
    <xf numFmtId="0" fontId="22" fillId="2" borderId="0" xfId="0" applyFont="1" applyFill="1" applyAlignment="1">
      <alignment horizontal="left" indent="1"/>
    </xf>
    <xf numFmtId="0" fontId="25" fillId="2" borderId="0" xfId="0" applyFont="1" applyFill="1"/>
    <xf numFmtId="0" fontId="26" fillId="5" borderId="0" xfId="0" applyFont="1" applyFill="1"/>
    <xf numFmtId="0" fontId="26" fillId="4" borderId="0" xfId="0" applyFont="1" applyFill="1" applyAlignment="1">
      <alignment horizontal="center"/>
    </xf>
    <xf numFmtId="0" fontId="45" fillId="0" borderId="0" xfId="0" applyFont="1" applyFill="1"/>
    <xf numFmtId="0" fontId="29" fillId="2" borderId="0" xfId="0" applyFont="1" applyFill="1"/>
    <xf numFmtId="0" fontId="10" fillId="2" borderId="0" xfId="0" applyFont="1" applyFill="1"/>
    <xf numFmtId="0" fontId="10" fillId="2" borderId="0" xfId="0" applyFont="1" applyFill="1" applyAlignment="1">
      <alignment horizontal="center"/>
    </xf>
    <xf numFmtId="0" fontId="10" fillId="4" borderId="0" xfId="0" applyFont="1" applyFill="1" applyAlignment="1">
      <alignment horizontal="center"/>
    </xf>
    <xf numFmtId="0" fontId="14" fillId="2" borderId="2" xfId="0" applyFont="1" applyFill="1" applyBorder="1" applyAlignment="1">
      <alignment horizontal="center" wrapText="1"/>
    </xf>
    <xf numFmtId="172" fontId="46" fillId="0" borderId="0" xfId="0" applyNumberFormat="1" applyFont="1" applyFill="1" applyBorder="1" applyAlignment="1" applyProtection="1">
      <alignment horizontal="center"/>
    </xf>
    <xf numFmtId="0" fontId="47" fillId="0" borderId="0" xfId="0" applyFont="1" applyFill="1" applyBorder="1" applyAlignment="1" applyProtection="1">
      <alignment horizontal="right" indent="15"/>
    </xf>
    <xf numFmtId="0" fontId="28" fillId="2" borderId="6" xfId="0" applyFont="1" applyFill="1" applyBorder="1" applyAlignment="1">
      <alignment horizontal="center"/>
    </xf>
    <xf numFmtId="0" fontId="28" fillId="2" borderId="5" xfId="0" applyFont="1" applyFill="1" applyBorder="1" applyAlignment="1">
      <alignment horizontal="center"/>
    </xf>
    <xf numFmtId="0" fontId="28" fillId="2" borderId="20" xfId="0" applyFont="1" applyFill="1" applyBorder="1" applyAlignment="1">
      <alignment horizontal="center"/>
    </xf>
    <xf numFmtId="0" fontId="22" fillId="0" borderId="0" xfId="0" applyFont="1"/>
    <xf numFmtId="0" fontId="11" fillId="0" borderId="0" xfId="0" applyFont="1" applyFill="1" applyAlignment="1">
      <alignment horizontal="right" vertical="top"/>
    </xf>
    <xf numFmtId="0" fontId="2" fillId="2" borderId="0" xfId="0" applyFont="1" applyFill="1" applyAlignment="1">
      <alignment horizontal="center"/>
    </xf>
    <xf numFmtId="0" fontId="2" fillId="2" borderId="0" xfId="0" applyFont="1" applyFill="1"/>
    <xf numFmtId="0" fontId="31" fillId="2" borderId="0" xfId="0" applyFont="1" applyFill="1" applyBorder="1" applyAlignment="1">
      <alignment horizontal="left" vertical="top"/>
    </xf>
    <xf numFmtId="0" fontId="0" fillId="0" borderId="0" xfId="0" applyProtection="1"/>
    <xf numFmtId="0" fontId="3" fillId="0" borderId="0" xfId="0" applyFont="1" applyProtection="1"/>
    <xf numFmtId="0" fontId="4" fillId="0" borderId="0" xfId="0" applyFont="1" applyProtection="1"/>
    <xf numFmtId="0" fontId="8" fillId="4" borderId="21" xfId="0" applyFont="1" applyFill="1" applyBorder="1" applyAlignment="1" applyProtection="1">
      <alignment horizontal="center" vertical="top" wrapText="1"/>
    </xf>
    <xf numFmtId="0" fontId="8" fillId="4" borderId="22" xfId="0" applyFont="1" applyFill="1" applyBorder="1" applyAlignment="1" applyProtection="1">
      <alignment horizontal="center" vertical="top" wrapText="1"/>
    </xf>
    <xf numFmtId="0" fontId="8" fillId="4" borderId="23" xfId="0" applyFont="1" applyFill="1" applyBorder="1" applyAlignment="1" applyProtection="1">
      <alignment horizontal="center" vertical="top" wrapText="1"/>
    </xf>
    <xf numFmtId="0" fontId="31" fillId="0" borderId="0" xfId="0" applyFont="1" applyProtection="1"/>
    <xf numFmtId="0" fontId="34" fillId="0" borderId="0" xfId="0" applyFont="1" applyProtection="1"/>
    <xf numFmtId="0" fontId="0" fillId="0" borderId="3" xfId="0" applyBorder="1" applyProtection="1"/>
    <xf numFmtId="0" fontId="0" fillId="0" borderId="0" xfId="0" applyBorder="1" applyProtection="1"/>
    <xf numFmtId="166" fontId="8" fillId="0" borderId="0" xfId="0" applyNumberFormat="1" applyFont="1" applyAlignment="1" applyProtection="1">
      <alignment horizontal="right"/>
    </xf>
    <xf numFmtId="0" fontId="7" fillId="0" borderId="0" xfId="0" applyFont="1" applyProtection="1"/>
    <xf numFmtId="0" fontId="2" fillId="0" borderId="0" xfId="0" applyFont="1" applyAlignment="1" applyProtection="1">
      <alignment horizontal="right"/>
    </xf>
    <xf numFmtId="0" fontId="8" fillId="0" borderId="0" xfId="0" applyFont="1" applyAlignment="1" applyProtection="1">
      <alignment horizontal="center"/>
    </xf>
    <xf numFmtId="0" fontId="2" fillId="0" borderId="24" xfId="0" applyFont="1" applyBorder="1" applyProtection="1"/>
    <xf numFmtId="0" fontId="0" fillId="0" borderId="25" xfId="0" applyBorder="1" applyProtection="1"/>
    <xf numFmtId="0" fontId="0" fillId="0" borderId="26" xfId="0" applyBorder="1" applyProtection="1"/>
    <xf numFmtId="0" fontId="0" fillId="0" borderId="27" xfId="0" applyBorder="1" applyProtection="1"/>
    <xf numFmtId="0" fontId="2" fillId="0" borderId="28" xfId="0" applyFont="1" applyBorder="1" applyProtection="1"/>
    <xf numFmtId="0" fontId="0" fillId="0" borderId="29" xfId="0" applyBorder="1" applyProtection="1"/>
    <xf numFmtId="0" fontId="31" fillId="0" borderId="0" xfId="0" applyFont="1" applyBorder="1" applyProtection="1"/>
    <xf numFmtId="0" fontId="43" fillId="0" borderId="3" xfId="0" applyFont="1" applyFill="1" applyBorder="1" applyAlignment="1">
      <alignment horizontal="centerContinuous"/>
    </xf>
    <xf numFmtId="0" fontId="44" fillId="0" borderId="3" xfId="0" applyFont="1" applyFill="1" applyBorder="1" applyAlignment="1">
      <alignment horizontal="centerContinuous"/>
    </xf>
    <xf numFmtId="0" fontId="45" fillId="2" borderId="0" xfId="0" applyFont="1" applyFill="1"/>
    <xf numFmtId="0" fontId="0" fillId="0" borderId="0" xfId="0" applyAlignment="1">
      <alignment horizontal="right"/>
    </xf>
    <xf numFmtId="0" fontId="2" fillId="0" borderId="0" xfId="0" applyFont="1" applyFill="1" applyAlignment="1">
      <alignment horizontal="centerContinuous"/>
    </xf>
    <xf numFmtId="0" fontId="1" fillId="0" borderId="0" xfId="0" applyFont="1" applyFill="1" applyAlignment="1">
      <alignment horizontal="centerContinuous"/>
    </xf>
    <xf numFmtId="0" fontId="32" fillId="0" borderId="0" xfId="0" applyNumberFormat="1" applyFont="1" applyFill="1" applyBorder="1" applyAlignment="1" applyProtection="1">
      <alignment horizontal="left" indent="1"/>
    </xf>
    <xf numFmtId="0" fontId="28" fillId="2" borderId="7" xfId="0" applyFont="1" applyFill="1" applyBorder="1" applyAlignment="1">
      <alignment horizontal="center"/>
    </xf>
    <xf numFmtId="0" fontId="14" fillId="0" borderId="0" xfId="0" applyFont="1" applyFill="1" applyAlignment="1" applyProtection="1">
      <alignment horizontal="right"/>
    </xf>
    <xf numFmtId="167" fontId="7" fillId="0" borderId="30" xfId="0" applyNumberFormat="1" applyFont="1" applyBorder="1"/>
    <xf numFmtId="0" fontId="8" fillId="0" borderId="31" xfId="0" applyFont="1" applyBorder="1" applyAlignment="1">
      <alignment horizontal="center"/>
    </xf>
    <xf numFmtId="0" fontId="8" fillId="0" borderId="32" xfId="0" applyFont="1" applyBorder="1" applyAlignment="1">
      <alignment horizontal="center"/>
    </xf>
    <xf numFmtId="165" fontId="14" fillId="0" borderId="33" xfId="0" applyNumberFormat="1" applyFont="1" applyBorder="1" applyAlignment="1">
      <alignment horizontal="center"/>
    </xf>
    <xf numFmtId="164" fontId="14" fillId="0" borderId="33" xfId="0" applyNumberFormat="1" applyFont="1" applyBorder="1" applyAlignment="1">
      <alignment horizontal="center"/>
    </xf>
    <xf numFmtId="164" fontId="14" fillId="0" borderId="34" xfId="0" applyNumberFormat="1" applyFont="1" applyBorder="1" applyAlignment="1">
      <alignment horizontal="center"/>
    </xf>
    <xf numFmtId="0" fontId="8" fillId="0" borderId="35" xfId="0" applyFont="1" applyBorder="1" applyAlignment="1">
      <alignment horizontal="center"/>
    </xf>
    <xf numFmtId="165" fontId="14" fillId="0" borderId="36" xfId="0" applyNumberFormat="1" applyFont="1" applyBorder="1" applyAlignment="1">
      <alignment horizontal="center"/>
    </xf>
    <xf numFmtId="0" fontId="14" fillId="0" borderId="37" xfId="0" applyFont="1" applyBorder="1" applyAlignment="1">
      <alignment horizontal="center"/>
    </xf>
    <xf numFmtId="0" fontId="8" fillId="0" borderId="38" xfId="0" applyFont="1" applyBorder="1" applyAlignment="1">
      <alignment horizontal="center"/>
    </xf>
    <xf numFmtId="167" fontId="7" fillId="0" borderId="1" xfId="0" applyNumberFormat="1" applyFont="1" applyBorder="1"/>
    <xf numFmtId="167" fontId="7" fillId="0" borderId="36" xfId="0" applyNumberFormat="1" applyFont="1" applyBorder="1"/>
    <xf numFmtId="167" fontId="7" fillId="0" borderId="33" xfId="0" applyNumberFormat="1" applyFont="1" applyBorder="1"/>
    <xf numFmtId="167" fontId="7" fillId="0" borderId="39" xfId="0" applyNumberFormat="1" applyFont="1" applyBorder="1"/>
    <xf numFmtId="167" fontId="7" fillId="0" borderId="40" xfId="0" applyNumberFormat="1" applyFont="1" applyBorder="1"/>
    <xf numFmtId="167" fontId="7" fillId="2" borderId="1" xfId="0" applyNumberFormat="1" applyFont="1" applyFill="1" applyBorder="1"/>
    <xf numFmtId="167" fontId="7" fillId="2" borderId="33" xfId="0" applyNumberFormat="1" applyFont="1" applyFill="1" applyBorder="1"/>
    <xf numFmtId="167" fontId="7" fillId="2" borderId="41" xfId="0" applyNumberFormat="1" applyFont="1" applyFill="1" applyBorder="1"/>
    <xf numFmtId="167" fontId="7" fillId="2" borderId="34" xfId="0" applyNumberFormat="1" applyFont="1" applyFill="1" applyBorder="1"/>
    <xf numFmtId="167" fontId="25" fillId="0" borderId="30" xfId="0" applyNumberFormat="1" applyFont="1" applyBorder="1"/>
    <xf numFmtId="167" fontId="25" fillId="2" borderId="1" xfId="0" applyNumberFormat="1" applyFont="1" applyFill="1" applyBorder="1"/>
    <xf numFmtId="167" fontId="25" fillId="0" borderId="1" xfId="0" applyNumberFormat="1" applyFont="1" applyBorder="1"/>
    <xf numFmtId="167" fontId="25" fillId="2" borderId="41" xfId="0" applyNumberFormat="1" applyFont="1" applyFill="1" applyBorder="1"/>
    <xf numFmtId="167" fontId="57" fillId="0" borderId="42" xfId="0" applyNumberFormat="1" applyFont="1" applyBorder="1"/>
    <xf numFmtId="167" fontId="56" fillId="0" borderId="43" xfId="0" applyNumberFormat="1" applyFont="1" applyBorder="1"/>
    <xf numFmtId="167" fontId="57" fillId="0" borderId="43" xfId="0" applyNumberFormat="1" applyFont="1" applyBorder="1"/>
    <xf numFmtId="167" fontId="57" fillId="0" borderId="44" xfId="0" applyNumberFormat="1" applyFont="1" applyBorder="1"/>
    <xf numFmtId="167" fontId="58" fillId="0" borderId="42" xfId="0" applyNumberFormat="1" applyFont="1" applyBorder="1"/>
    <xf numFmtId="167" fontId="59" fillId="0" borderId="43" xfId="0" applyNumberFormat="1" applyFont="1" applyBorder="1"/>
    <xf numFmtId="167" fontId="58" fillId="0" borderId="43" xfId="0" applyNumberFormat="1" applyFont="1" applyBorder="1"/>
    <xf numFmtId="167" fontId="58" fillId="0" borderId="44" xfId="0" applyNumberFormat="1" applyFont="1" applyBorder="1"/>
    <xf numFmtId="167" fontId="7" fillId="2" borderId="31" xfId="0" applyNumberFormat="1" applyFont="1" applyFill="1" applyBorder="1"/>
    <xf numFmtId="167" fontId="7" fillId="2" borderId="32" xfId="0" applyNumberFormat="1" applyFont="1" applyFill="1" applyBorder="1"/>
    <xf numFmtId="0" fontId="60" fillId="0" borderId="0" xfId="0" applyFont="1" applyProtection="1"/>
    <xf numFmtId="0" fontId="56" fillId="0" borderId="0" xfId="0" applyFont="1"/>
    <xf numFmtId="167" fontId="57" fillId="9" borderId="42" xfId="0" applyNumberFormat="1" applyFont="1" applyFill="1" applyBorder="1"/>
    <xf numFmtId="167" fontId="56" fillId="9" borderId="43" xfId="0" applyNumberFormat="1" applyFont="1" applyFill="1" applyBorder="1"/>
    <xf numFmtId="167" fontId="57" fillId="9" borderId="43" xfId="0" applyNumberFormat="1" applyFont="1" applyFill="1" applyBorder="1"/>
    <xf numFmtId="167" fontId="57" fillId="9" borderId="44" xfId="0" applyNumberFormat="1" applyFont="1" applyFill="1" applyBorder="1"/>
    <xf numFmtId="0" fontId="25" fillId="0" borderId="0" xfId="0" applyFont="1" applyBorder="1" applyProtection="1"/>
    <xf numFmtId="166" fontId="10" fillId="0" borderId="0" xfId="0" applyNumberFormat="1" applyFont="1" applyAlignment="1" applyProtection="1">
      <alignment horizontal="right" indent="1"/>
    </xf>
    <xf numFmtId="3" fontId="7" fillId="0" borderId="0" xfId="0" applyNumberFormat="1" applyFont="1" applyBorder="1" applyAlignment="1" applyProtection="1">
      <alignment horizontal="right" indent="1"/>
    </xf>
    <xf numFmtId="0" fontId="61" fillId="0" borderId="0" xfId="0" applyFont="1" applyProtection="1"/>
    <xf numFmtId="0" fontId="11" fillId="0" borderId="0" xfId="0" quotePrefix="1" applyFont="1"/>
    <xf numFmtId="0" fontId="7" fillId="0" borderId="0" xfId="0" applyFont="1" applyBorder="1" applyProtection="1"/>
    <xf numFmtId="0" fontId="60" fillId="0" borderId="0" xfId="0" applyFont="1"/>
    <xf numFmtId="0" fontId="11" fillId="0" borderId="3" xfId="0" applyFont="1" applyBorder="1" applyProtection="1"/>
    <xf numFmtId="173" fontId="62" fillId="2" borderId="0" xfId="0" applyNumberFormat="1" applyFont="1" applyFill="1"/>
    <xf numFmtId="0" fontId="8" fillId="2" borderId="45" xfId="0" applyFont="1" applyFill="1" applyBorder="1" applyAlignment="1">
      <alignment horizontal="center" wrapText="1"/>
    </xf>
    <xf numFmtId="0" fontId="8" fillId="2" borderId="46" xfId="0" applyFont="1" applyFill="1" applyBorder="1" applyAlignment="1">
      <alignment horizontal="center" wrapText="1"/>
    </xf>
    <xf numFmtId="0" fontId="8" fillId="2" borderId="47" xfId="0" applyFont="1" applyFill="1" applyBorder="1" applyAlignment="1">
      <alignment horizontal="center" wrapText="1"/>
    </xf>
    <xf numFmtId="176" fontId="10" fillId="8" borderId="48" xfId="0" applyNumberFormat="1" applyFont="1" applyFill="1" applyBorder="1" applyAlignment="1">
      <alignment horizontal="center"/>
    </xf>
    <xf numFmtId="176" fontId="10" fillId="8" borderId="49" xfId="0" applyNumberFormat="1" applyFont="1" applyFill="1" applyBorder="1" applyAlignment="1">
      <alignment horizontal="center"/>
    </xf>
    <xf numFmtId="176" fontId="10" fillId="8" borderId="50" xfId="0" applyNumberFormat="1" applyFont="1" applyFill="1" applyBorder="1" applyAlignment="1">
      <alignment horizontal="center"/>
    </xf>
    <xf numFmtId="176" fontId="10" fillId="8" borderId="51" xfId="0" applyNumberFormat="1" applyFont="1" applyFill="1" applyBorder="1" applyAlignment="1">
      <alignment horizontal="center"/>
    </xf>
    <xf numFmtId="176" fontId="10" fillId="8" borderId="52" xfId="0" applyNumberFormat="1" applyFont="1" applyFill="1" applyBorder="1" applyAlignment="1">
      <alignment horizontal="center"/>
    </xf>
    <xf numFmtId="176" fontId="10" fillId="8" borderId="53" xfId="0" applyNumberFormat="1" applyFont="1" applyFill="1" applyBorder="1" applyAlignment="1">
      <alignment horizontal="center"/>
    </xf>
    <xf numFmtId="177" fontId="10" fillId="8" borderId="13" xfId="1" applyNumberFormat="1" applyFont="1" applyFill="1" applyBorder="1" applyAlignment="1">
      <alignment horizontal="center"/>
    </xf>
    <xf numFmtId="0" fontId="18" fillId="7" borderId="46" xfId="0" applyFont="1" applyFill="1" applyBorder="1" applyAlignment="1">
      <alignment horizontal="center" wrapText="1"/>
    </xf>
    <xf numFmtId="178" fontId="10" fillId="8" borderId="49" xfId="1" applyNumberFormat="1" applyFont="1" applyFill="1" applyBorder="1" applyAlignment="1">
      <alignment horizontal="left"/>
    </xf>
    <xf numFmtId="0" fontId="6" fillId="2" borderId="0" xfId="0" applyFont="1" applyFill="1" applyAlignment="1">
      <alignment horizontal="right" vertical="top"/>
    </xf>
    <xf numFmtId="0" fontId="10" fillId="2" borderId="16" xfId="1" applyNumberFormat="1" applyFont="1" applyFill="1" applyBorder="1" applyAlignment="1">
      <alignment horizontal="center"/>
    </xf>
    <xf numFmtId="0" fontId="10" fillId="2" borderId="10" xfId="1" applyNumberFormat="1" applyFont="1" applyFill="1" applyBorder="1" applyAlignment="1">
      <alignment horizontal="center"/>
    </xf>
    <xf numFmtId="0" fontId="10" fillId="2" borderId="13" xfId="1" applyNumberFormat="1" applyFont="1" applyFill="1" applyBorder="1" applyAlignment="1">
      <alignment horizontal="center"/>
    </xf>
    <xf numFmtId="0" fontId="63" fillId="0" borderId="0" xfId="0" applyFont="1" applyProtection="1"/>
    <xf numFmtId="0" fontId="2" fillId="4" borderId="0" xfId="0" applyFont="1" applyFill="1" applyAlignment="1">
      <alignment horizontal="center" vertical="top"/>
    </xf>
    <xf numFmtId="0" fontId="25" fillId="0" borderId="0" xfId="0" applyFont="1" applyAlignment="1">
      <alignment wrapText="1"/>
    </xf>
    <xf numFmtId="0" fontId="48" fillId="10" borderId="2" xfId="0" applyFont="1" applyFill="1" applyBorder="1" applyAlignment="1">
      <alignment horizontal="centerContinuous"/>
    </xf>
    <xf numFmtId="0" fontId="9" fillId="10" borderId="2" xfId="0" applyFont="1" applyFill="1" applyBorder="1" applyAlignment="1">
      <alignment horizontal="centerContinuous"/>
    </xf>
    <xf numFmtId="0" fontId="8" fillId="10" borderId="2" xfId="0" applyFont="1" applyFill="1" applyBorder="1" applyAlignment="1">
      <alignment horizontal="centerContinuous" vertical="center"/>
    </xf>
    <xf numFmtId="0" fontId="0" fillId="10" borderId="56" xfId="0" applyFill="1" applyBorder="1" applyAlignment="1">
      <alignment horizontal="centerContinuous"/>
    </xf>
    <xf numFmtId="0" fontId="8" fillId="10" borderId="57" xfId="0" applyFont="1" applyFill="1" applyBorder="1" applyAlignment="1">
      <alignment horizontal="centerContinuous"/>
    </xf>
    <xf numFmtId="0" fontId="8" fillId="10" borderId="56" xfId="0" applyFont="1" applyFill="1" applyBorder="1" applyAlignment="1">
      <alignment horizontal="center" vertical="center"/>
    </xf>
    <xf numFmtId="0" fontId="20" fillId="10" borderId="58" xfId="0" applyFont="1" applyFill="1" applyBorder="1" applyAlignment="1">
      <alignment horizontal="center" vertical="center" textRotation="90"/>
    </xf>
    <xf numFmtId="0" fontId="8" fillId="10" borderId="59" xfId="0" applyFont="1" applyFill="1" applyBorder="1" applyAlignment="1">
      <alignment horizontal="left"/>
    </xf>
    <xf numFmtId="0" fontId="8" fillId="10" borderId="21" xfId="0" applyFont="1" applyFill="1" applyBorder="1" applyAlignment="1">
      <alignment horizontal="center" wrapText="1"/>
    </xf>
    <xf numFmtId="0" fontId="8" fillId="10" borderId="22" xfId="0" applyFont="1" applyFill="1" applyBorder="1" applyAlignment="1">
      <alignment horizontal="center" wrapText="1"/>
    </xf>
    <xf numFmtId="0" fontId="8" fillId="10" borderId="23" xfId="0" applyFont="1" applyFill="1" applyBorder="1" applyAlignment="1">
      <alignment horizontal="center" wrapText="1"/>
    </xf>
    <xf numFmtId="0" fontId="8" fillId="10" borderId="60" xfId="0" applyFont="1" applyFill="1" applyBorder="1" applyAlignment="1">
      <alignment horizontal="center" wrapText="1"/>
    </xf>
    <xf numFmtId="0" fontId="64" fillId="0" borderId="0" xfId="0" applyFont="1" applyFill="1"/>
    <xf numFmtId="0" fontId="8" fillId="10" borderId="23" xfId="0" applyFont="1" applyFill="1" applyBorder="1" applyAlignment="1" applyProtection="1">
      <alignment horizontal="center" vertical="center" wrapText="1"/>
      <protection locked="0"/>
    </xf>
    <xf numFmtId="0" fontId="4" fillId="2" borderId="0" xfId="0" applyFont="1" applyFill="1" applyAlignment="1">
      <alignment horizontal="right"/>
    </xf>
    <xf numFmtId="0" fontId="49" fillId="4" borderId="0" xfId="0" applyFont="1" applyFill="1" applyAlignment="1">
      <alignment horizontal="right"/>
    </xf>
    <xf numFmtId="0" fontId="8" fillId="2" borderId="0" xfId="0" applyFont="1" applyFill="1" applyAlignment="1">
      <alignment horizontal="right"/>
    </xf>
    <xf numFmtId="9" fontId="65" fillId="2" borderId="0" xfId="1" applyFont="1" applyFill="1" applyAlignment="1">
      <alignment horizontal="left"/>
    </xf>
    <xf numFmtId="170" fontId="2" fillId="2" borderId="0" xfId="0" applyNumberFormat="1" applyFont="1" applyFill="1"/>
    <xf numFmtId="170" fontId="24" fillId="8" borderId="0" xfId="0" applyNumberFormat="1" applyFont="1" applyFill="1" applyAlignment="1">
      <alignment horizontal="right"/>
    </xf>
    <xf numFmtId="170" fontId="24" fillId="4" borderId="0" xfId="0" applyNumberFormat="1" applyFont="1" applyFill="1" applyAlignment="1"/>
    <xf numFmtId="170" fontId="24" fillId="9" borderId="0" xfId="0" quotePrefix="1" applyNumberFormat="1" applyFont="1" applyFill="1" applyAlignment="1"/>
    <xf numFmtId="170" fontId="24" fillId="5" borderId="0" xfId="0" applyNumberFormat="1" applyFont="1" applyFill="1" applyAlignment="1"/>
    <xf numFmtId="0" fontId="14" fillId="0" borderId="0" xfId="0" applyFont="1" applyFill="1" applyAlignment="1">
      <alignment horizontal="right"/>
    </xf>
    <xf numFmtId="0" fontId="68" fillId="0" borderId="0" xfId="0" applyFont="1" applyAlignment="1">
      <alignment horizontal="right"/>
    </xf>
    <xf numFmtId="0" fontId="14" fillId="0" borderId="0" xfId="0" applyFont="1" applyFill="1" applyBorder="1" applyAlignment="1" applyProtection="1">
      <alignment horizontal="center"/>
    </xf>
    <xf numFmtId="170" fontId="2" fillId="0" borderId="20" xfId="0" applyNumberFormat="1" applyFont="1" applyBorder="1" applyAlignment="1" applyProtection="1">
      <alignment horizontal="center"/>
    </xf>
    <xf numFmtId="170" fontId="2" fillId="0" borderId="0" xfId="0" applyNumberFormat="1" applyFont="1" applyBorder="1" applyAlignment="1" applyProtection="1">
      <alignment horizontal="center"/>
    </xf>
    <xf numFmtId="184" fontId="24" fillId="4" borderId="0" xfId="0" applyNumberFormat="1" applyFont="1" applyFill="1" applyAlignment="1"/>
    <xf numFmtId="184" fontId="24" fillId="5" borderId="0" xfId="0" applyNumberFormat="1" applyFont="1" applyFill="1" applyAlignment="1"/>
    <xf numFmtId="184" fontId="24" fillId="5" borderId="0" xfId="0" applyNumberFormat="1" applyFont="1" applyFill="1" applyAlignment="1">
      <alignment horizontal="right"/>
    </xf>
    <xf numFmtId="167" fontId="24" fillId="8" borderId="0" xfId="0" applyNumberFormat="1" applyFont="1" applyFill="1" applyAlignment="1">
      <alignment horizontal="right"/>
    </xf>
    <xf numFmtId="170" fontId="24" fillId="5" borderId="0" xfId="0" applyNumberFormat="1" applyFont="1" applyFill="1" applyAlignment="1">
      <alignment horizontal="right"/>
    </xf>
    <xf numFmtId="167" fontId="24" fillId="9" borderId="0" xfId="0" quotePrefix="1" applyNumberFormat="1" applyFont="1" applyFill="1" applyAlignment="1"/>
    <xf numFmtId="182" fontId="7" fillId="0" borderId="0" xfId="0" applyNumberFormat="1" applyFont="1" applyAlignment="1">
      <alignment horizontal="center"/>
    </xf>
    <xf numFmtId="0" fontId="14" fillId="0" borderId="0" xfId="0" applyFont="1" applyFill="1" applyAlignment="1" applyProtection="1"/>
    <xf numFmtId="0" fontId="8" fillId="11" borderId="46" xfId="0" applyFont="1" applyFill="1" applyBorder="1" applyAlignment="1">
      <alignment horizontal="center" wrapText="1"/>
    </xf>
    <xf numFmtId="0" fontId="65" fillId="4" borderId="0" xfId="0" applyFont="1" applyFill="1"/>
    <xf numFmtId="9" fontId="10" fillId="8" borderId="0" xfId="1" applyFont="1" applyFill="1" applyAlignment="1">
      <alignment horizontal="right"/>
    </xf>
    <xf numFmtId="0" fontId="8" fillId="0" borderId="0" xfId="0" applyFont="1" applyAlignment="1">
      <alignment horizontal="right"/>
    </xf>
    <xf numFmtId="0" fontId="14" fillId="0" borderId="7" xfId="0" applyFont="1" applyFill="1" applyBorder="1" applyAlignment="1" applyProtection="1">
      <alignment horizontal="center"/>
    </xf>
    <xf numFmtId="0" fontId="10" fillId="2" borderId="64" xfId="0" applyFont="1" applyFill="1" applyBorder="1" applyAlignment="1">
      <alignment horizontal="center"/>
    </xf>
    <xf numFmtId="0" fontId="24" fillId="2" borderId="64" xfId="0" applyFont="1" applyFill="1" applyBorder="1" applyAlignment="1">
      <alignment horizontal="center"/>
    </xf>
    <xf numFmtId="0" fontId="24" fillId="2" borderId="65" xfId="0" applyFont="1" applyFill="1" applyBorder="1" applyAlignment="1">
      <alignment horizontal="center"/>
    </xf>
    <xf numFmtId="174" fontId="10" fillId="2" borderId="0" xfId="0" applyNumberFormat="1" applyFont="1" applyFill="1"/>
    <xf numFmtId="178" fontId="10" fillId="8" borderId="16" xfId="1" applyNumberFormat="1" applyFont="1" applyFill="1" applyBorder="1" applyAlignment="1">
      <alignment horizontal="left"/>
    </xf>
    <xf numFmtId="0" fontId="8" fillId="2" borderId="0" xfId="0" applyFont="1" applyFill="1" applyBorder="1" applyAlignment="1">
      <alignment horizontal="center" wrapText="1"/>
    </xf>
    <xf numFmtId="0" fontId="28" fillId="2" borderId="0" xfId="0" applyFont="1" applyFill="1" applyBorder="1" applyAlignment="1">
      <alignment horizontal="center"/>
    </xf>
    <xf numFmtId="0" fontId="2" fillId="2" borderId="0" xfId="0" applyFont="1" applyFill="1" applyAlignment="1">
      <alignment horizontal="right"/>
    </xf>
    <xf numFmtId="0" fontId="8" fillId="2" borderId="0" xfId="0" applyFont="1" applyFill="1" applyAlignment="1">
      <alignment horizontal="left"/>
    </xf>
    <xf numFmtId="9" fontId="0" fillId="2" borderId="0" xfId="0" applyNumberFormat="1" applyFill="1" applyAlignment="1">
      <alignment horizontal="center"/>
    </xf>
    <xf numFmtId="0" fontId="65" fillId="2" borderId="0" xfId="0" applyFont="1" applyFill="1" applyAlignment="1">
      <alignment horizontal="left"/>
    </xf>
    <xf numFmtId="0" fontId="68" fillId="2" borderId="0" xfId="0" applyFont="1" applyFill="1"/>
    <xf numFmtId="0" fontId="2" fillId="0" borderId="0" xfId="0" applyFont="1" applyFill="1" applyBorder="1" applyAlignment="1" applyProtection="1"/>
    <xf numFmtId="186" fontId="65" fillId="5" borderId="0" xfId="0" applyNumberFormat="1" applyFont="1" applyFill="1"/>
    <xf numFmtId="0" fontId="8" fillId="10" borderId="2" xfId="0" applyFont="1" applyFill="1" applyBorder="1" applyAlignment="1">
      <alignment horizontal="center"/>
    </xf>
    <xf numFmtId="0" fontId="0" fillId="10" borderId="66" xfId="0" applyFill="1" applyBorder="1" applyAlignment="1"/>
    <xf numFmtId="0" fontId="9" fillId="10" borderId="59" xfId="0" applyFont="1" applyFill="1" applyBorder="1" applyAlignment="1">
      <alignment horizontal="centerContinuous"/>
    </xf>
    <xf numFmtId="0" fontId="8" fillId="10" borderId="2" xfId="0" applyFont="1" applyFill="1" applyBorder="1" applyAlignment="1">
      <alignment vertical="center"/>
    </xf>
    <xf numFmtId="0" fontId="8" fillId="10" borderId="59" xfId="0" applyFont="1" applyFill="1" applyBorder="1" applyAlignment="1">
      <alignment horizontal="center" vertical="center"/>
    </xf>
    <xf numFmtId="0" fontId="28" fillId="2" borderId="0" xfId="0" applyFont="1" applyFill="1" applyAlignment="1">
      <alignment horizontal="center"/>
    </xf>
    <xf numFmtId="0" fontId="8" fillId="2" borderId="2" xfId="0" applyFont="1" applyFill="1" applyBorder="1" applyAlignment="1">
      <alignment horizontal="left"/>
    </xf>
    <xf numFmtId="0" fontId="69" fillId="2" borderId="0" xfId="0" applyFont="1" applyFill="1" applyAlignment="1">
      <alignment horizontal="right"/>
    </xf>
    <xf numFmtId="0" fontId="68" fillId="2" borderId="0" xfId="0" applyFont="1" applyFill="1" applyAlignment="1">
      <alignment horizontal="right"/>
    </xf>
    <xf numFmtId="0" fontId="16" fillId="2" borderId="0" xfId="0" applyFont="1" applyFill="1" applyBorder="1" applyAlignment="1">
      <alignment horizontal="right" indent="2"/>
    </xf>
    <xf numFmtId="0" fontId="1" fillId="2" borderId="0" xfId="0" applyFont="1" applyFill="1" applyAlignment="1">
      <alignment horizontal="left"/>
    </xf>
    <xf numFmtId="0" fontId="16" fillId="2" borderId="6" xfId="0" applyFont="1" applyFill="1" applyBorder="1" applyAlignment="1">
      <alignment horizontal="right" indent="2"/>
    </xf>
    <xf numFmtId="0" fontId="31" fillId="2" borderId="6" xfId="0" applyFont="1" applyFill="1" applyBorder="1"/>
    <xf numFmtId="0" fontId="28" fillId="6" borderId="6" xfId="0" applyFont="1" applyFill="1" applyBorder="1" applyAlignment="1">
      <alignment horizontal="center"/>
    </xf>
    <xf numFmtId="0" fontId="31" fillId="2" borderId="5" xfId="0" applyFont="1" applyFill="1" applyBorder="1" applyAlignment="1">
      <alignment vertical="top"/>
    </xf>
    <xf numFmtId="0" fontId="31" fillId="2" borderId="6" xfId="0" applyFont="1" applyFill="1" applyBorder="1" applyAlignment="1">
      <alignment horizontal="left" vertical="top"/>
    </xf>
    <xf numFmtId="0" fontId="31" fillId="2" borderId="6" xfId="0" applyFont="1" applyFill="1" applyBorder="1" applyAlignment="1">
      <alignment vertical="top"/>
    </xf>
    <xf numFmtId="0" fontId="19" fillId="2" borderId="6" xfId="0" applyFont="1" applyFill="1" applyBorder="1" applyAlignment="1">
      <alignment horizontal="center"/>
    </xf>
    <xf numFmtId="0" fontId="16" fillId="2" borderId="5" xfId="0" applyFont="1" applyFill="1" applyBorder="1" applyAlignment="1">
      <alignment horizontal="center"/>
    </xf>
    <xf numFmtId="0" fontId="16" fillId="2" borderId="6" xfId="0" applyFont="1" applyFill="1" applyBorder="1" applyAlignment="1">
      <alignment horizontal="center"/>
    </xf>
    <xf numFmtId="0" fontId="17" fillId="2" borderId="6" xfId="0" applyFont="1" applyFill="1" applyBorder="1" applyAlignment="1">
      <alignment horizontal="center"/>
    </xf>
    <xf numFmtId="0" fontId="31" fillId="2" borderId="5" xfId="0" applyFont="1" applyFill="1" applyBorder="1" applyAlignment="1">
      <alignment horizontal="left"/>
    </xf>
    <xf numFmtId="0" fontId="19" fillId="2" borderId="5" xfId="0" applyFont="1" applyFill="1" applyBorder="1" applyAlignment="1">
      <alignment horizontal="center"/>
    </xf>
    <xf numFmtId="0" fontId="31" fillId="2" borderId="6" xfId="0" applyFont="1" applyFill="1" applyBorder="1" applyAlignment="1">
      <alignment horizontal="left"/>
    </xf>
    <xf numFmtId="0" fontId="11" fillId="2" borderId="0" xfId="0" applyFont="1" applyFill="1" applyAlignment="1">
      <alignment horizontal="left"/>
    </xf>
    <xf numFmtId="0" fontId="7" fillId="2" borderId="0" xfId="0" applyFont="1" applyFill="1" applyBorder="1" applyAlignment="1">
      <alignment horizontal="left"/>
    </xf>
    <xf numFmtId="0" fontId="18" fillId="0" borderId="0" xfId="0" applyFont="1" applyAlignment="1" applyProtection="1">
      <alignment horizontal="center"/>
    </xf>
    <xf numFmtId="189" fontId="14" fillId="0" borderId="0" xfId="0" applyNumberFormat="1" applyFont="1" applyFill="1" applyAlignment="1">
      <alignment horizontal="center"/>
    </xf>
    <xf numFmtId="0" fontId="20" fillId="7" borderId="8" xfId="0" applyFont="1" applyFill="1" applyBorder="1" applyAlignment="1">
      <alignment horizontal="center" wrapText="1"/>
    </xf>
    <xf numFmtId="0" fontId="67" fillId="0" borderId="0" xfId="0" applyFont="1" applyAlignment="1">
      <alignment horizontal="right"/>
    </xf>
    <xf numFmtId="181" fontId="6" fillId="0" borderId="0" xfId="0" applyNumberFormat="1" applyFont="1" applyFill="1" applyBorder="1" applyAlignment="1" applyProtection="1">
      <alignment horizontal="center"/>
    </xf>
    <xf numFmtId="0" fontId="6" fillId="0" borderId="0" xfId="0" applyNumberFormat="1" applyFont="1" applyFill="1" applyBorder="1"/>
    <xf numFmtId="0" fontId="67" fillId="0" borderId="0" xfId="0" applyFont="1" applyFill="1" applyProtection="1"/>
    <xf numFmtId="0" fontId="19" fillId="2" borderId="67" xfId="0" applyFont="1" applyFill="1" applyBorder="1" applyAlignment="1">
      <alignment horizontal="centerContinuous"/>
    </xf>
    <xf numFmtId="0" fontId="6" fillId="2" borderId="68" xfId="0" applyFont="1" applyFill="1" applyBorder="1" applyAlignment="1">
      <alignment horizontal="centerContinuous"/>
    </xf>
    <xf numFmtId="0" fontId="6" fillId="2" borderId="69" xfId="0" applyFont="1" applyFill="1" applyBorder="1" applyAlignment="1">
      <alignment horizontal="centerContinuous"/>
    </xf>
    <xf numFmtId="0" fontId="19" fillId="2" borderId="68" xfId="0" applyFont="1" applyFill="1" applyBorder="1" applyAlignment="1">
      <alignment horizontal="centerContinuous"/>
    </xf>
    <xf numFmtId="0" fontId="16" fillId="4" borderId="70" xfId="0" applyFont="1" applyFill="1" applyBorder="1" applyAlignment="1">
      <alignment horizontal="center"/>
    </xf>
    <xf numFmtId="0" fontId="16" fillId="4" borderId="71" xfId="0" applyFont="1" applyFill="1" applyBorder="1" applyAlignment="1">
      <alignment horizontal="center"/>
    </xf>
    <xf numFmtId="0" fontId="16" fillId="5" borderId="72" xfId="0" applyFont="1" applyFill="1" applyBorder="1" applyAlignment="1">
      <alignment horizontal="center"/>
    </xf>
    <xf numFmtId="0" fontId="16" fillId="5" borderId="73" xfId="0" applyFont="1" applyFill="1" applyBorder="1" applyAlignment="1">
      <alignment horizontal="center"/>
    </xf>
    <xf numFmtId="0" fontId="17" fillId="4" borderId="70" xfId="0" applyFont="1" applyFill="1" applyBorder="1" applyAlignment="1">
      <alignment horizontal="center"/>
    </xf>
    <xf numFmtId="0" fontId="16" fillId="2" borderId="72" xfId="0" applyFont="1" applyFill="1" applyBorder="1" applyAlignment="1">
      <alignment horizontal="center"/>
    </xf>
    <xf numFmtId="0" fontId="16" fillId="5" borderId="70" xfId="0" applyFont="1" applyFill="1" applyBorder="1" applyAlignment="1">
      <alignment horizontal="center"/>
    </xf>
    <xf numFmtId="0" fontId="16" fillId="4" borderId="72" xfId="0" applyFont="1" applyFill="1" applyBorder="1" applyAlignment="1">
      <alignment horizontal="center"/>
    </xf>
    <xf numFmtId="0" fontId="16" fillId="4" borderId="73" xfId="0" applyFont="1" applyFill="1" applyBorder="1" applyAlignment="1">
      <alignment horizontal="center"/>
    </xf>
    <xf numFmtId="0" fontId="2" fillId="0" borderId="0" xfId="0" applyFont="1" applyAlignment="1">
      <alignment horizontal="center"/>
    </xf>
    <xf numFmtId="0" fontId="8" fillId="10" borderId="75" xfId="0" applyFont="1" applyFill="1" applyBorder="1" applyAlignment="1">
      <alignment horizontal="centerContinuous" vertical="center"/>
    </xf>
    <xf numFmtId="0" fontId="25" fillId="0" borderId="0" xfId="0" applyFont="1"/>
    <xf numFmtId="0" fontId="25" fillId="0" borderId="0" xfId="0" applyFont="1" applyAlignment="1">
      <alignment horizontal="right"/>
    </xf>
    <xf numFmtId="0" fontId="16" fillId="5" borderId="71" xfId="0" applyFont="1" applyFill="1" applyBorder="1" applyAlignment="1">
      <alignment horizontal="center"/>
    </xf>
    <xf numFmtId="178" fontId="10" fillId="8" borderId="13" xfId="1" applyNumberFormat="1" applyFont="1" applyFill="1" applyBorder="1" applyAlignment="1">
      <alignment horizontal="center"/>
    </xf>
    <xf numFmtId="178" fontId="24" fillId="2" borderId="13" xfId="1" applyNumberFormat="1" applyFont="1" applyFill="1" applyBorder="1" applyAlignment="1">
      <alignment horizontal="center"/>
    </xf>
    <xf numFmtId="178" fontId="10" fillId="8" borderId="13" xfId="1" applyNumberFormat="1" applyFont="1" applyFill="1" applyBorder="1" applyAlignment="1">
      <alignment horizontal="left"/>
    </xf>
    <xf numFmtId="178" fontId="10" fillId="8" borderId="52" xfId="1" applyNumberFormat="1" applyFont="1" applyFill="1" applyBorder="1" applyAlignment="1">
      <alignment horizontal="left"/>
    </xf>
    <xf numFmtId="0" fontId="31" fillId="2" borderId="0" xfId="0" applyFont="1" applyFill="1" applyAlignment="1">
      <alignment horizontal="center"/>
    </xf>
    <xf numFmtId="0" fontId="66" fillId="0" borderId="0" xfId="0" applyFont="1"/>
    <xf numFmtId="0" fontId="2" fillId="0" borderId="0" xfId="0" applyFont="1" applyAlignment="1">
      <alignment horizontal="left" indent="1"/>
    </xf>
    <xf numFmtId="168" fontId="70" fillId="13" borderId="76" xfId="0" applyNumberFormat="1" applyFont="1" applyFill="1" applyBorder="1" applyAlignment="1" applyProtection="1">
      <alignment vertical="top"/>
    </xf>
    <xf numFmtId="0" fontId="1" fillId="0" borderId="0" xfId="0" applyFont="1"/>
    <xf numFmtId="0" fontId="1" fillId="0" borderId="0" xfId="0" applyFont="1" applyAlignment="1">
      <alignment vertical="top" wrapText="1"/>
    </xf>
    <xf numFmtId="0" fontId="1" fillId="0" borderId="0" xfId="0" applyFont="1" applyFill="1" applyAlignment="1">
      <alignment vertical="top" wrapText="1"/>
    </xf>
    <xf numFmtId="0" fontId="72" fillId="0" borderId="0" xfId="0" applyFont="1"/>
    <xf numFmtId="0" fontId="72" fillId="0" borderId="0" xfId="0" applyFont="1" applyAlignment="1">
      <alignment vertical="top" wrapText="1"/>
    </xf>
    <xf numFmtId="0" fontId="72" fillId="0" borderId="2" xfId="0" applyFont="1" applyBorder="1"/>
    <xf numFmtId="0" fontId="71" fillId="0" borderId="0" xfId="0" applyFont="1"/>
    <xf numFmtId="0" fontId="7" fillId="0" borderId="0" xfId="0" applyFont="1" applyBorder="1"/>
    <xf numFmtId="0" fontId="8" fillId="10" borderId="66" xfId="0" applyFont="1" applyFill="1" applyBorder="1" applyAlignment="1">
      <alignment horizontal="center" wrapText="1"/>
    </xf>
    <xf numFmtId="0" fontId="8" fillId="10" borderId="77" xfId="0" applyFont="1" applyFill="1" applyBorder="1" applyAlignment="1">
      <alignment horizontal="center" wrapText="1"/>
    </xf>
    <xf numFmtId="173" fontId="2" fillId="9" borderId="78" xfId="0" applyNumberFormat="1" applyFont="1" applyFill="1" applyBorder="1" applyAlignment="1" applyProtection="1">
      <alignment horizontal="center"/>
    </xf>
    <xf numFmtId="173" fontId="2" fillId="9" borderId="79" xfId="0" applyNumberFormat="1" applyFont="1" applyFill="1" applyBorder="1" applyAlignment="1" applyProtection="1">
      <alignment horizontal="center"/>
    </xf>
    <xf numFmtId="173" fontId="2" fillId="9" borderId="25" xfId="0" applyNumberFormat="1" applyFont="1" applyFill="1" applyBorder="1" applyAlignment="1" applyProtection="1">
      <alignment horizontal="center"/>
    </xf>
    <xf numFmtId="173" fontId="2" fillId="9" borderId="80" xfId="0" applyNumberFormat="1" applyFont="1" applyFill="1" applyBorder="1" applyAlignment="1" applyProtection="1">
      <alignment horizontal="center"/>
    </xf>
    <xf numFmtId="173" fontId="2" fillId="9" borderId="81" xfId="0" applyNumberFormat="1" applyFont="1" applyFill="1" applyBorder="1" applyAlignment="1" applyProtection="1">
      <alignment horizontal="center"/>
    </xf>
    <xf numFmtId="173" fontId="2" fillId="9" borderId="27" xfId="0" applyNumberFormat="1" applyFont="1" applyFill="1" applyBorder="1" applyAlignment="1" applyProtection="1">
      <alignment horizontal="center"/>
    </xf>
    <xf numFmtId="173" fontId="2" fillId="8" borderId="82" xfId="0" applyNumberFormat="1" applyFont="1" applyFill="1" applyBorder="1" applyAlignment="1" applyProtection="1">
      <alignment horizontal="center"/>
    </xf>
    <xf numFmtId="173" fontId="2" fillId="8" borderId="83" xfId="0" applyNumberFormat="1" applyFont="1" applyFill="1" applyBorder="1" applyAlignment="1" applyProtection="1">
      <alignment horizontal="center"/>
    </xf>
    <xf numFmtId="173" fontId="2" fillId="8" borderId="29" xfId="0" applyNumberFormat="1" applyFont="1" applyFill="1" applyBorder="1" applyAlignment="1" applyProtection="1">
      <alignment horizontal="center"/>
    </xf>
    <xf numFmtId="173" fontId="2" fillId="8" borderId="80" xfId="0" applyNumberFormat="1" applyFont="1" applyFill="1" applyBorder="1" applyAlignment="1" applyProtection="1">
      <alignment horizontal="center"/>
    </xf>
    <xf numFmtId="173" fontId="2" fillId="8" borderId="81" xfId="0" applyNumberFormat="1" applyFont="1" applyFill="1" applyBorder="1" applyAlignment="1" applyProtection="1">
      <alignment horizontal="center"/>
    </xf>
    <xf numFmtId="173" fontId="2" fillId="8" borderId="27" xfId="0" applyNumberFormat="1" applyFont="1" applyFill="1" applyBorder="1" applyAlignment="1" applyProtection="1">
      <alignment horizontal="center"/>
    </xf>
    <xf numFmtId="173" fontId="2" fillId="4" borderId="78" xfId="0" applyNumberFormat="1" applyFont="1" applyFill="1" applyBorder="1" applyAlignment="1" applyProtection="1">
      <alignment horizontal="center"/>
    </xf>
    <xf numFmtId="173" fontId="2" fillId="4" borderId="79" xfId="0" applyNumberFormat="1" applyFont="1" applyFill="1" applyBorder="1" applyAlignment="1" applyProtection="1">
      <alignment horizontal="center"/>
    </xf>
    <xf numFmtId="173" fontId="2" fillId="4" borderId="25" xfId="0" applyNumberFormat="1" applyFont="1" applyFill="1" applyBorder="1" applyAlignment="1" applyProtection="1">
      <alignment horizontal="center"/>
    </xf>
    <xf numFmtId="173" fontId="2" fillId="4" borderId="80" xfId="0" applyNumberFormat="1" applyFont="1" applyFill="1" applyBorder="1" applyAlignment="1" applyProtection="1">
      <alignment horizontal="center"/>
    </xf>
    <xf numFmtId="173" fontId="2" fillId="4" borderId="81" xfId="0" applyNumberFormat="1" applyFont="1" applyFill="1" applyBorder="1" applyAlignment="1" applyProtection="1">
      <alignment horizontal="center"/>
    </xf>
    <xf numFmtId="173" fontId="2" fillId="4" borderId="27" xfId="0" applyNumberFormat="1" applyFont="1" applyFill="1" applyBorder="1" applyAlignment="1" applyProtection="1">
      <alignment horizontal="center"/>
    </xf>
    <xf numFmtId="173" fontId="2" fillId="5" borderId="82" xfId="0" applyNumberFormat="1" applyFont="1" applyFill="1" applyBorder="1" applyAlignment="1" applyProtection="1">
      <alignment horizontal="center"/>
    </xf>
    <xf numFmtId="173" fontId="2" fillId="5" borderId="83" xfId="0" applyNumberFormat="1" applyFont="1" applyFill="1" applyBorder="1" applyAlignment="1" applyProtection="1">
      <alignment horizontal="center"/>
    </xf>
    <xf numFmtId="173" fontId="2" fillId="5" borderId="29" xfId="0" applyNumberFormat="1" applyFont="1" applyFill="1" applyBorder="1" applyAlignment="1" applyProtection="1">
      <alignment horizontal="center"/>
    </xf>
    <xf numFmtId="173" fontId="2" fillId="5" borderId="80" xfId="0" applyNumberFormat="1" applyFont="1" applyFill="1" applyBorder="1" applyAlignment="1" applyProtection="1">
      <alignment horizontal="center"/>
    </xf>
    <xf numFmtId="173" fontId="2" fillId="5" borderId="81" xfId="0" applyNumberFormat="1" applyFont="1" applyFill="1" applyBorder="1" applyAlignment="1" applyProtection="1">
      <alignment horizontal="center"/>
    </xf>
    <xf numFmtId="173" fontId="2" fillId="5" borderId="27" xfId="0" applyNumberFormat="1" applyFont="1" applyFill="1" applyBorder="1" applyAlignment="1" applyProtection="1">
      <alignment horizontal="center"/>
    </xf>
    <xf numFmtId="167" fontId="1" fillId="0" borderId="30" xfId="0" applyNumberFormat="1" applyFont="1" applyBorder="1"/>
    <xf numFmtId="167" fontId="1" fillId="2" borderId="1" xfId="0" applyNumberFormat="1" applyFont="1" applyFill="1" applyBorder="1"/>
    <xf numFmtId="167" fontId="1" fillId="0" borderId="1" xfId="0" applyNumberFormat="1" applyFont="1" applyBorder="1"/>
    <xf numFmtId="167" fontId="1" fillId="2" borderId="41" xfId="0" applyNumberFormat="1" applyFont="1" applyFill="1" applyBorder="1"/>
    <xf numFmtId="0" fontId="52" fillId="0" borderId="0" xfId="0" applyFont="1" applyAlignment="1" applyProtection="1">
      <alignment horizontal="centerContinuous"/>
    </xf>
    <xf numFmtId="0" fontId="52" fillId="0" borderId="0" xfId="0" applyFont="1" applyAlignment="1" applyProtection="1"/>
    <xf numFmtId="0" fontId="29" fillId="0" borderId="0" xfId="0" applyFont="1" applyAlignment="1" applyProtection="1">
      <alignment horizontal="centerContinuous" vertical="top"/>
    </xf>
    <xf numFmtId="0" fontId="6" fillId="0" borderId="0" xfId="0" applyFont="1"/>
    <xf numFmtId="2" fontId="16" fillId="10" borderId="96" xfId="0" applyNumberFormat="1" applyFont="1" applyFill="1" applyBorder="1" applyAlignment="1" applyProtection="1">
      <alignment horizontal="center"/>
    </xf>
    <xf numFmtId="171" fontId="16" fillId="10" borderId="97" xfId="0" applyNumberFormat="1" applyFont="1" applyFill="1" applyBorder="1" applyAlignment="1" applyProtection="1">
      <alignment horizontal="center"/>
    </xf>
    <xf numFmtId="180" fontId="16" fillId="10" borderId="93" xfId="0" applyNumberFormat="1" applyFont="1" applyFill="1" applyBorder="1" applyAlignment="1" applyProtection="1">
      <alignment horizontal="right"/>
    </xf>
    <xf numFmtId="2" fontId="16" fillId="10" borderId="104" xfId="0" applyNumberFormat="1" applyFont="1" applyFill="1" applyBorder="1" applyAlignment="1" applyProtection="1">
      <alignment horizontal="center"/>
    </xf>
    <xf numFmtId="171" fontId="16" fillId="10" borderId="105" xfId="0" applyNumberFormat="1" applyFont="1" applyFill="1" applyBorder="1" applyAlignment="1" applyProtection="1">
      <alignment horizontal="center"/>
    </xf>
    <xf numFmtId="180" fontId="16" fillId="10" borderId="101" xfId="0" applyNumberFormat="1" applyFont="1" applyFill="1" applyBorder="1" applyAlignment="1" applyProtection="1">
      <alignment horizontal="right"/>
    </xf>
    <xf numFmtId="2" fontId="16" fillId="10" borderId="112" xfId="0" applyNumberFormat="1" applyFont="1" applyFill="1" applyBorder="1" applyAlignment="1" applyProtection="1">
      <alignment horizontal="center"/>
    </xf>
    <xf numFmtId="171" fontId="16" fillId="10" borderId="113" xfId="0" applyNumberFormat="1" applyFont="1" applyFill="1" applyBorder="1" applyAlignment="1" applyProtection="1">
      <alignment horizontal="center"/>
    </xf>
    <xf numFmtId="180" fontId="16" fillId="10" borderId="109" xfId="0" applyNumberFormat="1" applyFont="1" applyFill="1" applyBorder="1" applyAlignment="1" applyProtection="1">
      <alignment horizontal="right"/>
    </xf>
    <xf numFmtId="0" fontId="0" fillId="0" borderId="0" xfId="0" applyFill="1" applyAlignment="1" applyProtection="1">
      <alignment horizontal="left"/>
    </xf>
    <xf numFmtId="0" fontId="0" fillId="0" borderId="0" xfId="0" applyFill="1" applyAlignment="1" applyProtection="1"/>
    <xf numFmtId="0" fontId="16" fillId="17" borderId="92" xfId="0" applyNumberFormat="1" applyFont="1" applyFill="1" applyBorder="1" applyAlignment="1" applyProtection="1">
      <alignment horizontal="left"/>
    </xf>
    <xf numFmtId="179" fontId="16" fillId="17" borderId="96" xfId="0" applyNumberFormat="1" applyFont="1" applyFill="1" applyBorder="1" applyAlignment="1" applyProtection="1">
      <alignment horizontal="right"/>
    </xf>
    <xf numFmtId="2" fontId="16" fillId="17" borderId="98" xfId="0" quotePrefix="1" applyNumberFormat="1" applyFont="1" applyFill="1" applyBorder="1" applyAlignment="1" applyProtection="1">
      <alignment horizontal="left"/>
    </xf>
    <xf numFmtId="180" fontId="16" fillId="17" borderId="104" xfId="0" applyNumberFormat="1" applyFont="1" applyFill="1" applyBorder="1" applyAlignment="1" applyProtection="1">
      <alignment horizontal="right"/>
    </xf>
    <xf numFmtId="0" fontId="16" fillId="17" borderId="100" xfId="0" applyNumberFormat="1" applyFont="1" applyFill="1" applyBorder="1" applyAlignment="1" applyProtection="1">
      <alignment horizontal="left"/>
    </xf>
    <xf numFmtId="179" fontId="16" fillId="17" borderId="104" xfId="0" applyNumberFormat="1" applyFont="1" applyFill="1" applyBorder="1" applyAlignment="1" applyProtection="1">
      <alignment horizontal="right"/>
    </xf>
    <xf numFmtId="2" fontId="16" fillId="17" borderId="106" xfId="0" quotePrefix="1" applyNumberFormat="1" applyFont="1" applyFill="1" applyBorder="1" applyAlignment="1" applyProtection="1">
      <alignment horizontal="left"/>
    </xf>
    <xf numFmtId="180" fontId="16" fillId="17" borderId="112" xfId="0" applyNumberFormat="1" applyFont="1" applyFill="1" applyBorder="1" applyAlignment="1" applyProtection="1">
      <alignment horizontal="right"/>
    </xf>
    <xf numFmtId="0" fontId="16" fillId="17" borderId="108" xfId="0" applyNumberFormat="1" applyFont="1" applyFill="1" applyBorder="1" applyAlignment="1" applyProtection="1">
      <alignment horizontal="left"/>
    </xf>
    <xf numFmtId="179" fontId="16" fillId="17" borderId="112" xfId="0" applyNumberFormat="1" applyFont="1" applyFill="1" applyBorder="1" applyAlignment="1" applyProtection="1">
      <alignment horizontal="right"/>
    </xf>
    <xf numFmtId="2" fontId="16" fillId="17" borderId="114" xfId="0" quotePrefix="1" applyNumberFormat="1" applyFont="1" applyFill="1" applyBorder="1" applyAlignment="1" applyProtection="1">
      <alignment horizontal="left"/>
    </xf>
    <xf numFmtId="180" fontId="75" fillId="17" borderId="96" xfId="0" applyNumberFormat="1" applyFont="1" applyFill="1" applyBorder="1" applyAlignment="1" applyProtection="1">
      <alignment horizontal="right"/>
    </xf>
    <xf numFmtId="0" fontId="78" fillId="2" borderId="0" xfId="0" applyFont="1" applyFill="1" applyBorder="1"/>
    <xf numFmtId="0" fontId="79" fillId="2" borderId="0" xfId="0" applyFont="1" applyFill="1"/>
    <xf numFmtId="187" fontId="7" fillId="0" borderId="20" xfId="0" applyNumberFormat="1" applyFont="1" applyFill="1" applyBorder="1" applyAlignment="1" applyProtection="1">
      <alignment horizontal="right"/>
    </xf>
    <xf numFmtId="187" fontId="7" fillId="0" borderId="20" xfId="0" applyNumberFormat="1" applyFont="1" applyFill="1" applyBorder="1" applyAlignment="1" applyProtection="1">
      <alignment horizontal="center"/>
    </xf>
    <xf numFmtId="168" fontId="80" fillId="13" borderId="3" xfId="0" applyNumberFormat="1" applyFont="1" applyFill="1" applyBorder="1" applyAlignment="1" applyProtection="1">
      <alignment horizontal="right"/>
      <protection locked="0"/>
    </xf>
    <xf numFmtId="168" fontId="80" fillId="13" borderId="0" xfId="0" applyNumberFormat="1" applyFont="1" applyFill="1" applyBorder="1" applyAlignment="1" applyProtection="1">
      <alignment horizontal="right"/>
      <protection locked="0"/>
    </xf>
    <xf numFmtId="168" fontId="80" fillId="13" borderId="117" xfId="0" applyNumberFormat="1" applyFont="1" applyFill="1" applyBorder="1" applyAlignment="1" applyProtection="1">
      <alignment horizontal="right"/>
      <protection locked="0"/>
    </xf>
    <xf numFmtId="0" fontId="0" fillId="2" borderId="0" xfId="0" applyNumberFormat="1" applyFill="1"/>
    <xf numFmtId="188" fontId="9" fillId="0" borderId="0" xfId="1" applyNumberFormat="1" applyFont="1" applyFill="1" applyBorder="1" applyAlignment="1" applyProtection="1">
      <alignment horizontal="center"/>
    </xf>
    <xf numFmtId="0" fontId="20" fillId="12" borderId="8" xfId="0" applyFont="1" applyFill="1" applyBorder="1" applyAlignment="1">
      <alignment horizontal="center" wrapText="1"/>
    </xf>
    <xf numFmtId="0" fontId="81" fillId="2" borderId="9" xfId="0" applyFont="1" applyFill="1" applyBorder="1" applyAlignment="1">
      <alignment horizontal="center"/>
    </xf>
    <xf numFmtId="0" fontId="20" fillId="12" borderId="8" xfId="0" applyFont="1" applyFill="1" applyBorder="1" applyAlignment="1">
      <alignment horizontal="left"/>
    </xf>
    <xf numFmtId="0" fontId="20" fillId="7" borderId="8" xfId="0" applyFont="1" applyFill="1" applyBorder="1" applyAlignment="1">
      <alignment horizontal="left"/>
    </xf>
    <xf numFmtId="0" fontId="74" fillId="2" borderId="0" xfId="0" applyFont="1" applyFill="1"/>
    <xf numFmtId="186" fontId="17" fillId="4" borderId="0" xfId="0" applyNumberFormat="1" applyFont="1" applyFill="1" applyAlignment="1">
      <alignment horizontal="center"/>
    </xf>
    <xf numFmtId="0" fontId="82" fillId="2" borderId="9" xfId="0" quotePrefix="1" applyFont="1" applyFill="1" applyBorder="1" applyAlignment="1"/>
    <xf numFmtId="0" fontId="82" fillId="2" borderId="10" xfId="0" applyFont="1" applyFill="1" applyBorder="1" applyAlignment="1"/>
    <xf numFmtId="0" fontId="82" fillId="2" borderId="13" xfId="0" applyFont="1" applyFill="1" applyBorder="1" applyAlignment="1"/>
    <xf numFmtId="0" fontId="30" fillId="7" borderId="6" xfId="0" quotePrefix="1" applyFont="1" applyFill="1" applyBorder="1" applyAlignment="1"/>
    <xf numFmtId="0" fontId="81" fillId="2" borderId="16" xfId="0" applyFont="1" applyFill="1" applyBorder="1" applyAlignment="1">
      <alignment horizontal="center"/>
    </xf>
    <xf numFmtId="0" fontId="2" fillId="0" borderId="0" xfId="0" applyFont="1" applyFill="1" applyAlignment="1"/>
    <xf numFmtId="0" fontId="1" fillId="2" borderId="2" xfId="0" applyFont="1" applyFill="1" applyBorder="1"/>
    <xf numFmtId="0" fontId="84" fillId="2" borderId="2" xfId="0" applyFont="1" applyFill="1" applyBorder="1" applyAlignment="1">
      <alignment horizontal="center"/>
    </xf>
    <xf numFmtId="0" fontId="2" fillId="2" borderId="0" xfId="0" applyFont="1" applyFill="1" applyBorder="1" applyAlignment="1">
      <alignment horizontal="right"/>
    </xf>
    <xf numFmtId="0" fontId="31" fillId="2" borderId="0" xfId="0" applyFont="1" applyFill="1" applyBorder="1" applyAlignment="1">
      <alignment horizontal="right"/>
    </xf>
    <xf numFmtId="0" fontId="79" fillId="2" borderId="0" xfId="0" applyFont="1" applyFill="1" applyAlignment="1">
      <alignment horizontal="center"/>
    </xf>
    <xf numFmtId="0" fontId="31" fillId="2" borderId="0" xfId="0" applyFont="1" applyFill="1" applyBorder="1" applyAlignment="1">
      <alignment horizontal="center"/>
    </xf>
    <xf numFmtId="0" fontId="0" fillId="18" borderId="0" xfId="0" applyFill="1"/>
    <xf numFmtId="0" fontId="54" fillId="18" borderId="0" xfId="0" quotePrefix="1" applyFont="1" applyFill="1"/>
    <xf numFmtId="0" fontId="0" fillId="18" borderId="0" xfId="0" applyFill="1" applyBorder="1"/>
    <xf numFmtId="0" fontId="4" fillId="18" borderId="0" xfId="0" applyFont="1" applyFill="1"/>
    <xf numFmtId="0" fontId="0" fillId="18" borderId="0" xfId="0" applyFill="1" applyProtection="1">
      <protection locked="0"/>
    </xf>
    <xf numFmtId="0" fontId="25" fillId="18" borderId="0" xfId="0" applyFont="1" applyFill="1"/>
    <xf numFmtId="0" fontId="54" fillId="18" borderId="122" xfId="0" applyFont="1" applyFill="1" applyBorder="1"/>
    <xf numFmtId="0" fontId="15" fillId="18" borderId="122" xfId="0" applyFont="1" applyFill="1" applyBorder="1"/>
    <xf numFmtId="0" fontId="0" fillId="18" borderId="122" xfId="0" applyFill="1" applyBorder="1"/>
    <xf numFmtId="0" fontId="53" fillId="0" borderId="3" xfId="0" applyFont="1" applyFill="1" applyBorder="1" applyAlignment="1">
      <alignment horizontal="left"/>
    </xf>
    <xf numFmtId="0" fontId="2" fillId="0" borderId="0" xfId="0" applyFont="1"/>
    <xf numFmtId="0" fontId="74" fillId="19" borderId="120" xfId="0" applyFont="1" applyFill="1" applyBorder="1" applyAlignment="1" applyProtection="1">
      <alignment horizontal="centerContinuous" vertical="center"/>
    </xf>
    <xf numFmtId="0" fontId="74" fillId="19" borderId="121" xfId="0" applyFont="1" applyFill="1" applyBorder="1" applyAlignment="1" applyProtection="1">
      <alignment horizontal="centerContinuous" vertical="center"/>
    </xf>
    <xf numFmtId="0" fontId="14" fillId="0" borderId="0" xfId="0" applyFont="1" applyFill="1" applyAlignment="1" applyProtection="1">
      <alignment horizontal="left"/>
    </xf>
    <xf numFmtId="0" fontId="68" fillId="0" borderId="0" xfId="0" applyFont="1" applyAlignment="1">
      <alignment horizontal="left"/>
    </xf>
    <xf numFmtId="0" fontId="8" fillId="10" borderId="74" xfId="0" applyFont="1" applyFill="1" applyBorder="1" applyAlignment="1">
      <alignment horizontal="centerContinuous" vertical="center"/>
    </xf>
    <xf numFmtId="0" fontId="9" fillId="10" borderId="54" xfId="0" applyFont="1" applyFill="1" applyBorder="1" applyAlignment="1">
      <alignment horizontal="centerContinuous" vertical="center"/>
    </xf>
    <xf numFmtId="0" fontId="0" fillId="10" borderId="54" xfId="0" applyFill="1" applyBorder="1" applyAlignment="1">
      <alignment horizontal="centerContinuous" vertical="center"/>
    </xf>
    <xf numFmtId="0" fontId="0" fillId="10" borderId="55" xfId="0" applyFill="1" applyBorder="1" applyAlignment="1">
      <alignment horizontal="centerContinuous" vertical="center"/>
    </xf>
    <xf numFmtId="0" fontId="8" fillId="10" borderId="54" xfId="0" applyFont="1" applyFill="1" applyBorder="1" applyAlignment="1">
      <alignment horizontal="centerContinuous" vertical="center"/>
    </xf>
    <xf numFmtId="0" fontId="8" fillId="10" borderId="55" xfId="0" applyFont="1" applyFill="1" applyBorder="1" applyAlignment="1">
      <alignment horizontal="centerContinuous" vertical="center"/>
    </xf>
    <xf numFmtId="0" fontId="85" fillId="2" borderId="0" xfId="0" applyFont="1" applyFill="1" applyBorder="1" applyAlignment="1">
      <alignment horizontal="left"/>
    </xf>
    <xf numFmtId="0" fontId="67" fillId="2" borderId="0" xfId="0" applyFont="1" applyFill="1" applyBorder="1" applyAlignment="1">
      <alignment horizontal="left"/>
    </xf>
    <xf numFmtId="0" fontId="87" fillId="2" borderId="0" xfId="0" applyFont="1" applyFill="1" applyBorder="1" applyAlignment="1">
      <alignment horizontal="left"/>
    </xf>
    <xf numFmtId="0" fontId="88" fillId="2" borderId="0" xfId="0" applyFont="1" applyFill="1" applyBorder="1" applyAlignment="1">
      <alignment horizontal="left"/>
    </xf>
    <xf numFmtId="0" fontId="86" fillId="2" borderId="0" xfId="0" applyFont="1" applyFill="1" applyAlignment="1">
      <alignment horizontal="right"/>
    </xf>
    <xf numFmtId="0" fontId="2" fillId="0" borderId="0" xfId="0" applyFont="1" applyFill="1" applyBorder="1" applyProtection="1"/>
    <xf numFmtId="0" fontId="89" fillId="0" borderId="0" xfId="0" applyFont="1" applyAlignment="1">
      <alignment horizontal="right"/>
    </xf>
    <xf numFmtId="0" fontId="90" fillId="0" borderId="0" xfId="0" applyFont="1"/>
    <xf numFmtId="188" fontId="89" fillId="0" borderId="0" xfId="1" applyNumberFormat="1" applyFont="1" applyFill="1" applyBorder="1" applyAlignment="1" applyProtection="1">
      <alignment horizontal="center"/>
    </xf>
    <xf numFmtId="0" fontId="67" fillId="2" borderId="7" xfId="0" applyFont="1" applyFill="1" applyBorder="1"/>
    <xf numFmtId="0" fontId="91" fillId="20" borderId="6" xfId="0" quotePrefix="1" applyFont="1" applyFill="1" applyBorder="1" applyAlignment="1">
      <alignment horizontal="left"/>
    </xf>
    <xf numFmtId="0" fontId="92" fillId="14" borderId="5" xfId="0" quotePrefix="1" applyFont="1" applyFill="1" applyBorder="1"/>
    <xf numFmtId="0" fontId="93" fillId="19" borderId="6" xfId="0" quotePrefix="1" applyFont="1" applyFill="1" applyBorder="1" applyAlignment="1">
      <alignment horizontal="left"/>
    </xf>
    <xf numFmtId="0" fontId="92" fillId="14" borderId="6" xfId="0" quotePrefix="1" applyFont="1" applyFill="1" applyBorder="1" applyAlignment="1">
      <alignment horizontal="left"/>
    </xf>
    <xf numFmtId="0" fontId="92" fillId="16" borderId="6" xfId="0" quotePrefix="1" applyFont="1" applyFill="1" applyBorder="1" applyAlignment="1">
      <alignment horizontal="left" vertical="top"/>
    </xf>
    <xf numFmtId="0" fontId="93" fillId="19" borderId="6" xfId="0" quotePrefix="1" applyFont="1" applyFill="1" applyBorder="1" applyAlignment="1">
      <alignment horizontal="left" vertical="top"/>
    </xf>
    <xf numFmtId="0" fontId="92" fillId="14" borderId="5" xfId="0" quotePrefix="1" applyFont="1" applyFill="1" applyBorder="1" applyAlignment="1">
      <alignment horizontal="left"/>
    </xf>
    <xf numFmtId="0" fontId="93" fillId="19" borderId="6" xfId="0" quotePrefix="1" applyFont="1" applyFill="1" applyBorder="1"/>
    <xf numFmtId="0" fontId="92" fillId="14" borderId="6" xfId="0" quotePrefix="1" applyFont="1" applyFill="1" applyBorder="1"/>
    <xf numFmtId="0" fontId="94" fillId="15" borderId="6" xfId="0" quotePrefix="1" applyFont="1" applyFill="1" applyBorder="1" applyAlignment="1">
      <alignment horizontal="left"/>
    </xf>
    <xf numFmtId="0" fontId="90" fillId="19" borderId="119" xfId="0" applyFont="1" applyFill="1" applyBorder="1" applyAlignment="1" applyProtection="1">
      <alignment horizontal="centerContinuous" vertical="center"/>
    </xf>
    <xf numFmtId="0" fontId="1" fillId="0" borderId="0" xfId="3" applyFont="1" applyAlignment="1">
      <alignment vertical="top" wrapText="1"/>
    </xf>
    <xf numFmtId="0" fontId="74" fillId="2" borderId="0" xfId="3" applyFont="1" applyFill="1"/>
    <xf numFmtId="167" fontId="83" fillId="21" borderId="95" xfId="0" applyNumberFormat="1" applyFont="1" applyFill="1" applyBorder="1" applyAlignment="1" applyProtection="1">
      <alignment horizontal="right"/>
      <protection locked="0"/>
    </xf>
    <xf numFmtId="167" fontId="83" fillId="21" borderId="91" xfId="0" applyNumberFormat="1" applyFont="1" applyFill="1" applyBorder="1" applyAlignment="1" applyProtection="1">
      <alignment horizontal="right"/>
      <protection locked="0"/>
    </xf>
    <xf numFmtId="167" fontId="83" fillId="21" borderId="103" xfId="0" applyNumberFormat="1" applyFont="1" applyFill="1" applyBorder="1" applyAlignment="1" applyProtection="1">
      <alignment horizontal="right"/>
      <protection locked="0"/>
    </xf>
    <xf numFmtId="167" fontId="83" fillId="21" borderId="99" xfId="0" applyNumberFormat="1" applyFont="1" applyFill="1" applyBorder="1" applyAlignment="1" applyProtection="1">
      <alignment horizontal="right"/>
      <protection locked="0"/>
    </xf>
    <xf numFmtId="167" fontId="83" fillId="21" borderId="111" xfId="0" applyNumberFormat="1" applyFont="1" applyFill="1" applyBorder="1" applyAlignment="1" applyProtection="1">
      <alignment horizontal="right"/>
      <protection locked="0"/>
    </xf>
    <xf numFmtId="167" fontId="83" fillId="21" borderId="107" xfId="0" applyNumberFormat="1" applyFont="1" applyFill="1" applyBorder="1" applyAlignment="1" applyProtection="1">
      <alignment horizontal="right"/>
      <protection locked="0"/>
    </xf>
    <xf numFmtId="0" fontId="7" fillId="0" borderId="0" xfId="0" applyFont="1" applyAlignment="1">
      <alignment vertical="top" wrapText="1"/>
    </xf>
    <xf numFmtId="0" fontId="1" fillId="0" borderId="0" xfId="0" applyFont="1" applyAlignment="1">
      <alignment horizontal="right" vertical="top"/>
    </xf>
    <xf numFmtId="0" fontId="1" fillId="0" borderId="0" xfId="0" applyFont="1" applyAlignment="1">
      <alignment wrapText="1"/>
    </xf>
    <xf numFmtId="0" fontId="1" fillId="0" borderId="0" xfId="0" applyFont="1" applyAlignment="1">
      <alignment horizontal="right"/>
    </xf>
    <xf numFmtId="0" fontId="0" fillId="0" borderId="0" xfId="0" applyBorder="1"/>
    <xf numFmtId="169" fontId="96" fillId="13" borderId="93" xfId="0" applyNumberFormat="1" applyFont="1" applyFill="1" applyBorder="1" applyAlignment="1" applyProtection="1">
      <alignment horizontal="center"/>
      <protection locked="0"/>
    </xf>
    <xf numFmtId="169" fontId="96" fillId="13" borderId="101" xfId="0" applyNumberFormat="1" applyFont="1" applyFill="1" applyBorder="1" applyAlignment="1" applyProtection="1">
      <alignment horizontal="center"/>
      <protection locked="0"/>
    </xf>
    <xf numFmtId="169" fontId="96" fillId="13" borderId="109" xfId="0" applyNumberFormat="1" applyFont="1" applyFill="1" applyBorder="1" applyAlignment="1" applyProtection="1">
      <alignment horizontal="center"/>
      <protection locked="0"/>
    </xf>
    <xf numFmtId="0" fontId="96" fillId="22" borderId="61" xfId="0" applyFont="1" applyFill="1" applyBorder="1" applyAlignment="1" applyProtection="1">
      <alignment horizontal="center" vertical="center"/>
      <protection locked="0"/>
    </xf>
    <xf numFmtId="183" fontId="97" fillId="22" borderId="62" xfId="0" applyNumberFormat="1" applyFont="1" applyFill="1" applyBorder="1" applyAlignment="1" applyProtection="1">
      <alignment horizontal="center" vertical="center"/>
      <protection locked="0"/>
    </xf>
    <xf numFmtId="183" fontId="97" fillId="22" borderId="63" xfId="0" applyNumberFormat="1" applyFont="1" applyFill="1" applyBorder="1" applyAlignment="1" applyProtection="1">
      <alignment horizontal="center" vertical="center"/>
      <protection locked="0"/>
    </xf>
    <xf numFmtId="0" fontId="99" fillId="0" borderId="0" xfId="0" applyFont="1" applyFill="1" applyAlignment="1" applyProtection="1">
      <alignment horizontal="right"/>
      <protection locked="0"/>
    </xf>
    <xf numFmtId="167" fontId="96" fillId="21" borderId="94" xfId="0" applyNumberFormat="1" applyFont="1" applyFill="1" applyBorder="1" applyAlignment="1" applyProtection="1">
      <alignment horizontal="right"/>
      <protection locked="0"/>
    </xf>
    <xf numFmtId="167" fontId="96" fillId="21" borderId="102" xfId="0" applyNumberFormat="1" applyFont="1" applyFill="1" applyBorder="1" applyAlignment="1" applyProtection="1">
      <alignment horizontal="right"/>
      <protection locked="0"/>
    </xf>
    <xf numFmtId="167" fontId="96" fillId="21" borderId="110" xfId="0" applyNumberFormat="1" applyFont="1" applyFill="1" applyBorder="1" applyAlignment="1" applyProtection="1">
      <alignment horizontal="right"/>
      <protection locked="0"/>
    </xf>
    <xf numFmtId="171" fontId="96" fillId="21" borderId="96" xfId="0" applyNumberFormat="1" applyFont="1" applyFill="1" applyBorder="1" applyAlignment="1" applyProtection="1">
      <alignment horizontal="center"/>
      <protection locked="0"/>
    </xf>
    <xf numFmtId="2" fontId="96" fillId="21" borderId="97" xfId="0" applyNumberFormat="1" applyFont="1" applyFill="1" applyBorder="1" applyAlignment="1" applyProtection="1">
      <alignment horizontal="center"/>
      <protection locked="0"/>
    </xf>
    <xf numFmtId="174" fontId="96" fillId="21" borderId="94" xfId="0" applyNumberFormat="1" applyFont="1" applyFill="1" applyBorder="1" applyAlignment="1" applyProtection="1">
      <protection locked="0"/>
    </xf>
    <xf numFmtId="174" fontId="96" fillId="21" borderId="97" xfId="0" applyNumberFormat="1" applyFont="1" applyFill="1" applyBorder="1" applyAlignment="1" applyProtection="1">
      <alignment horizontal="right"/>
      <protection locked="0"/>
    </xf>
    <xf numFmtId="171" fontId="96" fillId="21" borderId="104" xfId="0" applyNumberFormat="1" applyFont="1" applyFill="1" applyBorder="1" applyAlignment="1" applyProtection="1">
      <alignment horizontal="center"/>
      <protection locked="0"/>
    </xf>
    <xf numFmtId="2" fontId="96" fillId="21" borderId="105" xfId="0" applyNumberFormat="1" applyFont="1" applyFill="1" applyBorder="1" applyAlignment="1" applyProtection="1">
      <alignment horizontal="center"/>
      <protection locked="0"/>
    </xf>
    <xf numFmtId="174" fontId="96" fillId="21" borderId="102" xfId="0" applyNumberFormat="1" applyFont="1" applyFill="1" applyBorder="1" applyAlignment="1" applyProtection="1">
      <protection locked="0"/>
    </xf>
    <xf numFmtId="174" fontId="96" fillId="21" borderId="105" xfId="0" applyNumberFormat="1" applyFont="1" applyFill="1" applyBorder="1" applyAlignment="1" applyProtection="1">
      <alignment horizontal="right"/>
      <protection locked="0"/>
    </xf>
    <xf numFmtId="171" fontId="96" fillId="21" borderId="112" xfId="0" applyNumberFormat="1" applyFont="1" applyFill="1" applyBorder="1" applyAlignment="1" applyProtection="1">
      <alignment horizontal="center"/>
      <protection locked="0"/>
    </xf>
    <xf numFmtId="2" fontId="96" fillId="21" borderId="113" xfId="0" applyNumberFormat="1" applyFont="1" applyFill="1" applyBorder="1" applyAlignment="1" applyProtection="1">
      <alignment horizontal="center"/>
      <protection locked="0"/>
    </xf>
    <xf numFmtId="174" fontId="96" fillId="21" borderId="110" xfId="0" applyNumberFormat="1" applyFont="1" applyFill="1" applyBorder="1" applyAlignment="1" applyProtection="1">
      <protection locked="0"/>
    </xf>
    <xf numFmtId="174" fontId="96" fillId="21" borderId="113" xfId="0" applyNumberFormat="1" applyFont="1" applyFill="1" applyBorder="1" applyAlignment="1" applyProtection="1">
      <alignment horizontal="right"/>
      <protection locked="0"/>
    </xf>
    <xf numFmtId="0" fontId="2" fillId="0" borderId="0" xfId="0" applyFont="1" applyAlignment="1" applyProtection="1">
      <alignment vertical="center"/>
    </xf>
    <xf numFmtId="0" fontId="8" fillId="0" borderId="0" xfId="0" applyFont="1" applyAlignment="1" applyProtection="1">
      <alignment vertical="center"/>
    </xf>
    <xf numFmtId="0" fontId="8" fillId="25" borderId="0" xfId="0" applyFont="1" applyFill="1" applyAlignment="1" applyProtection="1">
      <alignment vertical="center"/>
    </xf>
    <xf numFmtId="0" fontId="2" fillId="25" borderId="0" xfId="0" applyFont="1" applyFill="1" applyAlignment="1" applyProtection="1">
      <alignment vertical="center"/>
    </xf>
    <xf numFmtId="0" fontId="8" fillId="0" borderId="0" xfId="0" applyFont="1" applyAlignment="1" applyProtection="1">
      <alignment horizontal="right" vertical="center"/>
    </xf>
    <xf numFmtId="2" fontId="8" fillId="25" borderId="59" xfId="0" applyNumberFormat="1" applyFont="1" applyFill="1" applyBorder="1" applyAlignment="1" applyProtection="1">
      <alignment vertical="center"/>
    </xf>
    <xf numFmtId="0" fontId="2" fillId="25" borderId="0" xfId="0" applyFont="1" applyFill="1" applyAlignment="1" applyProtection="1">
      <alignment horizontal="right" vertical="center"/>
    </xf>
    <xf numFmtId="0" fontId="2" fillId="30" borderId="0" xfId="0" applyFont="1" applyFill="1" applyAlignment="1" applyProtection="1">
      <alignment vertical="center"/>
    </xf>
    <xf numFmtId="0" fontId="2" fillId="30" borderId="2" xfId="0" applyFont="1" applyFill="1" applyBorder="1" applyAlignment="1" applyProtection="1">
      <alignment vertical="center"/>
    </xf>
    <xf numFmtId="0" fontId="2" fillId="31" borderId="2" xfId="0" applyFont="1" applyFill="1" applyBorder="1" applyAlignment="1" applyProtection="1">
      <alignment horizontal="center" vertical="center"/>
    </xf>
    <xf numFmtId="0" fontId="104" fillId="23" borderId="0" xfId="0" applyFont="1" applyFill="1" applyAlignment="1" applyProtection="1">
      <alignment horizontal="right" vertical="center"/>
    </xf>
    <xf numFmtId="0" fontId="2" fillId="25" borderId="57" xfId="0" applyFont="1" applyFill="1" applyBorder="1" applyAlignment="1" applyProtection="1">
      <alignment vertical="center"/>
    </xf>
    <xf numFmtId="0" fontId="104" fillId="0" borderId="0" xfId="0" applyFont="1" applyAlignment="1" applyProtection="1">
      <alignment vertical="center"/>
    </xf>
    <xf numFmtId="9" fontId="2" fillId="25" borderId="0" xfId="1" applyFont="1" applyFill="1" applyAlignment="1" applyProtection="1">
      <alignment vertical="center"/>
    </xf>
    <xf numFmtId="9" fontId="2" fillId="25" borderId="144" xfId="1" applyFont="1" applyFill="1" applyBorder="1" applyAlignment="1" applyProtection="1">
      <alignment vertical="center"/>
    </xf>
    <xf numFmtId="9" fontId="2" fillId="25" borderId="76" xfId="1" applyFont="1" applyFill="1" applyBorder="1" applyAlignment="1" applyProtection="1">
      <alignment vertical="center"/>
    </xf>
    <xf numFmtId="9" fontId="2" fillId="25" borderId="130" xfId="1" applyFont="1" applyFill="1" applyBorder="1" applyAlignment="1" applyProtection="1">
      <alignment vertical="center"/>
    </xf>
    <xf numFmtId="0" fontId="2" fillId="29" borderId="0" xfId="0" applyFont="1" applyFill="1" applyAlignment="1" applyProtection="1">
      <alignment vertical="center"/>
    </xf>
    <xf numFmtId="0" fontId="2" fillId="31" borderId="0" xfId="0" applyFont="1" applyFill="1" applyAlignment="1" applyProtection="1">
      <alignment vertical="center"/>
    </xf>
    <xf numFmtId="0" fontId="2" fillId="30" borderId="0" xfId="0" applyFont="1" applyFill="1" applyBorder="1" applyAlignment="1" applyProtection="1">
      <alignment vertical="center"/>
    </xf>
    <xf numFmtId="0" fontId="2" fillId="30" borderId="130" xfId="0" applyFont="1" applyFill="1" applyBorder="1" applyAlignment="1" applyProtection="1">
      <alignment vertical="center"/>
    </xf>
    <xf numFmtId="0" fontId="2" fillId="31" borderId="38" xfId="0" applyFont="1" applyFill="1" applyBorder="1" applyAlignment="1" applyProtection="1">
      <alignment vertical="center"/>
    </xf>
    <xf numFmtId="0" fontId="2" fillId="30" borderId="0" xfId="0" applyFont="1" applyFill="1" applyAlignment="1" applyProtection="1">
      <alignment horizontal="left" vertical="center"/>
    </xf>
    <xf numFmtId="2" fontId="2" fillId="29" borderId="0" xfId="0" applyNumberFormat="1" applyFont="1" applyFill="1" applyAlignment="1" applyProtection="1">
      <alignment vertical="center"/>
    </xf>
    <xf numFmtId="0" fontId="67" fillId="31" borderId="0" xfId="0" applyFont="1" applyFill="1" applyAlignment="1" applyProtection="1">
      <alignment vertical="center"/>
    </xf>
    <xf numFmtId="0" fontId="104" fillId="31" borderId="0" xfId="0" applyFont="1" applyFill="1" applyAlignment="1" applyProtection="1">
      <alignment vertical="center"/>
    </xf>
    <xf numFmtId="0" fontId="104" fillId="31" borderId="0" xfId="0" applyFont="1" applyFill="1" applyBorder="1" applyAlignment="1" applyProtection="1">
      <alignment vertical="center"/>
    </xf>
    <xf numFmtId="0" fontId="2" fillId="0" borderId="0" xfId="0" applyFont="1" applyAlignment="1" applyProtection="1">
      <alignment horizontal="right" vertical="center"/>
    </xf>
    <xf numFmtId="2" fontId="2" fillId="25" borderId="59" xfId="0" applyNumberFormat="1" applyFont="1" applyFill="1" applyBorder="1" applyAlignment="1" applyProtection="1">
      <alignment vertical="center"/>
    </xf>
    <xf numFmtId="0" fontId="2" fillId="27" borderId="0" xfId="0" applyFont="1" applyFill="1" applyAlignment="1" applyProtection="1">
      <alignment vertical="center"/>
    </xf>
    <xf numFmtId="0" fontId="8" fillId="30" borderId="0" xfId="0" applyFont="1" applyFill="1" applyAlignment="1" applyProtection="1">
      <alignment horizontal="center" vertical="center"/>
    </xf>
    <xf numFmtId="0" fontId="2" fillId="30" borderId="0" xfId="0" applyFont="1" applyFill="1" applyAlignment="1" applyProtection="1">
      <alignment horizontal="center" vertical="center"/>
    </xf>
    <xf numFmtId="0" fontId="2" fillId="30" borderId="0" xfId="0" applyFont="1" applyFill="1" applyAlignment="1" applyProtection="1">
      <alignment vertical="center" wrapText="1"/>
    </xf>
    <xf numFmtId="0" fontId="105" fillId="26" borderId="0" xfId="0" applyFont="1" applyFill="1" applyBorder="1" applyAlignment="1" applyProtection="1">
      <alignment horizontal="right" vertical="center"/>
    </xf>
    <xf numFmtId="0" fontId="100" fillId="26" borderId="0" xfId="0" applyFont="1" applyFill="1" applyBorder="1" applyAlignment="1" applyProtection="1">
      <alignment vertical="center" wrapText="1"/>
    </xf>
    <xf numFmtId="0" fontId="100" fillId="26" borderId="0" xfId="0" applyFont="1" applyFill="1" applyBorder="1" applyAlignment="1" applyProtection="1">
      <alignment vertical="center"/>
    </xf>
    <xf numFmtId="0" fontId="2" fillId="0" borderId="130" xfId="0" applyFont="1" applyBorder="1" applyAlignment="1" applyProtection="1">
      <alignment vertical="center"/>
    </xf>
    <xf numFmtId="0" fontId="2" fillId="0" borderId="0" xfId="0" applyFont="1" applyBorder="1" applyAlignment="1" applyProtection="1">
      <alignment vertical="center"/>
    </xf>
    <xf numFmtId="0" fontId="2" fillId="0" borderId="134" xfId="0" applyFont="1" applyBorder="1" applyAlignment="1" applyProtection="1">
      <alignment vertical="center"/>
    </xf>
    <xf numFmtId="0" fontId="101" fillId="0" borderId="0" xfId="0" applyFont="1" applyAlignment="1" applyProtection="1">
      <alignment vertical="center"/>
    </xf>
    <xf numFmtId="0" fontId="101" fillId="25" borderId="0" xfId="0" applyFont="1" applyFill="1" applyAlignment="1" applyProtection="1">
      <alignment vertical="center"/>
    </xf>
    <xf numFmtId="0" fontId="67" fillId="31" borderId="0" xfId="0" applyFont="1" applyFill="1" applyAlignment="1" applyProtection="1">
      <alignment horizontal="left" vertical="center"/>
    </xf>
    <xf numFmtId="0" fontId="106" fillId="24" borderId="0" xfId="0" applyFont="1" applyFill="1" applyBorder="1" applyAlignment="1" applyProtection="1">
      <alignment vertical="center" wrapText="1"/>
    </xf>
    <xf numFmtId="0" fontId="100" fillId="26" borderId="0" xfId="0" applyFont="1" applyFill="1" applyBorder="1" applyAlignment="1" applyProtection="1">
      <alignment horizontal="center" vertical="center"/>
    </xf>
    <xf numFmtId="0" fontId="2" fillId="30" borderId="0" xfId="0" applyFont="1" applyFill="1" applyBorder="1" applyAlignment="1" applyProtection="1">
      <alignment vertical="center" wrapText="1"/>
    </xf>
    <xf numFmtId="0" fontId="105" fillId="26" borderId="0" xfId="0" applyFont="1" applyFill="1" applyBorder="1" applyAlignment="1" applyProtection="1">
      <alignment horizontal="left" vertical="center"/>
    </xf>
    <xf numFmtId="0" fontId="2" fillId="23" borderId="0" xfId="0" applyFont="1" applyFill="1" applyAlignment="1" applyProtection="1">
      <alignment vertical="center"/>
    </xf>
    <xf numFmtId="0" fontId="1" fillId="0" borderId="0" xfId="0" applyFont="1" applyAlignment="1" applyProtection="1">
      <alignment vertical="center"/>
    </xf>
    <xf numFmtId="0" fontId="7" fillId="0" borderId="0" xfId="0" applyFont="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0" fontId="11" fillId="0" borderId="0" xfId="0" applyFont="1" applyAlignment="1" applyProtection="1">
      <alignment vertical="center"/>
    </xf>
    <xf numFmtId="0" fontId="106" fillId="24" borderId="0" xfId="0" applyFont="1" applyFill="1" applyBorder="1" applyAlignment="1" applyProtection="1">
      <alignment vertical="center"/>
    </xf>
    <xf numFmtId="0" fontId="105" fillId="24" borderId="0" xfId="0" applyFont="1" applyFill="1" applyAlignment="1" applyProtection="1">
      <alignment vertical="center"/>
    </xf>
    <xf numFmtId="0" fontId="2" fillId="24" borderId="0" xfId="0" applyFont="1" applyFill="1" applyBorder="1" applyAlignment="1" applyProtection="1">
      <alignment vertical="center"/>
    </xf>
    <xf numFmtId="0" fontId="105" fillId="24" borderId="0" xfId="0" applyFont="1" applyFill="1" applyBorder="1" applyAlignment="1" applyProtection="1">
      <alignment vertical="center"/>
    </xf>
    <xf numFmtId="0" fontId="8" fillId="23" borderId="0" xfId="0" applyFont="1" applyFill="1" applyAlignment="1" applyProtection="1">
      <alignment vertical="center"/>
    </xf>
    <xf numFmtId="9" fontId="2" fillId="0" borderId="0" xfId="0" applyNumberFormat="1" applyFont="1" applyAlignment="1" applyProtection="1">
      <alignment vertical="center"/>
    </xf>
    <xf numFmtId="0" fontId="103" fillId="25" borderId="0" xfId="0" applyFont="1" applyFill="1" applyAlignment="1" applyProtection="1">
      <alignment vertical="center"/>
    </xf>
    <xf numFmtId="0" fontId="8" fillId="34" borderId="0" xfId="0" applyFont="1" applyFill="1" applyAlignment="1" applyProtection="1">
      <alignment vertical="center"/>
    </xf>
    <xf numFmtId="0" fontId="104" fillId="23" borderId="0" xfId="0" applyFont="1" applyFill="1" applyAlignment="1" applyProtection="1">
      <alignment vertical="center"/>
    </xf>
    <xf numFmtId="0" fontId="8" fillId="0" borderId="0" xfId="0" applyFont="1" applyFill="1" applyAlignment="1" applyProtection="1">
      <alignment vertical="center"/>
    </xf>
    <xf numFmtId="0" fontId="2" fillId="25" borderId="2" xfId="0" applyFont="1" applyFill="1" applyBorder="1" applyAlignment="1" applyProtection="1">
      <alignment vertical="center"/>
    </xf>
    <xf numFmtId="0" fontId="8" fillId="30" borderId="0" xfId="0" applyFont="1" applyFill="1" applyAlignment="1" applyProtection="1">
      <alignment horizontal="right" vertical="center"/>
    </xf>
    <xf numFmtId="0" fontId="104" fillId="30" borderId="0" xfId="0" applyFont="1" applyFill="1" applyBorder="1" applyAlignment="1" applyProtection="1">
      <alignment vertical="center"/>
    </xf>
    <xf numFmtId="0" fontId="2" fillId="0" borderId="0" xfId="0" applyFont="1" applyFill="1" applyAlignment="1" applyProtection="1">
      <alignment vertical="center"/>
    </xf>
    <xf numFmtId="2" fontId="2" fillId="25" borderId="0" xfId="0" applyNumberFormat="1" applyFont="1" applyFill="1" applyAlignment="1" applyProtection="1">
      <alignment vertical="center"/>
    </xf>
    <xf numFmtId="0" fontId="2" fillId="33" borderId="0" xfId="0" applyFont="1" applyFill="1" applyAlignment="1" applyProtection="1">
      <alignment vertical="center"/>
    </xf>
    <xf numFmtId="2" fontId="2" fillId="30" borderId="0" xfId="0" applyNumberFormat="1" applyFont="1" applyFill="1" applyAlignment="1" applyProtection="1">
      <alignment vertical="center"/>
    </xf>
    <xf numFmtId="2" fontId="2" fillId="23" borderId="0" xfId="0" applyNumberFormat="1" applyFont="1" applyFill="1" applyAlignment="1" applyProtection="1">
      <alignment vertical="center"/>
    </xf>
    <xf numFmtId="2" fontId="2" fillId="27" borderId="0" xfId="0" applyNumberFormat="1" applyFont="1" applyFill="1" applyAlignment="1" applyProtection="1">
      <alignment vertical="center"/>
    </xf>
    <xf numFmtId="0" fontId="8" fillId="30" borderId="0" xfId="0" applyFont="1" applyFill="1" applyAlignment="1" applyProtection="1">
      <alignment vertical="center"/>
    </xf>
    <xf numFmtId="0" fontId="2" fillId="0" borderId="133" xfId="0" applyFont="1" applyBorder="1" applyAlignment="1" applyProtection="1">
      <alignment vertical="center"/>
    </xf>
    <xf numFmtId="0" fontId="8" fillId="30" borderId="0" xfId="0" applyFont="1" applyFill="1" applyAlignment="1" applyProtection="1">
      <alignment vertical="center" wrapText="1"/>
    </xf>
    <xf numFmtId="2" fontId="2" fillId="31" borderId="0" xfId="0" applyNumberFormat="1" applyFont="1" applyFill="1" applyAlignment="1" applyProtection="1">
      <alignment vertical="center"/>
    </xf>
    <xf numFmtId="2" fontId="2" fillId="34" borderId="0" xfId="0" applyNumberFormat="1" applyFont="1" applyFill="1" applyAlignment="1" applyProtection="1">
      <alignment vertical="center"/>
    </xf>
    <xf numFmtId="0" fontId="8" fillId="30" borderId="0" xfId="0" applyFont="1" applyFill="1" applyBorder="1" applyAlignment="1" applyProtection="1">
      <alignment horizontal="right" vertical="center"/>
    </xf>
    <xf numFmtId="0" fontId="2" fillId="30" borderId="0" xfId="0" applyFont="1" applyFill="1" applyAlignment="1" applyProtection="1">
      <alignment horizontal="right" vertical="center"/>
    </xf>
    <xf numFmtId="0" fontId="2" fillId="30" borderId="131" xfId="0" applyFont="1" applyFill="1" applyBorder="1" applyAlignment="1" applyProtection="1">
      <alignment vertical="center"/>
    </xf>
    <xf numFmtId="0" fontId="89" fillId="0" borderId="0" xfId="0" applyFont="1" applyAlignment="1" applyProtection="1">
      <alignment horizontal="left" vertical="center"/>
    </xf>
    <xf numFmtId="0" fontId="2" fillId="34" borderId="0" xfId="0" applyFont="1" applyFill="1" applyAlignment="1" applyProtection="1">
      <alignment vertical="center"/>
    </xf>
    <xf numFmtId="0" fontId="104" fillId="0" borderId="0" xfId="0" applyFont="1" applyAlignment="1" applyProtection="1">
      <alignment horizontal="right" vertical="center"/>
    </xf>
    <xf numFmtId="0" fontId="2" fillId="28" borderId="0" xfId="0" applyFont="1" applyFill="1" applyAlignment="1" applyProtection="1">
      <alignment vertical="center"/>
    </xf>
    <xf numFmtId="0" fontId="86" fillId="0" borderId="0" xfId="0" applyFont="1" applyAlignment="1" applyProtection="1">
      <alignment vertical="center"/>
    </xf>
    <xf numFmtId="0" fontId="2" fillId="0" borderId="3" xfId="0" applyFont="1" applyBorder="1" applyAlignment="1" applyProtection="1">
      <alignment vertical="center"/>
    </xf>
    <xf numFmtId="2" fontId="2" fillId="0" borderId="0" xfId="0" applyNumberFormat="1" applyFont="1" applyAlignment="1" applyProtection="1">
      <alignment vertical="center"/>
    </xf>
    <xf numFmtId="0" fontId="2" fillId="30" borderId="127" xfId="0" applyFont="1" applyFill="1" applyBorder="1" applyAlignment="1" applyProtection="1">
      <alignment vertical="center"/>
    </xf>
    <xf numFmtId="0" fontId="2" fillId="0" borderId="57" xfId="0" applyFont="1" applyBorder="1" applyAlignment="1" applyProtection="1">
      <alignment vertical="center"/>
    </xf>
    <xf numFmtId="0" fontId="105" fillId="26" borderId="0" xfId="0" applyFont="1" applyFill="1" applyBorder="1" applyAlignment="1" applyProtection="1">
      <alignment vertical="center"/>
    </xf>
    <xf numFmtId="0" fontId="8" fillId="0" borderId="2" xfId="0" applyFont="1" applyBorder="1" applyAlignment="1" applyProtection="1">
      <alignment vertical="center"/>
    </xf>
    <xf numFmtId="0" fontId="8" fillId="0" borderId="75" xfId="0" applyFont="1" applyBorder="1" applyAlignment="1" applyProtection="1">
      <alignment vertical="center"/>
    </xf>
    <xf numFmtId="0" fontId="2" fillId="31" borderId="2" xfId="0" applyFont="1" applyFill="1" applyBorder="1" applyAlignment="1" applyProtection="1">
      <alignment vertical="center"/>
    </xf>
    <xf numFmtId="0" fontId="2" fillId="30" borderId="157" xfId="0" applyFont="1" applyFill="1" applyBorder="1" applyAlignment="1" applyProtection="1">
      <alignment horizontal="center" vertical="center" wrapText="1"/>
    </xf>
    <xf numFmtId="0" fontId="2" fillId="30" borderId="2" xfId="0" applyFont="1" applyFill="1" applyBorder="1" applyAlignment="1" applyProtection="1">
      <alignment vertical="center" wrapText="1"/>
    </xf>
    <xf numFmtId="0" fontId="8" fillId="28" borderId="59" xfId="0" applyFont="1" applyFill="1" applyBorder="1" applyAlignment="1" applyProtection="1">
      <alignment vertical="center"/>
    </xf>
    <xf numFmtId="0" fontId="2" fillId="0" borderId="0" xfId="0" applyFont="1" applyAlignment="1" applyProtection="1">
      <alignment horizontal="left" vertical="center"/>
    </xf>
    <xf numFmtId="0" fontId="2" fillId="25" borderId="130" xfId="0" applyFont="1" applyFill="1" applyBorder="1" applyAlignment="1" applyProtection="1">
      <alignment vertical="center"/>
    </xf>
    <xf numFmtId="0" fontId="2" fillId="25" borderId="0" xfId="0" applyFont="1" applyFill="1" applyBorder="1" applyAlignment="1" applyProtection="1">
      <alignment vertical="center"/>
    </xf>
    <xf numFmtId="0" fontId="8" fillId="0" borderId="128" xfId="0" applyFont="1" applyBorder="1" applyAlignment="1" applyProtection="1">
      <alignment vertical="center"/>
    </xf>
    <xf numFmtId="0" fontId="8" fillId="0" borderId="143" xfId="0" applyFont="1" applyBorder="1" applyAlignment="1" applyProtection="1">
      <alignment vertical="center"/>
    </xf>
    <xf numFmtId="0" fontId="8" fillId="0" borderId="142" xfId="0" applyFont="1" applyBorder="1" applyAlignment="1" applyProtection="1">
      <alignment vertical="center"/>
    </xf>
    <xf numFmtId="0" fontId="8" fillId="0" borderId="145" xfId="0" applyFont="1" applyBorder="1" applyAlignment="1" applyProtection="1">
      <alignment vertical="center"/>
    </xf>
    <xf numFmtId="0" fontId="104" fillId="30" borderId="0" xfId="0" applyFont="1" applyFill="1" applyAlignment="1" applyProtection="1">
      <alignment vertical="center"/>
    </xf>
    <xf numFmtId="0" fontId="8" fillId="0" borderId="59" xfId="0" applyFont="1" applyBorder="1" applyAlignment="1" applyProtection="1">
      <alignment vertical="center"/>
    </xf>
    <xf numFmtId="173" fontId="2" fillId="25" borderId="0" xfId="0" applyNumberFormat="1" applyFont="1" applyFill="1" applyAlignment="1" applyProtection="1">
      <alignment vertical="center"/>
    </xf>
    <xf numFmtId="0" fontId="8" fillId="31" borderId="0" xfId="0" applyFont="1" applyFill="1" applyBorder="1" applyAlignment="1" applyProtection="1">
      <alignment vertical="center"/>
    </xf>
    <xf numFmtId="0" fontId="8" fillId="31" borderId="0" xfId="0" applyFont="1" applyFill="1" applyAlignment="1" applyProtection="1">
      <alignment vertical="center"/>
    </xf>
    <xf numFmtId="0" fontId="8" fillId="29" borderId="0" xfId="0" applyFont="1" applyFill="1" applyAlignment="1" applyProtection="1">
      <alignment vertical="center"/>
    </xf>
    <xf numFmtId="0" fontId="86" fillId="30" borderId="0" xfId="0" applyFont="1" applyFill="1" applyAlignment="1" applyProtection="1">
      <alignment vertical="center"/>
    </xf>
    <xf numFmtId="0" fontId="2" fillId="30" borderId="137" xfId="0" applyFont="1" applyFill="1" applyBorder="1" applyAlignment="1" applyProtection="1">
      <alignment vertical="center"/>
    </xf>
    <xf numFmtId="190" fontId="2" fillId="25" borderId="0" xfId="1" applyNumberFormat="1" applyFont="1" applyFill="1" applyAlignment="1" applyProtection="1">
      <alignment vertical="center"/>
    </xf>
    <xf numFmtId="186" fontId="2" fillId="30" borderId="0" xfId="0" applyNumberFormat="1" applyFont="1" applyFill="1" applyAlignment="1" applyProtection="1">
      <alignment horizontal="center" vertical="center"/>
    </xf>
    <xf numFmtId="0" fontId="2" fillId="30" borderId="126" xfId="0" applyFont="1" applyFill="1" applyBorder="1" applyAlignment="1" applyProtection="1">
      <alignment vertical="center"/>
    </xf>
    <xf numFmtId="0" fontId="2" fillId="30" borderId="157" xfId="0" applyFont="1" applyFill="1" applyBorder="1" applyAlignment="1" applyProtection="1">
      <alignment vertical="center"/>
    </xf>
    <xf numFmtId="191" fontId="2" fillId="25" borderId="0" xfId="0" applyNumberFormat="1" applyFont="1" applyFill="1" applyAlignment="1" applyProtection="1">
      <alignment vertical="center"/>
    </xf>
    <xf numFmtId="40" fontId="2" fillId="0" borderId="0" xfId="0" applyNumberFormat="1" applyFont="1" applyAlignment="1" applyProtection="1">
      <alignment vertical="center"/>
    </xf>
    <xf numFmtId="40" fontId="2" fillId="25" borderId="0" xfId="0" applyNumberFormat="1" applyFont="1" applyFill="1" applyAlignment="1" applyProtection="1">
      <alignment vertical="center"/>
    </xf>
    <xf numFmtId="0" fontId="2" fillId="25" borderId="134" xfId="0" applyFont="1" applyFill="1" applyBorder="1" applyAlignment="1" applyProtection="1">
      <alignment vertical="center"/>
    </xf>
    <xf numFmtId="0" fontId="8" fillId="30" borderId="0" xfId="0" applyFont="1" applyFill="1" applyBorder="1" applyAlignment="1" applyProtection="1">
      <alignment vertical="center"/>
    </xf>
    <xf numFmtId="0" fontId="2" fillId="29" borderId="0" xfId="0" applyFont="1" applyFill="1" applyBorder="1" applyAlignment="1" applyProtection="1">
      <alignment vertical="center"/>
    </xf>
    <xf numFmtId="9" fontId="2" fillId="29" borderId="0" xfId="1" applyFont="1" applyFill="1" applyAlignment="1" applyProtection="1">
      <alignment vertical="center"/>
    </xf>
    <xf numFmtId="9" fontId="2" fillId="29" borderId="144" xfId="1" applyFont="1" applyFill="1" applyBorder="1" applyAlignment="1" applyProtection="1">
      <alignment vertical="center"/>
    </xf>
    <xf numFmtId="9" fontId="2" fillId="29" borderId="76" xfId="1" applyFont="1" applyFill="1" applyBorder="1" applyAlignment="1" applyProtection="1">
      <alignment vertical="center"/>
    </xf>
    <xf numFmtId="9" fontId="2" fillId="29" borderId="130" xfId="1" applyFont="1" applyFill="1" applyBorder="1" applyAlignment="1" applyProtection="1">
      <alignment vertical="center"/>
    </xf>
    <xf numFmtId="0" fontId="2" fillId="31" borderId="0" xfId="0" applyFont="1" applyFill="1" applyBorder="1" applyAlignment="1" applyProtection="1">
      <alignment vertical="center"/>
    </xf>
    <xf numFmtId="0" fontId="2" fillId="0" borderId="2" xfId="0" applyFont="1" applyBorder="1" applyAlignment="1" applyProtection="1">
      <alignment vertical="center"/>
    </xf>
    <xf numFmtId="0" fontId="2" fillId="35" borderId="0" xfId="0" applyFont="1" applyFill="1" applyAlignment="1" applyProtection="1">
      <alignment vertical="center"/>
    </xf>
    <xf numFmtId="0" fontId="104" fillId="0" borderId="0" xfId="0" applyFont="1" applyFill="1" applyAlignment="1" applyProtection="1">
      <alignment vertical="center"/>
    </xf>
    <xf numFmtId="0" fontId="2" fillId="25" borderId="126" xfId="0" applyFont="1" applyFill="1" applyBorder="1" applyAlignment="1" applyProtection="1">
      <alignment vertical="center"/>
    </xf>
    <xf numFmtId="0" fontId="2" fillId="0" borderId="56" xfId="0" applyFont="1" applyBorder="1" applyAlignment="1" applyProtection="1">
      <alignment vertical="center"/>
    </xf>
    <xf numFmtId="0" fontId="2" fillId="25" borderId="0" xfId="0" applyFont="1" applyFill="1" applyAlignment="1" applyProtection="1">
      <alignment horizontal="left" vertical="center"/>
    </xf>
    <xf numFmtId="0" fontId="2" fillId="26" borderId="0" xfId="0" applyFont="1" applyFill="1" applyAlignment="1" applyProtection="1">
      <alignment vertical="center"/>
    </xf>
    <xf numFmtId="0" fontId="105" fillId="26" borderId="0" xfId="0" applyFont="1" applyFill="1" applyAlignment="1" applyProtection="1">
      <alignment vertical="center"/>
    </xf>
    <xf numFmtId="0" fontId="101" fillId="23" borderId="0" xfId="0" applyFont="1" applyFill="1" applyAlignment="1" applyProtection="1">
      <alignment vertical="center"/>
    </xf>
    <xf numFmtId="10" fontId="2" fillId="25" borderId="0" xfId="1" applyNumberFormat="1" applyFont="1" applyFill="1" applyAlignment="1" applyProtection="1">
      <alignment vertical="center"/>
    </xf>
    <xf numFmtId="9" fontId="2" fillId="25" borderId="0" xfId="0" applyNumberFormat="1" applyFont="1" applyFill="1" applyAlignment="1" applyProtection="1">
      <alignment vertical="center"/>
    </xf>
    <xf numFmtId="0" fontId="2" fillId="30" borderId="38" xfId="0" applyFont="1" applyFill="1" applyBorder="1" applyAlignment="1" applyProtection="1">
      <alignment vertical="center"/>
    </xf>
    <xf numFmtId="0" fontId="100" fillId="26" borderId="0" xfId="0" applyFont="1" applyFill="1" applyAlignment="1" applyProtection="1">
      <alignment vertical="center"/>
    </xf>
    <xf numFmtId="0" fontId="2" fillId="29" borderId="0" xfId="0" applyFont="1" applyFill="1" applyAlignment="1" applyProtection="1">
      <alignment horizontal="right" vertical="center"/>
    </xf>
    <xf numFmtId="194" fontId="2" fillId="25" borderId="0" xfId="1" applyNumberFormat="1" applyFont="1" applyFill="1" applyAlignment="1" applyProtection="1">
      <alignment vertical="center"/>
    </xf>
    <xf numFmtId="0" fontId="2" fillId="30" borderId="3" xfId="0" applyFont="1" applyFill="1" applyBorder="1" applyAlignment="1" applyProtection="1">
      <alignment vertical="center"/>
    </xf>
    <xf numFmtId="0" fontId="8" fillId="0" borderId="0" xfId="0" applyFont="1" applyAlignment="1" applyProtection="1">
      <alignment horizontal="left" vertical="center"/>
    </xf>
    <xf numFmtId="10" fontId="2" fillId="25" borderId="130" xfId="1" applyNumberFormat="1" applyFont="1" applyFill="1" applyBorder="1" applyAlignment="1" applyProtection="1">
      <alignment vertical="center"/>
    </xf>
    <xf numFmtId="0" fontId="2" fillId="29" borderId="146" xfId="0" applyFont="1" applyFill="1" applyBorder="1" applyAlignment="1" applyProtection="1">
      <alignment vertical="center"/>
    </xf>
    <xf numFmtId="2" fontId="8" fillId="29" borderId="0" xfId="0" applyNumberFormat="1" applyFont="1" applyFill="1" applyAlignment="1" applyProtection="1">
      <alignment vertical="center"/>
    </xf>
    <xf numFmtId="10" fontId="2" fillId="25" borderId="0" xfId="0" applyNumberFormat="1" applyFont="1" applyFill="1" applyAlignment="1" applyProtection="1">
      <alignment vertical="center"/>
    </xf>
    <xf numFmtId="2" fontId="8" fillId="25" borderId="0" xfId="0" applyNumberFormat="1" applyFont="1" applyFill="1" applyAlignment="1" applyProtection="1">
      <alignment vertical="center"/>
    </xf>
    <xf numFmtId="9" fontId="8" fillId="25" borderId="59" xfId="0" applyNumberFormat="1" applyFont="1" applyFill="1" applyBorder="1" applyAlignment="1" applyProtection="1">
      <alignment vertical="center"/>
    </xf>
    <xf numFmtId="186" fontId="2" fillId="30" borderId="0" xfId="0" applyNumberFormat="1" applyFont="1" applyFill="1" applyBorder="1" applyAlignment="1" applyProtection="1">
      <alignment horizontal="center" vertical="center"/>
    </xf>
    <xf numFmtId="2" fontId="8" fillId="0" borderId="59" xfId="0" applyNumberFormat="1" applyFont="1" applyBorder="1" applyAlignment="1" applyProtection="1">
      <alignment vertical="center"/>
    </xf>
    <xf numFmtId="9" fontId="2" fillId="25" borderId="146" xfId="0" applyNumberFormat="1" applyFont="1" applyFill="1" applyBorder="1" applyAlignment="1" applyProtection="1">
      <alignment vertical="center"/>
    </xf>
    <xf numFmtId="9" fontId="2" fillId="25" borderId="130" xfId="0" applyNumberFormat="1" applyFont="1" applyFill="1" applyBorder="1" applyAlignment="1" applyProtection="1">
      <alignment vertical="center"/>
    </xf>
    <xf numFmtId="0" fontId="101" fillId="0" borderId="0" xfId="0" applyFont="1" applyAlignment="1" applyProtection="1">
      <alignment horizontal="right" vertical="center"/>
    </xf>
    <xf numFmtId="9" fontId="2" fillId="0" borderId="59" xfId="0" applyNumberFormat="1" applyFont="1" applyBorder="1" applyAlignment="1" applyProtection="1">
      <alignment vertical="center"/>
    </xf>
    <xf numFmtId="0" fontId="2" fillId="31" borderId="3" xfId="0" applyFont="1" applyFill="1" applyBorder="1" applyAlignment="1" applyProtection="1">
      <alignment vertical="center"/>
    </xf>
    <xf numFmtId="2" fontId="2" fillId="35" borderId="0" xfId="0" applyNumberFormat="1" applyFont="1" applyFill="1" applyAlignment="1" applyProtection="1">
      <alignment vertical="center"/>
    </xf>
    <xf numFmtId="0" fontId="2" fillId="0" borderId="59" xfId="0" applyFont="1" applyBorder="1" applyAlignment="1" applyProtection="1">
      <alignment vertical="center"/>
    </xf>
    <xf numFmtId="40" fontId="8" fillId="0" borderId="128" xfId="0" applyNumberFormat="1" applyFont="1" applyBorder="1" applyAlignment="1" applyProtection="1">
      <alignment vertical="center"/>
    </xf>
    <xf numFmtId="194" fontId="2" fillId="25" borderId="134" xfId="1" applyNumberFormat="1" applyFont="1" applyFill="1" applyBorder="1" applyAlignment="1" applyProtection="1">
      <alignment vertical="center"/>
    </xf>
    <xf numFmtId="194" fontId="104" fillId="0" borderId="0" xfId="0" applyNumberFormat="1" applyFont="1" applyAlignment="1" applyProtection="1">
      <alignment vertical="center"/>
    </xf>
    <xf numFmtId="194" fontId="2" fillId="0" borderId="0" xfId="0" applyNumberFormat="1" applyFont="1" applyAlignment="1" applyProtection="1">
      <alignment vertical="center"/>
    </xf>
    <xf numFmtId="40" fontId="2" fillId="31" borderId="123" xfId="0" applyNumberFormat="1" applyFont="1" applyFill="1" applyBorder="1" applyAlignment="1" applyProtection="1">
      <alignment horizontal="center" vertical="center"/>
    </xf>
    <xf numFmtId="194" fontId="8" fillId="0" borderId="0" xfId="0" applyNumberFormat="1" applyFont="1" applyAlignment="1" applyProtection="1">
      <alignment vertical="center"/>
    </xf>
    <xf numFmtId="194" fontId="8" fillId="29" borderId="134" xfId="1" applyNumberFormat="1" applyFont="1" applyFill="1" applyBorder="1" applyAlignment="1" applyProtection="1">
      <alignment vertical="center"/>
    </xf>
    <xf numFmtId="40" fontId="2" fillId="31" borderId="155" xfId="0" applyNumberFormat="1" applyFont="1" applyFill="1" applyBorder="1" applyAlignment="1" applyProtection="1">
      <alignment horizontal="center" vertical="center"/>
    </xf>
    <xf numFmtId="0" fontId="100" fillId="26" borderId="0" xfId="0" applyFont="1" applyFill="1" applyBorder="1" applyAlignment="1" applyProtection="1">
      <alignment horizontal="right" vertical="center"/>
    </xf>
    <xf numFmtId="0" fontId="8" fillId="31" borderId="147" xfId="0" applyFont="1" applyFill="1" applyBorder="1" applyAlignment="1" applyProtection="1">
      <alignment horizontal="center" vertical="center"/>
    </xf>
    <xf numFmtId="10" fontId="2" fillId="23" borderId="0" xfId="0" applyNumberFormat="1" applyFont="1" applyFill="1" applyAlignment="1" applyProtection="1">
      <alignment vertical="center"/>
    </xf>
    <xf numFmtId="10" fontId="2" fillId="23" borderId="144" xfId="1" applyNumberFormat="1" applyFont="1" applyFill="1" applyBorder="1" applyAlignment="1" applyProtection="1">
      <alignment vertical="center"/>
    </xf>
    <xf numFmtId="9" fontId="2" fillId="23" borderId="0" xfId="0" applyNumberFormat="1" applyFont="1" applyFill="1" applyAlignment="1" applyProtection="1">
      <alignment vertical="center"/>
    </xf>
    <xf numFmtId="9" fontId="2" fillId="23" borderId="130" xfId="0" applyNumberFormat="1" applyFont="1" applyFill="1" applyBorder="1" applyAlignment="1" applyProtection="1">
      <alignment vertical="center"/>
    </xf>
    <xf numFmtId="0" fontId="86" fillId="0" borderId="0" xfId="0" applyFont="1" applyAlignment="1" applyProtection="1">
      <alignment horizontal="right" vertical="center"/>
    </xf>
    <xf numFmtId="0" fontId="2" fillId="25" borderId="0" xfId="0" applyNumberFormat="1" applyFont="1" applyFill="1" applyAlignment="1" applyProtection="1">
      <alignment vertical="center"/>
    </xf>
    <xf numFmtId="192" fontId="2" fillId="25" borderId="0" xfId="0" applyNumberFormat="1" applyFont="1" applyFill="1" applyAlignment="1" applyProtection="1">
      <alignment vertical="center"/>
    </xf>
    <xf numFmtId="10" fontId="2" fillId="23" borderId="0" xfId="1" applyNumberFormat="1" applyFont="1" applyFill="1" applyAlignment="1" applyProtection="1">
      <alignment vertical="center"/>
    </xf>
    <xf numFmtId="10" fontId="2" fillId="23" borderId="130" xfId="1" applyNumberFormat="1" applyFont="1" applyFill="1" applyBorder="1" applyAlignment="1" applyProtection="1">
      <alignment vertical="center"/>
    </xf>
    <xf numFmtId="0" fontId="2" fillId="0" borderId="0" xfId="0" applyFont="1" applyFill="1" applyBorder="1" applyAlignment="1" applyProtection="1">
      <alignment vertical="center"/>
    </xf>
    <xf numFmtId="0" fontId="89" fillId="0" borderId="0" xfId="0" applyFont="1" applyAlignment="1" applyProtection="1">
      <alignment horizontal="right" vertical="center"/>
    </xf>
    <xf numFmtId="40" fontId="8" fillId="0" borderId="0" xfId="0" applyNumberFormat="1" applyFont="1" applyAlignment="1" applyProtection="1">
      <alignment vertical="center"/>
    </xf>
    <xf numFmtId="195" fontId="8" fillId="23" borderId="0" xfId="1" applyNumberFormat="1" applyFont="1" applyFill="1" applyAlignment="1" applyProtection="1">
      <alignment vertical="center"/>
    </xf>
    <xf numFmtId="195" fontId="8" fillId="23" borderId="130" xfId="1" applyNumberFormat="1" applyFont="1" applyFill="1" applyBorder="1" applyAlignment="1" applyProtection="1">
      <alignment vertical="center"/>
    </xf>
    <xf numFmtId="193" fontId="2" fillId="0" borderId="0" xfId="0" applyNumberFormat="1" applyFont="1" applyAlignment="1" applyProtection="1">
      <alignment vertical="center"/>
    </xf>
    <xf numFmtId="195" fontId="2" fillId="0" borderId="0" xfId="0" applyNumberFormat="1" applyFont="1" applyAlignment="1" applyProtection="1">
      <alignment vertical="center"/>
    </xf>
    <xf numFmtId="193" fontId="2" fillId="0" borderId="0" xfId="1" applyNumberFormat="1" applyFont="1" applyAlignment="1" applyProtection="1">
      <alignment vertical="center"/>
    </xf>
    <xf numFmtId="0" fontId="101" fillId="0" borderId="0" xfId="0" applyFont="1" applyFill="1" applyAlignment="1" applyProtection="1">
      <alignment vertical="center"/>
    </xf>
    <xf numFmtId="190" fontId="2" fillId="0" borderId="0" xfId="1" applyNumberFormat="1" applyFont="1" applyAlignment="1" applyProtection="1">
      <alignment vertical="center"/>
    </xf>
    <xf numFmtId="0" fontId="8" fillId="25" borderId="0" xfId="0" applyFont="1" applyFill="1" applyAlignment="1" applyProtection="1">
      <alignment horizontal="left" vertical="center"/>
    </xf>
    <xf numFmtId="0" fontId="104" fillId="0" borderId="0" xfId="0" applyFont="1" applyFill="1" applyAlignment="1" applyProtection="1">
      <alignment horizontal="right" vertical="center"/>
    </xf>
    <xf numFmtId="0" fontId="2" fillId="32" borderId="0" xfId="0" applyFont="1" applyFill="1" applyAlignment="1" applyProtection="1">
      <alignment horizontal="left" vertical="center"/>
    </xf>
    <xf numFmtId="0" fontId="2" fillId="32" borderId="0" xfId="0" applyFont="1" applyFill="1" applyAlignment="1" applyProtection="1">
      <alignment vertical="center"/>
    </xf>
    <xf numFmtId="40" fontId="2" fillId="0" borderId="59" xfId="0" applyNumberFormat="1" applyFont="1" applyBorder="1" applyAlignment="1" applyProtection="1">
      <alignment vertical="center"/>
    </xf>
    <xf numFmtId="0" fontId="89" fillId="0" borderId="0" xfId="0" applyFont="1" applyAlignment="1" applyProtection="1">
      <alignment vertical="center"/>
    </xf>
    <xf numFmtId="9" fontId="8" fillId="25" borderId="0" xfId="1" applyFont="1" applyFill="1" applyAlignment="1" applyProtection="1">
      <alignment horizontal="left" vertical="center"/>
    </xf>
    <xf numFmtId="2" fontId="8" fillId="25" borderId="0" xfId="0" applyNumberFormat="1" applyFont="1" applyFill="1" applyAlignment="1" applyProtection="1">
      <alignment horizontal="left" vertical="center"/>
    </xf>
    <xf numFmtId="0" fontId="2" fillId="32" borderId="0" xfId="0" applyFont="1" applyFill="1" applyAlignment="1" applyProtection="1">
      <alignment horizontal="right" vertical="center"/>
    </xf>
    <xf numFmtId="2" fontId="8" fillId="32" borderId="0" xfId="0" applyNumberFormat="1" applyFont="1" applyFill="1" applyAlignment="1" applyProtection="1">
      <alignment horizontal="left" vertical="center"/>
    </xf>
    <xf numFmtId="0" fontId="8" fillId="32" borderId="0" xfId="0" applyFont="1" applyFill="1" applyAlignment="1" applyProtection="1">
      <alignment horizontal="left" vertical="center"/>
    </xf>
    <xf numFmtId="0" fontId="2" fillId="0" borderId="131" xfId="0" applyFont="1" applyBorder="1" applyAlignment="1" applyProtection="1">
      <alignment vertical="center"/>
    </xf>
    <xf numFmtId="0" fontId="112" fillId="25" borderId="0" xfId="0" applyFont="1" applyFill="1" applyAlignment="1" applyProtection="1">
      <alignment vertical="center"/>
    </xf>
    <xf numFmtId="0" fontId="111" fillId="25" borderId="0" xfId="0" applyFont="1" applyFill="1" applyAlignment="1" applyProtection="1">
      <alignment vertical="center"/>
    </xf>
    <xf numFmtId="0" fontId="112" fillId="35" borderId="0" xfId="0" applyFont="1" applyFill="1" applyAlignment="1" applyProtection="1">
      <alignment vertical="center"/>
    </xf>
    <xf numFmtId="0" fontId="2" fillId="25" borderId="56" xfId="0" applyFont="1" applyFill="1" applyBorder="1" applyAlignment="1" applyProtection="1">
      <alignment vertical="center"/>
    </xf>
    <xf numFmtId="0" fontId="2" fillId="25" borderId="0" xfId="0" applyFont="1" applyFill="1" applyAlignment="1" applyProtection="1">
      <alignment horizontal="left" wrapText="1"/>
    </xf>
    <xf numFmtId="0" fontId="2" fillId="30" borderId="0" xfId="0" applyFont="1" applyFill="1" applyBorder="1" applyAlignment="1" applyProtection="1">
      <alignment horizontal="right" vertical="center"/>
    </xf>
    <xf numFmtId="0" fontId="8" fillId="30" borderId="0" xfId="0" applyFont="1" applyFill="1" applyAlignment="1" applyProtection="1">
      <alignment horizontal="left" vertical="center"/>
    </xf>
    <xf numFmtId="0" fontId="2" fillId="32" borderId="0" xfId="0" applyFont="1" applyFill="1" applyBorder="1" applyAlignment="1" applyProtection="1">
      <alignment vertical="center"/>
    </xf>
    <xf numFmtId="190" fontId="2" fillId="0" borderId="0" xfId="0" applyNumberFormat="1" applyFont="1" applyFill="1" applyAlignment="1" applyProtection="1">
      <alignment vertical="center"/>
    </xf>
    <xf numFmtId="10" fontId="2" fillId="0" borderId="0" xfId="0" applyNumberFormat="1" applyFont="1" applyFill="1" applyAlignment="1" applyProtection="1">
      <alignment vertical="center"/>
    </xf>
    <xf numFmtId="10" fontId="8" fillId="25" borderId="0" xfId="1" applyNumberFormat="1" applyFont="1" applyFill="1" applyAlignment="1" applyProtection="1">
      <alignment vertical="center"/>
    </xf>
    <xf numFmtId="9" fontId="8" fillId="29" borderId="0" xfId="0" applyNumberFormat="1" applyFont="1" applyFill="1" applyAlignment="1" applyProtection="1">
      <alignment vertical="center"/>
    </xf>
    <xf numFmtId="10" fontId="8" fillId="30" borderId="150" xfId="0" applyNumberFormat="1" applyFont="1" applyFill="1" applyBorder="1" applyAlignment="1" applyProtection="1">
      <alignment horizontal="center" vertical="center"/>
    </xf>
    <xf numFmtId="0" fontId="8" fillId="30" borderId="151" xfId="0" applyFont="1" applyFill="1" applyBorder="1" applyAlignment="1" applyProtection="1">
      <alignment horizontal="center" vertical="center" wrapText="1"/>
    </xf>
    <xf numFmtId="0" fontId="8" fillId="30" borderId="147" xfId="0" applyFont="1" applyFill="1" applyBorder="1" applyAlignment="1" applyProtection="1">
      <alignment horizontal="center" vertical="center" wrapText="1"/>
    </xf>
    <xf numFmtId="2" fontId="8" fillId="31" borderId="0" xfId="0" applyNumberFormat="1" applyFont="1" applyFill="1" applyAlignment="1" applyProtection="1">
      <alignment horizontal="center" vertical="center"/>
    </xf>
    <xf numFmtId="0" fontId="113" fillId="29" borderId="0" xfId="0" applyFont="1" applyFill="1" applyAlignment="1" applyProtection="1">
      <alignment vertical="center"/>
    </xf>
    <xf numFmtId="0" fontId="8" fillId="25" borderId="0" xfId="0" applyFont="1" applyFill="1" applyAlignment="1" applyProtection="1">
      <alignment horizontal="right" vertical="center"/>
    </xf>
    <xf numFmtId="10" fontId="8" fillId="30" borderId="150" xfId="1" applyNumberFormat="1" applyFont="1" applyFill="1" applyBorder="1" applyAlignment="1" applyProtection="1">
      <alignment horizontal="center" vertical="center"/>
    </xf>
    <xf numFmtId="0" fontId="104" fillId="0" borderId="0" xfId="0" applyFont="1" applyAlignment="1" applyProtection="1">
      <alignment horizontal="left" vertical="center"/>
    </xf>
    <xf numFmtId="2" fontId="8" fillId="29" borderId="59" xfId="0" applyNumberFormat="1" applyFont="1" applyFill="1" applyBorder="1" applyAlignment="1" applyProtection="1">
      <alignment vertical="center"/>
    </xf>
    <xf numFmtId="0" fontId="2" fillId="0" borderId="130" xfId="0" applyFont="1" applyFill="1" applyBorder="1" applyAlignment="1" applyProtection="1">
      <alignment vertical="center"/>
    </xf>
    <xf numFmtId="0" fontId="2" fillId="0" borderId="134" xfId="0" applyFont="1" applyFill="1" applyBorder="1" applyAlignment="1" applyProtection="1">
      <alignment vertical="center"/>
    </xf>
    <xf numFmtId="0" fontId="105" fillId="26" borderId="0" xfId="0" applyFont="1" applyFill="1" applyAlignment="1" applyProtection="1">
      <alignment wrapText="1"/>
    </xf>
    <xf numFmtId="0" fontId="2" fillId="30" borderId="158" xfId="0" applyFont="1" applyFill="1" applyBorder="1" applyAlignment="1" applyProtection="1">
      <alignment vertical="center"/>
    </xf>
    <xf numFmtId="0" fontId="1" fillId="0" borderId="0" xfId="0" applyFont="1" applyFill="1" applyAlignment="1" applyProtection="1">
      <alignment vertical="center"/>
    </xf>
    <xf numFmtId="0" fontId="8" fillId="0" borderId="147" xfId="0" applyFont="1" applyFill="1" applyBorder="1" applyAlignment="1" applyProtection="1">
      <alignment vertical="center"/>
      <protection locked="0"/>
    </xf>
    <xf numFmtId="0" fontId="8" fillId="0" borderId="147" xfId="0" applyFont="1" applyBorder="1" applyAlignment="1" applyProtection="1">
      <alignment horizontal="left" vertical="center"/>
      <protection locked="0"/>
    </xf>
    <xf numFmtId="186" fontId="2" fillId="0" borderId="57" xfId="0" applyNumberFormat="1"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2" fillId="0" borderId="57"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2" fontId="2" fillId="0" borderId="57" xfId="0" applyNumberFormat="1" applyFont="1" applyFill="1" applyBorder="1" applyAlignment="1" applyProtection="1">
      <alignment horizontal="center" vertical="center"/>
      <protection locked="0"/>
    </xf>
    <xf numFmtId="0" fontId="2" fillId="0" borderId="57" xfId="0" applyFont="1" applyFill="1" applyBorder="1" applyAlignment="1" applyProtection="1">
      <alignment horizontal="center" vertical="center"/>
      <protection locked="0"/>
    </xf>
    <xf numFmtId="0" fontId="2" fillId="0" borderId="57" xfId="0" applyFont="1" applyFill="1" applyBorder="1" applyAlignment="1" applyProtection="1">
      <alignment vertical="center"/>
      <protection locked="0"/>
    </xf>
    <xf numFmtId="0" fontId="2" fillId="0" borderId="57" xfId="0" applyFont="1" applyFill="1" applyBorder="1" applyAlignment="1" applyProtection="1">
      <alignment horizontal="center" vertical="center" wrapText="1"/>
      <protection locked="0"/>
    </xf>
    <xf numFmtId="2" fontId="2" fillId="17" borderId="38" xfId="0" applyNumberFormat="1" applyFont="1" applyFill="1" applyBorder="1" applyAlignment="1" applyProtection="1">
      <alignment horizontal="center" vertical="center"/>
      <protection locked="0"/>
    </xf>
    <xf numFmtId="2" fontId="2" fillId="17" borderId="57" xfId="0" applyNumberFormat="1" applyFont="1" applyFill="1" applyBorder="1" applyAlignment="1" applyProtection="1">
      <alignment horizontal="center" vertical="center"/>
      <protection locked="0"/>
    </xf>
    <xf numFmtId="0" fontId="8" fillId="0" borderId="57" xfId="0" applyFont="1" applyBorder="1" applyAlignment="1" applyProtection="1">
      <alignment vertical="center"/>
      <protection locked="0"/>
    </xf>
    <xf numFmtId="0" fontId="8" fillId="0" borderId="57" xfId="0" applyFont="1" applyFill="1" applyBorder="1" applyAlignment="1" applyProtection="1">
      <alignment horizontal="center" vertical="center"/>
      <protection locked="0"/>
    </xf>
    <xf numFmtId="2" fontId="2" fillId="0" borderId="57" xfId="0" applyNumberFormat="1" applyFont="1" applyBorder="1" applyAlignment="1" applyProtection="1">
      <alignment horizontal="center" vertical="center"/>
      <protection locked="0"/>
    </xf>
    <xf numFmtId="2" fontId="2" fillId="0" borderId="38" xfId="0" applyNumberFormat="1" applyFont="1" applyBorder="1" applyAlignment="1" applyProtection="1">
      <alignment horizontal="center" vertical="center"/>
      <protection locked="0"/>
    </xf>
    <xf numFmtId="0" fontId="2" fillId="0" borderId="38" xfId="0" applyFont="1" applyFill="1" applyBorder="1" applyAlignment="1" applyProtection="1">
      <alignment horizontal="center" vertical="center"/>
      <protection locked="0"/>
    </xf>
    <xf numFmtId="2" fontId="2" fillId="0" borderId="38" xfId="0" applyNumberFormat="1" applyFont="1" applyFill="1" applyBorder="1" applyAlignment="1" applyProtection="1">
      <alignment horizontal="center" vertical="center"/>
      <protection locked="0"/>
    </xf>
    <xf numFmtId="0" fontId="2" fillId="0" borderId="57" xfId="0" applyFont="1" applyBorder="1" applyAlignment="1" applyProtection="1">
      <alignment horizontal="center"/>
      <protection locked="0"/>
    </xf>
    <xf numFmtId="0" fontId="8" fillId="23" borderId="117" xfId="0" applyFont="1" applyFill="1" applyBorder="1" applyAlignment="1" applyProtection="1">
      <alignment vertical="center"/>
    </xf>
    <xf numFmtId="0" fontId="2" fillId="23" borderId="117" xfId="0" applyFont="1" applyFill="1" applyBorder="1" applyAlignment="1" applyProtection="1">
      <alignment vertical="center"/>
    </xf>
    <xf numFmtId="0" fontId="2" fillId="23" borderId="2" xfId="0" applyFont="1" applyFill="1" applyBorder="1" applyAlignment="1" applyProtection="1">
      <alignment horizontal="left" vertical="center"/>
    </xf>
    <xf numFmtId="0" fontId="2" fillId="23" borderId="54" xfId="0" applyFont="1" applyFill="1" applyBorder="1" applyAlignment="1" applyProtection="1">
      <alignment vertical="center"/>
    </xf>
    <xf numFmtId="0" fontId="8" fillId="23" borderId="2" xfId="0" applyFont="1" applyFill="1" applyBorder="1" applyAlignment="1" applyProtection="1">
      <alignment vertical="center"/>
    </xf>
    <xf numFmtId="0" fontId="2" fillId="23" borderId="2" xfId="0" applyFont="1" applyFill="1" applyBorder="1" applyAlignment="1" applyProtection="1">
      <alignment vertical="center"/>
    </xf>
    <xf numFmtId="0" fontId="2" fillId="23" borderId="59" xfId="0" applyFont="1" applyFill="1" applyBorder="1" applyAlignment="1" applyProtection="1">
      <alignment horizontal="left" vertical="center"/>
    </xf>
    <xf numFmtId="0" fontId="2" fillId="23" borderId="59" xfId="0" applyFont="1" applyFill="1" applyBorder="1" applyAlignment="1" applyProtection="1">
      <alignment vertical="center"/>
    </xf>
    <xf numFmtId="0" fontId="2" fillId="23" borderId="89" xfId="0" applyFont="1" applyFill="1" applyBorder="1" applyAlignment="1" applyProtection="1">
      <alignment vertical="center"/>
    </xf>
    <xf numFmtId="0" fontId="2" fillId="23" borderId="59" xfId="0" applyFont="1" applyFill="1" applyBorder="1" applyAlignment="1" applyProtection="1">
      <alignment horizontal="right" vertical="center"/>
    </xf>
    <xf numFmtId="0" fontId="2" fillId="23" borderId="126" xfId="0" applyFont="1" applyFill="1" applyBorder="1" applyAlignment="1" applyProtection="1">
      <alignment vertical="center"/>
    </xf>
    <xf numFmtId="0" fontId="104" fillId="0" borderId="0" xfId="0" applyFont="1" applyBorder="1" applyAlignment="1" applyProtection="1">
      <alignment vertical="center"/>
    </xf>
    <xf numFmtId="0" fontId="2" fillId="30" borderId="145" xfId="0" applyFont="1" applyFill="1" applyBorder="1" applyAlignment="1" applyProtection="1">
      <alignment vertical="center"/>
    </xf>
    <xf numFmtId="0" fontId="2" fillId="30" borderId="0" xfId="0" applyFont="1" applyFill="1" applyAlignment="1" applyProtection="1">
      <alignment vertical="top" wrapText="1"/>
    </xf>
    <xf numFmtId="0" fontId="2" fillId="34" borderId="0" xfId="0" applyFont="1" applyFill="1" applyBorder="1" applyAlignment="1" applyProtection="1">
      <alignment vertical="center"/>
    </xf>
    <xf numFmtId="0" fontId="64" fillId="0" borderId="0" xfId="0" applyFont="1" applyFill="1" applyAlignment="1" applyProtection="1">
      <alignment vertical="center"/>
    </xf>
    <xf numFmtId="0" fontId="64" fillId="0" borderId="0" xfId="0" applyFont="1" applyAlignment="1" applyProtection="1">
      <alignment vertical="center"/>
    </xf>
    <xf numFmtId="0" fontId="64" fillId="23" borderId="0" xfId="0" applyFont="1" applyFill="1" applyAlignment="1" applyProtection="1">
      <alignment vertical="center"/>
    </xf>
    <xf numFmtId="0" fontId="64" fillId="0" borderId="0" xfId="0" applyFont="1" applyAlignment="1" applyProtection="1">
      <alignment horizontal="right" vertical="center"/>
    </xf>
    <xf numFmtId="0" fontId="100" fillId="26" borderId="153" xfId="0" applyFont="1" applyFill="1" applyBorder="1" applyAlignment="1" applyProtection="1">
      <alignment vertical="center"/>
    </xf>
    <xf numFmtId="0" fontId="105" fillId="26" borderId="4" xfId="0" applyFont="1" applyFill="1" applyBorder="1" applyAlignment="1" applyProtection="1">
      <alignment vertical="center"/>
    </xf>
    <xf numFmtId="0" fontId="105" fillId="26" borderId="154" xfId="0" applyFont="1" applyFill="1" applyBorder="1" applyAlignment="1" applyProtection="1">
      <alignment vertical="center"/>
    </xf>
    <xf numFmtId="0" fontId="102" fillId="0" borderId="75" xfId="0" applyFont="1" applyFill="1" applyBorder="1" applyAlignment="1" applyProtection="1">
      <alignment vertical="center"/>
    </xf>
    <xf numFmtId="0" fontId="102" fillId="0" borderId="2" xfId="0" applyFont="1" applyFill="1" applyBorder="1" applyAlignment="1" applyProtection="1">
      <alignment vertical="center"/>
    </xf>
    <xf numFmtId="0" fontId="8" fillId="0" borderId="75" xfId="0" applyFont="1" applyFill="1" applyBorder="1" applyAlignment="1" applyProtection="1">
      <alignment vertical="center"/>
    </xf>
    <xf numFmtId="0" fontId="2" fillId="0" borderId="2" xfId="0" applyFont="1" applyFill="1" applyBorder="1" applyAlignment="1" applyProtection="1">
      <alignment vertical="center"/>
    </xf>
    <xf numFmtId="0" fontId="8" fillId="0" borderId="90" xfId="0" applyFont="1" applyFill="1" applyBorder="1" applyAlignment="1" applyProtection="1">
      <alignment vertical="center"/>
    </xf>
    <xf numFmtId="0" fontId="8" fillId="0" borderId="160" xfId="0" applyFont="1" applyFill="1" applyBorder="1" applyAlignment="1" applyProtection="1">
      <alignment vertical="center"/>
    </xf>
    <xf numFmtId="0" fontId="2" fillId="0" borderId="117" xfId="0" applyFont="1" applyFill="1" applyBorder="1" applyAlignment="1" applyProtection="1">
      <alignment vertical="center"/>
    </xf>
    <xf numFmtId="0" fontId="8" fillId="0" borderId="161" xfId="0" applyFont="1" applyFill="1" applyBorder="1" applyAlignment="1" applyProtection="1">
      <alignment vertical="center"/>
    </xf>
    <xf numFmtId="0" fontId="108" fillId="0" borderId="158" xfId="0" applyFont="1" applyFill="1" applyBorder="1" applyAlignment="1" applyProtection="1">
      <alignment vertical="center"/>
    </xf>
    <xf numFmtId="0" fontId="8" fillId="30" borderId="76" xfId="0" applyFont="1" applyFill="1" applyBorder="1" applyAlignment="1" applyProtection="1">
      <alignment horizontal="left" vertical="center"/>
    </xf>
    <xf numFmtId="0" fontId="9" fillId="30" borderId="76" xfId="0" applyFont="1" applyFill="1" applyBorder="1" applyAlignment="1" applyProtection="1">
      <alignment horizontal="left" vertical="center"/>
    </xf>
    <xf numFmtId="0" fontId="8" fillId="30" borderId="75" xfId="0" applyFont="1" applyFill="1" applyBorder="1" applyAlignment="1" applyProtection="1">
      <alignment horizontal="left" vertical="center"/>
    </xf>
    <xf numFmtId="0" fontId="105" fillId="26" borderId="159" xfId="0" applyFont="1" applyFill="1" applyBorder="1" applyAlignment="1" applyProtection="1">
      <alignment vertical="center"/>
    </xf>
    <xf numFmtId="0" fontId="2" fillId="26" borderId="0" xfId="0" applyFont="1" applyFill="1" applyBorder="1" applyAlignment="1" applyProtection="1">
      <alignment vertical="center"/>
    </xf>
    <xf numFmtId="0" fontId="100" fillId="26" borderId="159" xfId="0" applyFont="1" applyFill="1" applyBorder="1" applyAlignment="1" applyProtection="1">
      <alignment vertical="center" wrapText="1"/>
    </xf>
    <xf numFmtId="0" fontId="2" fillId="26" borderId="159" xfId="0" applyFont="1" applyFill="1" applyBorder="1" applyAlignment="1" applyProtection="1">
      <alignment vertical="center"/>
    </xf>
    <xf numFmtId="0" fontId="64" fillId="26" borderId="0" xfId="0" applyFont="1" applyFill="1" applyAlignment="1" applyProtection="1">
      <alignment vertical="center"/>
    </xf>
    <xf numFmtId="0" fontId="2" fillId="27" borderId="0" xfId="0" applyFont="1" applyFill="1" applyBorder="1" applyAlignment="1" applyProtection="1">
      <alignment vertical="center"/>
    </xf>
    <xf numFmtId="0" fontId="2" fillId="27" borderId="3" xfId="0" applyFont="1" applyFill="1" applyBorder="1" applyAlignment="1" applyProtection="1">
      <alignment vertical="center"/>
    </xf>
    <xf numFmtId="0" fontId="2" fillId="30" borderId="0" xfId="0" applyFont="1" applyFill="1" applyBorder="1" applyAlignment="1" applyProtection="1">
      <alignment horizontal="left" vertical="center" wrapText="1"/>
    </xf>
    <xf numFmtId="0" fontId="2" fillId="30" borderId="0" xfId="0" applyFont="1" applyFill="1" applyAlignment="1" applyProtection="1">
      <alignment horizontal="left" vertical="center" wrapText="1"/>
    </xf>
    <xf numFmtId="0" fontId="8" fillId="30" borderId="147" xfId="0" applyFont="1" applyFill="1" applyBorder="1" applyAlignment="1" applyProtection="1">
      <alignment horizontal="center" vertical="center"/>
    </xf>
    <xf numFmtId="0" fontId="8" fillId="30" borderId="150" xfId="0" applyFont="1" applyFill="1" applyBorder="1" applyAlignment="1" applyProtection="1">
      <alignment horizontal="center" vertical="center"/>
    </xf>
    <xf numFmtId="0" fontId="8" fillId="30" borderId="151" xfId="0" applyFont="1" applyFill="1" applyBorder="1" applyAlignment="1" applyProtection="1">
      <alignment horizontal="center" vertical="center"/>
    </xf>
    <xf numFmtId="0" fontId="2" fillId="30" borderId="2" xfId="0" applyFont="1" applyFill="1" applyBorder="1" applyAlignment="1" applyProtection="1">
      <alignment horizontal="left" vertical="center"/>
    </xf>
    <xf numFmtId="2" fontId="8" fillId="30" borderId="150" xfId="0" applyNumberFormat="1" applyFont="1" applyFill="1" applyBorder="1" applyAlignment="1" applyProtection="1">
      <alignment horizontal="center" vertical="center"/>
    </xf>
    <xf numFmtId="0" fontId="2" fillId="30" borderId="89" xfId="0" applyFont="1" applyFill="1" applyBorder="1" applyAlignment="1" applyProtection="1">
      <alignment vertical="center"/>
    </xf>
    <xf numFmtId="0" fontId="100" fillId="26" borderId="0" xfId="0" applyFont="1" applyFill="1" applyAlignment="1" applyProtection="1">
      <alignment horizontal="right" vertical="center"/>
    </xf>
    <xf numFmtId="0" fontId="2" fillId="30" borderId="0" xfId="0" applyFont="1" applyFill="1" applyBorder="1" applyAlignment="1" applyProtection="1">
      <alignment horizontal="left" vertical="center"/>
    </xf>
    <xf numFmtId="0" fontId="2" fillId="34" borderId="0" xfId="0" applyFont="1" applyFill="1" applyAlignment="1" applyProtection="1">
      <alignment horizontal="right" vertical="center"/>
    </xf>
    <xf numFmtId="0" fontId="8" fillId="34" borderId="0" xfId="0" applyFont="1" applyFill="1" applyBorder="1" applyAlignment="1" applyProtection="1">
      <alignment horizontal="center" vertical="center"/>
    </xf>
    <xf numFmtId="0" fontId="2" fillId="0" borderId="165" xfId="0" applyFont="1" applyFill="1" applyBorder="1" applyAlignment="1" applyProtection="1">
      <alignment horizontal="center" vertical="center"/>
      <protection locked="0"/>
    </xf>
    <xf numFmtId="0" fontId="2" fillId="27" borderId="76" xfId="0" applyFont="1" applyFill="1" applyBorder="1" applyAlignment="1" applyProtection="1">
      <alignment vertical="center"/>
    </xf>
    <xf numFmtId="0" fontId="104" fillId="27" borderId="76" xfId="0" applyFont="1" applyFill="1" applyBorder="1" applyAlignment="1" applyProtection="1">
      <alignment vertical="center"/>
    </xf>
    <xf numFmtId="0" fontId="2" fillId="27" borderId="75" xfId="0" applyFont="1" applyFill="1" applyBorder="1" applyAlignment="1" applyProtection="1">
      <alignment vertical="center"/>
    </xf>
    <xf numFmtId="0" fontId="2" fillId="27" borderId="166" xfId="0" applyFont="1" applyFill="1" applyBorder="1" applyAlignment="1" applyProtection="1">
      <alignment vertical="center"/>
    </xf>
    <xf numFmtId="0" fontId="2" fillId="0" borderId="164" xfId="0" applyFont="1" applyFill="1" applyBorder="1" applyAlignment="1" applyProtection="1">
      <alignment horizontal="center" vertical="center"/>
      <protection locked="0"/>
    </xf>
    <xf numFmtId="0" fontId="2" fillId="27" borderId="159" xfId="0" applyFont="1" applyFill="1" applyBorder="1" applyAlignment="1" applyProtection="1">
      <alignment vertical="center"/>
    </xf>
    <xf numFmtId="0" fontId="2" fillId="27" borderId="162" xfId="0" applyFont="1" applyFill="1" applyBorder="1" applyAlignment="1" applyProtection="1">
      <alignment vertical="center"/>
    </xf>
    <xf numFmtId="0" fontId="2" fillId="31" borderId="0" xfId="0" applyFont="1" applyFill="1" applyBorder="1" applyAlignment="1" applyProtection="1"/>
    <xf numFmtId="0" fontId="2" fillId="36" borderId="0" xfId="0" applyFont="1" applyFill="1" applyAlignment="1" applyProtection="1">
      <alignment vertical="center"/>
    </xf>
    <xf numFmtId="0" fontId="2" fillId="37" borderId="0" xfId="0" applyFont="1" applyFill="1" applyAlignment="1" applyProtection="1">
      <alignment vertical="center"/>
    </xf>
    <xf numFmtId="0" fontId="8" fillId="37" borderId="0" xfId="0" applyFont="1" applyFill="1" applyAlignment="1" applyProtection="1">
      <alignment vertical="center"/>
    </xf>
    <xf numFmtId="0" fontId="2" fillId="36" borderId="0" xfId="0" applyFont="1" applyFill="1" applyAlignment="1" applyProtection="1">
      <alignment horizontal="center" vertical="center"/>
    </xf>
    <xf numFmtId="0" fontId="2" fillId="36" borderId="0" xfId="0" applyFont="1" applyFill="1" applyBorder="1" applyAlignment="1" applyProtection="1">
      <alignment horizontal="center" vertical="center"/>
    </xf>
    <xf numFmtId="0" fontId="2" fillId="36" borderId="0" xfId="0" applyFont="1" applyFill="1" applyBorder="1" applyAlignment="1" applyProtection="1">
      <alignment vertical="center" wrapText="1"/>
    </xf>
    <xf numFmtId="2" fontId="2" fillId="36" borderId="0" xfId="0" applyNumberFormat="1" applyFont="1" applyFill="1" applyBorder="1" applyAlignment="1" applyProtection="1">
      <alignment vertical="center"/>
    </xf>
    <xf numFmtId="0" fontId="2" fillId="36" borderId="0" xfId="0" applyFont="1" applyFill="1" applyAlignment="1" applyProtection="1">
      <alignment vertical="center" wrapText="1"/>
    </xf>
    <xf numFmtId="2" fontId="2" fillId="36" borderId="0" xfId="0" applyNumberFormat="1" applyFont="1" applyFill="1" applyAlignment="1" applyProtection="1">
      <alignment horizontal="center" vertical="center"/>
    </xf>
    <xf numFmtId="0" fontId="2" fillId="37" borderId="0" xfId="0" applyFont="1" applyFill="1" applyBorder="1" applyAlignment="1" applyProtection="1">
      <alignment horizontal="center" vertical="center"/>
    </xf>
    <xf numFmtId="2" fontId="2" fillId="37" borderId="0" xfId="0" applyNumberFormat="1" applyFont="1" applyFill="1" applyAlignment="1" applyProtection="1">
      <alignment horizontal="center" vertical="center" wrapText="1"/>
    </xf>
    <xf numFmtId="0" fontId="2" fillId="36" borderId="0" xfId="0" applyFont="1" applyFill="1" applyBorder="1" applyAlignment="1" applyProtection="1">
      <alignment vertical="center"/>
    </xf>
    <xf numFmtId="0" fontId="2" fillId="36" borderId="2" xfId="0" applyFont="1" applyFill="1" applyBorder="1" applyAlignment="1" applyProtection="1">
      <alignment vertical="center"/>
    </xf>
    <xf numFmtId="0" fontId="1" fillId="34" borderId="0" xfId="0" applyFont="1" applyFill="1" applyAlignment="1" applyProtection="1">
      <alignment vertical="center"/>
    </xf>
    <xf numFmtId="0" fontId="8" fillId="37" borderId="0" xfId="0" applyFont="1" applyFill="1" applyAlignment="1" applyProtection="1">
      <alignment horizontal="right" vertical="center"/>
    </xf>
    <xf numFmtId="0" fontId="8" fillId="30" borderId="0" xfId="0" applyFont="1" applyFill="1" applyBorder="1" applyAlignment="1" applyProtection="1">
      <alignment vertical="center" wrapText="1"/>
    </xf>
    <xf numFmtId="0" fontId="8" fillId="37" borderId="134" xfId="0" applyFont="1" applyFill="1" applyBorder="1" applyAlignment="1" applyProtection="1">
      <alignment vertical="center"/>
    </xf>
    <xf numFmtId="0" fontId="8" fillId="34" borderId="0" xfId="0" applyFont="1" applyFill="1" applyAlignment="1" applyProtection="1">
      <alignment horizontal="right" vertical="center"/>
    </xf>
    <xf numFmtId="0" fontId="8" fillId="34" borderId="76" xfId="0" applyFont="1" applyFill="1" applyBorder="1" applyAlignment="1" applyProtection="1">
      <alignment horizontal="center" vertical="center"/>
    </xf>
    <xf numFmtId="0" fontId="8" fillId="34" borderId="159" xfId="0" applyFont="1" applyFill="1" applyBorder="1" applyAlignment="1" applyProtection="1">
      <alignment horizontal="center" vertical="center"/>
    </xf>
    <xf numFmtId="0" fontId="8" fillId="36" borderId="76" xfId="0" applyFont="1" applyFill="1" applyBorder="1" applyAlignment="1" applyProtection="1">
      <alignment vertical="center"/>
    </xf>
    <xf numFmtId="0" fontId="8" fillId="31" borderId="0" xfId="0" applyFont="1" applyFill="1" applyBorder="1" applyAlignment="1" applyProtection="1">
      <alignment horizontal="left" vertical="center"/>
    </xf>
    <xf numFmtId="0" fontId="2" fillId="36" borderId="117" xfId="0" applyFont="1" applyFill="1" applyBorder="1" applyAlignment="1" applyProtection="1">
      <alignment vertical="center"/>
    </xf>
    <xf numFmtId="190" fontId="8" fillId="0" borderId="57" xfId="1" applyNumberFormat="1" applyFont="1" applyFill="1" applyBorder="1" applyAlignment="1" applyProtection="1">
      <alignment horizontal="center" vertical="center"/>
      <protection locked="0"/>
    </xf>
    <xf numFmtId="9" fontId="2" fillId="0" borderId="0" xfId="1" applyFont="1" applyAlignment="1" applyProtection="1">
      <alignment vertical="center"/>
    </xf>
    <xf numFmtId="2" fontId="8" fillId="23" borderId="0" xfId="0" applyNumberFormat="1" applyFont="1" applyFill="1" applyAlignment="1" applyProtection="1">
      <alignment vertical="center"/>
    </xf>
    <xf numFmtId="190" fontId="2" fillId="0" borderId="0" xfId="0" applyNumberFormat="1" applyFont="1" applyAlignment="1" applyProtection="1">
      <alignment vertical="center"/>
    </xf>
    <xf numFmtId="186" fontId="2" fillId="0" borderId="0" xfId="1" applyNumberFormat="1" applyFont="1" applyAlignment="1" applyProtection="1">
      <alignment vertical="center"/>
    </xf>
    <xf numFmtId="0" fontId="2" fillId="0" borderId="0" xfId="0" applyFont="1" applyBorder="1" applyAlignment="1" applyProtection="1">
      <alignment horizontal="right" vertical="center"/>
    </xf>
    <xf numFmtId="0" fontId="2" fillId="35" borderId="130" xfId="0" applyFont="1" applyFill="1" applyBorder="1" applyAlignment="1" applyProtection="1">
      <alignment vertical="center"/>
    </xf>
    <xf numFmtId="0" fontId="2" fillId="35" borderId="0" xfId="0" applyFont="1" applyFill="1" applyBorder="1" applyAlignment="1" applyProtection="1">
      <alignment vertical="center"/>
    </xf>
    <xf numFmtId="0" fontId="2" fillId="0" borderId="126" xfId="0" applyFont="1" applyFill="1" applyBorder="1" applyAlignment="1" applyProtection="1">
      <alignment vertical="center"/>
    </xf>
    <xf numFmtId="2" fontId="8" fillId="34" borderId="147" xfId="0" applyNumberFormat="1" applyFont="1" applyFill="1" applyBorder="1" applyAlignment="1" applyProtection="1">
      <alignment horizontal="center" vertical="center"/>
    </xf>
    <xf numFmtId="2" fontId="8" fillId="34" borderId="147" xfId="0" applyNumberFormat="1" applyFont="1" applyFill="1" applyBorder="1" applyAlignment="1" applyProtection="1">
      <alignment horizontal="center" vertical="center"/>
    </xf>
    <xf numFmtId="0" fontId="2" fillId="0" borderId="0" xfId="0" applyFont="1" applyBorder="1" applyAlignment="1" applyProtection="1">
      <alignment vertical="center" wrapText="1"/>
    </xf>
    <xf numFmtId="0" fontId="2" fillId="30" borderId="159" xfId="0" applyFont="1" applyFill="1" applyBorder="1" applyAlignment="1" applyProtection="1">
      <alignment vertical="center"/>
    </xf>
    <xf numFmtId="0" fontId="106" fillId="24" borderId="153" xfId="0" applyFont="1" applyFill="1" applyBorder="1" applyAlignment="1" applyProtection="1">
      <alignment vertical="center"/>
    </xf>
    <xf numFmtId="0" fontId="105" fillId="24" borderId="4" xfId="0" applyFont="1" applyFill="1" applyBorder="1" applyAlignment="1" applyProtection="1">
      <alignment vertical="center"/>
    </xf>
    <xf numFmtId="0" fontId="15" fillId="31" borderId="76" xfId="0" applyFont="1" applyFill="1" applyBorder="1" applyAlignment="1" applyProtection="1">
      <alignment vertical="center"/>
    </xf>
    <xf numFmtId="0" fontId="64" fillId="31" borderId="0" xfId="0" applyFont="1" applyFill="1" applyBorder="1" applyAlignment="1" applyProtection="1">
      <alignment vertical="center"/>
    </xf>
    <xf numFmtId="0" fontId="64" fillId="31" borderId="159" xfId="0" applyFont="1" applyFill="1" applyBorder="1" applyAlignment="1" applyProtection="1">
      <alignment vertical="center"/>
    </xf>
    <xf numFmtId="0" fontId="2" fillId="27" borderId="117" xfId="0" applyFont="1" applyFill="1" applyBorder="1" applyAlignment="1" applyProtection="1">
      <alignment vertical="center"/>
    </xf>
    <xf numFmtId="0" fontId="102" fillId="27" borderId="135" xfId="0" applyFont="1" applyFill="1" applyBorder="1" applyAlignment="1" applyProtection="1">
      <alignment vertical="center"/>
    </xf>
    <xf numFmtId="2" fontId="102" fillId="27" borderId="124" xfId="0" applyNumberFormat="1" applyFont="1" applyFill="1" applyBorder="1" applyAlignment="1" applyProtection="1">
      <alignment vertical="center"/>
    </xf>
    <xf numFmtId="2" fontId="102" fillId="27" borderId="125" xfId="0" applyNumberFormat="1" applyFont="1" applyFill="1" applyBorder="1" applyAlignment="1" applyProtection="1">
      <alignment vertical="center"/>
    </xf>
    <xf numFmtId="0" fontId="102" fillId="27" borderId="124" xfId="0" applyFont="1" applyFill="1" applyBorder="1" applyAlignment="1" applyProtection="1">
      <alignment vertical="center"/>
    </xf>
    <xf numFmtId="0" fontId="2" fillId="27" borderId="0" xfId="0" applyFont="1" applyFill="1" applyAlignment="1" applyProtection="1">
      <alignment horizontal="left" vertical="center"/>
    </xf>
    <xf numFmtId="0" fontId="8" fillId="27" borderId="0" xfId="0" applyFont="1" applyFill="1" applyBorder="1" applyAlignment="1" applyProtection="1">
      <alignment vertical="center"/>
    </xf>
    <xf numFmtId="0" fontId="102" fillId="27" borderId="136" xfId="0" applyFont="1" applyFill="1" applyBorder="1" applyAlignment="1" applyProtection="1">
      <alignment vertical="center"/>
    </xf>
    <xf numFmtId="0" fontId="8" fillId="35" borderId="0" xfId="0" applyFont="1" applyFill="1" applyAlignment="1" applyProtection="1">
      <alignment vertical="center"/>
    </xf>
    <xf numFmtId="0" fontId="8" fillId="27" borderId="0" xfId="0" applyFont="1" applyFill="1" applyAlignment="1" applyProtection="1">
      <alignment vertical="center"/>
    </xf>
    <xf numFmtId="0" fontId="104" fillId="27" borderId="0" xfId="0" applyFont="1" applyFill="1" applyAlignment="1" applyProtection="1">
      <alignment vertical="center"/>
    </xf>
    <xf numFmtId="2" fontId="8" fillId="27" borderId="59" xfId="0" applyNumberFormat="1" applyFont="1" applyFill="1" applyBorder="1" applyAlignment="1" applyProtection="1">
      <alignment vertical="center"/>
    </xf>
    <xf numFmtId="0" fontId="2" fillId="35" borderId="0" xfId="0" applyFont="1" applyFill="1" applyAlignment="1" applyProtection="1">
      <alignment horizontal="left" vertical="center"/>
    </xf>
    <xf numFmtId="9" fontId="8" fillId="35" borderId="0" xfId="1" applyFont="1" applyFill="1" applyAlignment="1" applyProtection="1">
      <alignment horizontal="right" vertical="center"/>
    </xf>
    <xf numFmtId="0" fontId="8" fillId="27" borderId="147" xfId="0" applyFont="1" applyFill="1" applyBorder="1" applyAlignment="1" applyProtection="1">
      <alignment horizontal="center" vertical="center"/>
    </xf>
    <xf numFmtId="0" fontId="8" fillId="31" borderId="0" xfId="0" applyFont="1" applyFill="1" applyAlignment="1" applyProtection="1">
      <alignment horizontal="left"/>
    </xf>
    <xf numFmtId="0" fontId="2" fillId="31" borderId="0" xfId="0" applyFont="1" applyFill="1" applyAlignment="1" applyProtection="1">
      <alignment horizontal="left" wrapText="1"/>
    </xf>
    <xf numFmtId="0" fontId="8" fillId="37" borderId="0" xfId="0" applyFont="1" applyFill="1" applyBorder="1" applyAlignment="1" applyProtection="1">
      <alignment vertical="top" wrapText="1"/>
    </xf>
    <xf numFmtId="0" fontId="8" fillId="37" borderId="0" xfId="0" applyFont="1" applyFill="1" applyAlignment="1" applyProtection="1">
      <alignment vertical="top" wrapText="1"/>
    </xf>
    <xf numFmtId="0" fontId="2" fillId="27" borderId="0" xfId="0" applyFont="1" applyFill="1" applyAlignment="1" applyProtection="1">
      <alignment horizontal="center" vertical="center"/>
    </xf>
    <xf numFmtId="0" fontId="2" fillId="27" borderId="130" xfId="0" applyFont="1" applyFill="1" applyBorder="1" applyAlignment="1" applyProtection="1">
      <alignment vertical="center"/>
    </xf>
    <xf numFmtId="0" fontId="2" fillId="30" borderId="0" xfId="0" applyFont="1" applyFill="1" applyBorder="1" applyAlignment="1" applyProtection="1">
      <alignment wrapText="1"/>
    </xf>
    <xf numFmtId="0" fontId="2" fillId="30" borderId="4" xfId="0" applyFont="1" applyFill="1" applyBorder="1" applyAlignment="1" applyProtection="1">
      <alignment vertical="center"/>
    </xf>
    <xf numFmtId="0" fontId="2" fillId="0" borderId="165" xfId="0" applyFont="1" applyBorder="1" applyAlignment="1" applyProtection="1">
      <alignment horizontal="center" vertical="center"/>
      <protection locked="0"/>
    </xf>
    <xf numFmtId="0" fontId="2" fillId="0" borderId="164" xfId="0" applyFont="1" applyBorder="1" applyAlignment="1" applyProtection="1">
      <alignment horizontal="center" vertical="center"/>
      <protection locked="0"/>
    </xf>
    <xf numFmtId="0" fontId="2" fillId="27" borderId="76" xfId="0" applyFont="1" applyFill="1" applyBorder="1" applyAlignment="1" applyProtection="1">
      <alignment horizontal="center" vertical="center"/>
    </xf>
    <xf numFmtId="0" fontId="2" fillId="27" borderId="0" xfId="0" applyFont="1" applyFill="1" applyBorder="1" applyAlignment="1" applyProtection="1">
      <alignment horizontal="center" vertical="center"/>
    </xf>
    <xf numFmtId="0" fontId="2" fillId="27" borderId="159" xfId="0" applyFont="1" applyFill="1" applyBorder="1" applyAlignment="1" applyProtection="1">
      <alignment horizontal="center" vertical="center"/>
    </xf>
    <xf numFmtId="2" fontId="2" fillId="36" borderId="0" xfId="0" applyNumberFormat="1" applyFont="1" applyFill="1" applyAlignment="1" applyProtection="1">
      <alignment vertical="center"/>
    </xf>
    <xf numFmtId="0" fontId="2" fillId="37" borderId="0" xfId="0" applyFont="1" applyFill="1" applyAlignment="1" applyProtection="1">
      <alignment horizontal="center" vertical="center"/>
    </xf>
    <xf numFmtId="2" fontId="2" fillId="37" borderId="0" xfId="0" applyNumberFormat="1" applyFont="1" applyFill="1" applyAlignment="1" applyProtection="1">
      <alignment horizontal="center" vertical="center"/>
    </xf>
    <xf numFmtId="0" fontId="2" fillId="36" borderId="0" xfId="0" applyFont="1" applyFill="1" applyBorder="1" applyAlignment="1" applyProtection="1">
      <alignment wrapText="1"/>
    </xf>
    <xf numFmtId="0" fontId="2" fillId="36" borderId="76" xfId="0" applyFont="1" applyFill="1" applyBorder="1" applyAlignment="1" applyProtection="1">
      <alignment vertical="center"/>
    </xf>
    <xf numFmtId="0" fontId="2" fillId="36" borderId="150" xfId="0" applyFont="1" applyFill="1" applyBorder="1" applyAlignment="1" applyProtection="1">
      <alignment vertical="center"/>
    </xf>
    <xf numFmtId="0" fontId="2" fillId="31" borderId="0" xfId="0" applyFont="1" applyFill="1" applyAlignment="1" applyProtection="1"/>
    <xf numFmtId="0" fontId="8" fillId="31" borderId="3" xfId="0" applyFont="1" applyFill="1" applyBorder="1" applyAlignment="1" applyProtection="1">
      <alignment horizontal="left"/>
    </xf>
    <xf numFmtId="0" fontId="2" fillId="31" borderId="3" xfId="0" applyFont="1" applyFill="1" applyBorder="1" applyAlignment="1" applyProtection="1"/>
    <xf numFmtId="0" fontId="100" fillId="24" borderId="160" xfId="0" applyFont="1" applyFill="1" applyBorder="1" applyAlignment="1" applyProtection="1">
      <alignment vertical="center"/>
    </xf>
    <xf numFmtId="0" fontId="100" fillId="24" borderId="117" xfId="0" applyFont="1" applyFill="1" applyBorder="1" applyAlignment="1" applyProtection="1">
      <alignment vertical="center"/>
    </xf>
    <xf numFmtId="0" fontId="100" fillId="24" borderId="161" xfId="0" applyFont="1" applyFill="1" applyBorder="1" applyAlignment="1" applyProtection="1">
      <alignment vertical="center"/>
    </xf>
    <xf numFmtId="0" fontId="2" fillId="0" borderId="38" xfId="0" applyFont="1" applyBorder="1" applyAlignment="1" applyProtection="1">
      <alignment horizontal="center"/>
      <protection locked="0"/>
    </xf>
    <xf numFmtId="0" fontId="100" fillId="26" borderId="2" xfId="0" applyFont="1" applyFill="1" applyBorder="1" applyAlignment="1" applyProtection="1">
      <alignment vertical="center"/>
    </xf>
    <xf numFmtId="0" fontId="105" fillId="26" borderId="2" xfId="0" applyFont="1" applyFill="1" applyBorder="1" applyAlignment="1" applyProtection="1">
      <alignment vertical="top" wrapText="1"/>
    </xf>
    <xf numFmtId="0" fontId="105" fillId="26" borderId="2" xfId="0" applyFont="1" applyFill="1" applyBorder="1" applyAlignment="1" applyProtection="1">
      <alignment vertical="center"/>
    </xf>
    <xf numFmtId="0" fontId="8" fillId="31" borderId="0" xfId="0" applyFont="1" applyFill="1" applyAlignment="1" applyProtection="1">
      <alignment horizontal="right" vertical="center"/>
    </xf>
    <xf numFmtId="0" fontId="2" fillId="31" borderId="0" xfId="0" applyFont="1" applyFill="1" applyBorder="1" applyAlignment="1" applyProtection="1">
      <alignment vertical="center"/>
      <protection locked="0"/>
    </xf>
    <xf numFmtId="0" fontId="2" fillId="31" borderId="0" xfId="0" applyFont="1" applyFill="1" applyBorder="1" applyAlignment="1" applyProtection="1">
      <alignment vertical="top" wrapText="1"/>
    </xf>
    <xf numFmtId="0" fontId="2" fillId="31" borderId="0" xfId="0" applyFont="1" applyFill="1" applyBorder="1" applyAlignment="1" applyProtection="1">
      <alignment vertical="top"/>
    </xf>
    <xf numFmtId="0" fontId="100" fillId="26" borderId="130" xfId="0" applyFont="1" applyFill="1" applyBorder="1" applyAlignment="1" applyProtection="1">
      <alignment horizontal="left" vertical="center"/>
    </xf>
    <xf numFmtId="10" fontId="8" fillId="30" borderId="160" xfId="1" applyNumberFormat="1" applyFont="1" applyFill="1" applyBorder="1" applyAlignment="1" applyProtection="1">
      <alignment horizontal="center" vertical="center"/>
    </xf>
    <xf numFmtId="2" fontId="2" fillId="30" borderId="3" xfId="0" applyNumberFormat="1" applyFont="1" applyFill="1" applyBorder="1" applyAlignment="1" applyProtection="1">
      <alignment horizontal="center" vertical="center"/>
    </xf>
    <xf numFmtId="2" fontId="2" fillId="30" borderId="2" xfId="0" applyNumberFormat="1" applyFont="1" applyFill="1" applyBorder="1" applyAlignment="1" applyProtection="1">
      <alignment horizontal="center" vertical="center"/>
    </xf>
    <xf numFmtId="9" fontId="2" fillId="0" borderId="57" xfId="1" applyFont="1" applyBorder="1" applyAlignment="1" applyProtection="1">
      <alignment horizontal="center" vertical="center"/>
      <protection locked="0"/>
    </xf>
    <xf numFmtId="9" fontId="2" fillId="0" borderId="38" xfId="1" applyFont="1" applyBorder="1" applyAlignment="1" applyProtection="1">
      <alignment horizontal="center" vertical="center"/>
      <protection locked="0"/>
    </xf>
    <xf numFmtId="0" fontId="2" fillId="27" borderId="2" xfId="0" applyFont="1" applyFill="1" applyBorder="1" applyAlignment="1" applyProtection="1">
      <alignment horizontal="center" vertical="center"/>
    </xf>
    <xf numFmtId="2" fontId="2" fillId="0" borderId="89" xfId="0" applyNumberFormat="1" applyFont="1" applyFill="1" applyBorder="1" applyAlignment="1" applyProtection="1">
      <alignment horizontal="center" vertical="center"/>
      <protection locked="0"/>
    </xf>
    <xf numFmtId="173" fontId="2" fillId="23" borderId="0" xfId="0" applyNumberFormat="1" applyFont="1" applyFill="1" applyAlignment="1" applyProtection="1">
      <alignment vertical="center"/>
    </xf>
    <xf numFmtId="0" fontId="8" fillId="0" borderId="131" xfId="0" applyFont="1" applyBorder="1" applyAlignment="1" applyProtection="1">
      <alignment vertical="center"/>
    </xf>
    <xf numFmtId="0" fontId="104" fillId="0" borderId="130" xfId="0" applyFont="1" applyBorder="1" applyAlignment="1" applyProtection="1">
      <alignment vertical="center"/>
    </xf>
    <xf numFmtId="0" fontId="104" fillId="27" borderId="130" xfId="0" applyFont="1" applyFill="1" applyBorder="1" applyAlignment="1" applyProtection="1">
      <alignment vertical="center"/>
    </xf>
    <xf numFmtId="0" fontId="2" fillId="0" borderId="56" xfId="0" applyFont="1" applyFill="1" applyBorder="1" applyAlignment="1" applyProtection="1">
      <alignment vertical="center"/>
    </xf>
    <xf numFmtId="2" fontId="8" fillId="30" borderId="150" xfId="0" applyNumberFormat="1" applyFont="1" applyFill="1" applyBorder="1" applyAlignment="1" applyProtection="1">
      <alignment horizontal="center" vertical="center"/>
    </xf>
    <xf numFmtId="0" fontId="2" fillId="0" borderId="126" xfId="0" applyFont="1" applyBorder="1" applyAlignment="1" applyProtection="1">
      <alignment vertical="center"/>
    </xf>
    <xf numFmtId="0" fontId="8" fillId="0" borderId="57" xfId="0" applyFont="1" applyFill="1" applyBorder="1" applyAlignment="1" applyProtection="1">
      <alignment horizontal="left" vertical="center"/>
      <protection locked="0"/>
    </xf>
    <xf numFmtId="190" fontId="115" fillId="31" borderId="130" xfId="1" applyNumberFormat="1" applyFont="1" applyFill="1" applyBorder="1" applyAlignment="1" applyProtection="1">
      <alignment horizontal="center" vertical="center"/>
    </xf>
    <xf numFmtId="190" fontId="115" fillId="31" borderId="0" xfId="1" applyNumberFormat="1" applyFont="1" applyFill="1" applyBorder="1" applyAlignment="1" applyProtection="1">
      <alignment horizontal="center" vertical="center"/>
    </xf>
    <xf numFmtId="2" fontId="8" fillId="30" borderId="150" xfId="0" applyNumberFormat="1" applyFont="1" applyFill="1" applyBorder="1" applyAlignment="1" applyProtection="1">
      <alignment horizontal="center" vertical="center"/>
    </xf>
    <xf numFmtId="9" fontId="8" fillId="35" borderId="0" xfId="1" applyNumberFormat="1" applyFont="1" applyFill="1" applyAlignment="1" applyProtection="1">
      <alignment vertical="center"/>
    </xf>
    <xf numFmtId="2" fontId="2" fillId="32" borderId="0" xfId="0" applyNumberFormat="1" applyFont="1" applyFill="1" applyAlignment="1" applyProtection="1">
      <alignment vertical="center"/>
    </xf>
    <xf numFmtId="0" fontId="8" fillId="0" borderId="57" xfId="0" applyFont="1" applyBorder="1" applyAlignment="1" applyProtection="1">
      <alignment horizontal="left" vertical="center"/>
      <protection locked="0"/>
    </xf>
    <xf numFmtId="1" fontId="2" fillId="0" borderId="57" xfId="0" applyNumberFormat="1" applyFont="1" applyBorder="1" applyAlignment="1" applyProtection="1">
      <alignment horizontal="center" vertical="center"/>
      <protection locked="0"/>
    </xf>
    <xf numFmtId="1" fontId="8" fillId="0" borderId="57" xfId="0" applyNumberFormat="1" applyFont="1" applyBorder="1" applyAlignment="1" applyProtection="1">
      <alignment horizontal="center" vertical="center"/>
      <protection locked="0"/>
    </xf>
    <xf numFmtId="1" fontId="8" fillId="0" borderId="57" xfId="0" applyNumberFormat="1" applyFont="1" applyFill="1" applyBorder="1" applyAlignment="1" applyProtection="1">
      <alignment horizontal="center" vertical="center"/>
      <protection locked="0"/>
    </xf>
    <xf numFmtId="1" fontId="2" fillId="0" borderId="38" xfId="0" applyNumberFormat="1" applyFont="1" applyBorder="1" applyAlignment="1" applyProtection="1">
      <alignment horizontal="center" vertical="center"/>
      <protection locked="0"/>
    </xf>
    <xf numFmtId="1" fontId="2" fillId="30" borderId="0" xfId="0" applyNumberFormat="1" applyFont="1" applyFill="1" applyAlignment="1" applyProtection="1">
      <alignment horizontal="center" vertical="center"/>
    </xf>
    <xf numFmtId="0" fontId="100" fillId="24" borderId="154" xfId="0" applyNumberFormat="1" applyFont="1" applyFill="1" applyBorder="1" applyAlignment="1" applyProtection="1">
      <alignment horizontal="right" vertical="center"/>
    </xf>
    <xf numFmtId="0" fontId="100" fillId="24" borderId="0" xfId="0" applyFont="1" applyFill="1" applyBorder="1" applyAlignment="1" applyProtection="1">
      <alignment horizontal="right" vertical="center"/>
    </xf>
    <xf numFmtId="0" fontId="8" fillId="37" borderId="0" xfId="0" applyFont="1" applyFill="1" applyBorder="1" applyAlignment="1" applyProtection="1">
      <alignment vertical="top"/>
    </xf>
    <xf numFmtId="0" fontId="8" fillId="37" borderId="0" xfId="0" applyFont="1" applyFill="1" applyBorder="1" applyAlignment="1" applyProtection="1">
      <alignment horizontal="right" vertical="top"/>
    </xf>
    <xf numFmtId="186" fontId="8" fillId="30" borderId="147" xfId="0" applyNumberFormat="1" applyFont="1" applyFill="1" applyBorder="1" applyAlignment="1" applyProtection="1">
      <alignment horizontal="center" vertical="center"/>
    </xf>
    <xf numFmtId="9" fontId="8" fillId="34" borderId="0" xfId="1" applyNumberFormat="1" applyFont="1" applyFill="1" applyAlignment="1" applyProtection="1">
      <alignment horizontal="right" vertical="center"/>
    </xf>
    <xf numFmtId="0" fontId="2" fillId="31" borderId="2" xfId="0" applyFont="1" applyFill="1" applyBorder="1" applyAlignment="1" applyProtection="1">
      <alignment vertical="center"/>
      <protection locked="0"/>
    </xf>
    <xf numFmtId="0" fontId="8" fillId="37" borderId="0" xfId="0" applyFont="1" applyFill="1" applyAlignment="1" applyProtection="1">
      <alignment horizontal="center" vertical="center"/>
    </xf>
    <xf numFmtId="10" fontId="8" fillId="38" borderId="0" xfId="1" applyNumberFormat="1" applyFont="1" applyFill="1" applyAlignment="1" applyProtection="1">
      <alignment vertical="center"/>
    </xf>
    <xf numFmtId="0" fontId="8" fillId="38" borderId="0" xfId="0" applyFont="1" applyFill="1" applyAlignment="1" applyProtection="1">
      <alignment vertical="center"/>
    </xf>
    <xf numFmtId="0" fontId="2" fillId="29" borderId="0" xfId="0" applyFont="1" applyFill="1" applyAlignment="1" applyProtection="1">
      <alignment horizontal="left" vertical="center"/>
    </xf>
    <xf numFmtId="186" fontId="2" fillId="25" borderId="0" xfId="0" applyNumberFormat="1" applyFont="1" applyFill="1" applyAlignment="1" applyProtection="1">
      <alignment vertical="center"/>
    </xf>
    <xf numFmtId="0" fontId="86" fillId="23" borderId="0" xfId="0" applyFont="1" applyFill="1" applyAlignment="1" applyProtection="1">
      <alignment vertical="center"/>
    </xf>
    <xf numFmtId="0" fontId="27" fillId="13" borderId="116" xfId="0" applyNumberFormat="1" applyFont="1" applyFill="1" applyBorder="1" applyAlignment="1" applyProtection="1">
      <alignment horizontal="left" vertical="top"/>
      <protection locked="0"/>
    </xf>
    <xf numFmtId="0" fontId="0" fillId="13" borderId="100" xfId="0" applyNumberFormat="1" applyFill="1" applyBorder="1" applyAlignment="1" applyProtection="1">
      <protection locked="0"/>
    </xf>
    <xf numFmtId="0" fontId="8" fillId="10" borderId="87" xfId="0" applyFont="1" applyFill="1" applyBorder="1" applyAlignment="1">
      <alignment horizontal="center" vertical="center"/>
    </xf>
    <xf numFmtId="0" fontId="0" fillId="0" borderId="54" xfId="0" applyBorder="1" applyAlignment="1">
      <alignment horizontal="center" vertical="center"/>
    </xf>
    <xf numFmtId="0" fontId="0" fillId="0" borderId="88" xfId="0" applyBorder="1" applyAlignment="1">
      <alignment horizontal="center" vertical="center"/>
    </xf>
    <xf numFmtId="0" fontId="8" fillId="10" borderId="89" xfId="0" applyFont="1" applyFill="1" applyBorder="1" applyAlignment="1">
      <alignment horizontal="center" vertical="center"/>
    </xf>
    <xf numFmtId="0" fontId="1" fillId="0" borderId="66" xfId="0" applyFont="1" applyBorder="1" applyAlignment="1">
      <alignment horizontal="center" vertical="center"/>
    </xf>
    <xf numFmtId="0" fontId="0" fillId="0" borderId="90" xfId="0" applyBorder="1" applyAlignment="1">
      <alignment horizontal="center" vertical="center"/>
    </xf>
    <xf numFmtId="0" fontId="27" fillId="13" borderId="115" xfId="0" applyNumberFormat="1" applyFont="1" applyFill="1" applyBorder="1" applyAlignment="1" applyProtection="1">
      <alignment horizontal="left" vertical="top"/>
      <protection locked="0"/>
    </xf>
    <xf numFmtId="0" fontId="27" fillId="13" borderId="92" xfId="0" applyNumberFormat="1" applyFont="1" applyFill="1" applyBorder="1" applyAlignment="1" applyProtection="1">
      <alignment horizontal="left" vertical="top"/>
      <protection locked="0"/>
    </xf>
    <xf numFmtId="0" fontId="27" fillId="13" borderId="100" xfId="0" applyNumberFormat="1" applyFont="1" applyFill="1" applyBorder="1" applyAlignment="1" applyProtection="1">
      <alignment horizontal="left" vertical="top"/>
      <protection locked="0"/>
    </xf>
    <xf numFmtId="0" fontId="50" fillId="0" borderId="0" xfId="0" applyFont="1" applyFill="1" applyBorder="1" applyAlignment="1">
      <alignment horizontal="center" vertical="center"/>
    </xf>
    <xf numFmtId="0" fontId="51" fillId="0" borderId="0" xfId="0" applyFont="1" applyFill="1" applyBorder="1"/>
    <xf numFmtId="0" fontId="27" fillId="13" borderId="118" xfId="0" applyNumberFormat="1" applyFont="1" applyFill="1" applyBorder="1" applyAlignment="1" applyProtection="1">
      <alignment horizontal="left" vertical="top"/>
      <protection locked="0"/>
    </xf>
    <xf numFmtId="0" fontId="0" fillId="13" borderId="108" xfId="0" applyNumberFormat="1" applyFill="1" applyBorder="1" applyAlignment="1" applyProtection="1">
      <protection locked="0"/>
    </xf>
    <xf numFmtId="0" fontId="2" fillId="0" borderId="0" xfId="0" applyFont="1" applyBorder="1" applyAlignment="1">
      <alignment horizontal="left" vertical="top" wrapText="1"/>
    </xf>
    <xf numFmtId="0" fontId="0" fillId="0" borderId="0" xfId="0" applyAlignment="1">
      <alignment wrapText="1"/>
    </xf>
    <xf numFmtId="0" fontId="96" fillId="22" borderId="84" xfId="0" applyFont="1" applyFill="1" applyBorder="1" applyAlignment="1" applyProtection="1">
      <alignment horizontal="left" vertical="center"/>
      <protection locked="0"/>
    </xf>
    <xf numFmtId="0" fontId="97" fillId="22" borderId="85" xfId="0" applyFont="1" applyFill="1" applyBorder="1" applyAlignment="1" applyProtection="1">
      <alignment horizontal="left" vertical="center"/>
      <protection locked="0"/>
    </xf>
    <xf numFmtId="0" fontId="97" fillId="22" borderId="86" xfId="0" applyFont="1" applyFill="1" applyBorder="1" applyAlignment="1" applyProtection="1">
      <alignment horizontal="left" vertical="center"/>
      <protection locked="0"/>
    </xf>
    <xf numFmtId="0" fontId="98" fillId="22" borderId="84" xfId="0" applyFont="1" applyFill="1" applyBorder="1" applyAlignment="1" applyProtection="1">
      <alignment vertical="center"/>
      <protection locked="0"/>
    </xf>
    <xf numFmtId="0" fontId="97" fillId="22" borderId="85" xfId="0" applyFont="1" applyFill="1" applyBorder="1" applyAlignment="1" applyProtection="1">
      <alignment vertical="center"/>
      <protection locked="0"/>
    </xf>
    <xf numFmtId="0" fontId="97" fillId="22" borderId="86" xfId="0" applyFont="1" applyFill="1" applyBorder="1" applyAlignment="1" applyProtection="1">
      <alignment vertical="center"/>
      <protection locked="0"/>
    </xf>
    <xf numFmtId="0" fontId="8" fillId="10" borderId="59" xfId="0" applyFont="1" applyFill="1" applyBorder="1" applyAlignment="1">
      <alignment horizontal="center" wrapText="1"/>
    </xf>
    <xf numFmtId="0" fontId="0" fillId="0" borderId="66" xfId="0" applyBorder="1" applyAlignment="1">
      <alignment horizontal="center"/>
    </xf>
    <xf numFmtId="0" fontId="96" fillId="22" borderId="84" xfId="0" applyFont="1" applyFill="1" applyBorder="1" applyAlignment="1" applyProtection="1">
      <alignment horizontal="center" vertical="center"/>
      <protection locked="0"/>
    </xf>
    <xf numFmtId="0" fontId="97" fillId="22" borderId="85" xfId="0" applyFont="1" applyFill="1" applyBorder="1" applyAlignment="1" applyProtection="1">
      <alignment horizontal="center" vertical="center"/>
      <protection locked="0"/>
    </xf>
    <xf numFmtId="0" fontId="97" fillId="22" borderId="86" xfId="0" applyFont="1" applyFill="1" applyBorder="1" applyAlignment="1" applyProtection="1">
      <alignment horizontal="center" vertical="center"/>
      <protection locked="0"/>
    </xf>
    <xf numFmtId="185" fontId="97" fillId="22" borderId="84" xfId="0" applyNumberFormat="1" applyFont="1" applyFill="1" applyBorder="1" applyAlignment="1" applyProtection="1">
      <alignment horizontal="center" vertical="center"/>
      <protection locked="0"/>
    </xf>
    <xf numFmtId="185" fontId="97" fillId="22" borderId="85" xfId="0" applyNumberFormat="1" applyFont="1" applyFill="1" applyBorder="1" applyAlignment="1" applyProtection="1">
      <alignment horizontal="center" vertical="center"/>
      <protection locked="0"/>
    </xf>
    <xf numFmtId="185" fontId="97" fillId="22" borderId="86" xfId="0" applyNumberFormat="1" applyFont="1" applyFill="1" applyBorder="1" applyAlignment="1" applyProtection="1">
      <alignment horizontal="center" vertical="center"/>
      <protection locked="0"/>
    </xf>
    <xf numFmtId="0" fontId="27" fillId="13" borderId="116" xfId="0" applyNumberFormat="1" applyFont="1" applyFill="1" applyBorder="1" applyAlignment="1" applyProtection="1">
      <alignment horizontal="left" vertical="top" wrapText="1"/>
      <protection locked="0"/>
    </xf>
    <xf numFmtId="0" fontId="55" fillId="13" borderId="100" xfId="0" applyNumberFormat="1" applyFont="1" applyFill="1" applyBorder="1" applyAlignment="1" applyProtection="1">
      <alignment horizontal="left" vertical="top"/>
      <protection locked="0"/>
    </xf>
    <xf numFmtId="0" fontId="8" fillId="30" borderId="0" xfId="0" applyFont="1" applyFill="1" applyBorder="1" applyAlignment="1" applyProtection="1">
      <alignment horizontal="left" vertical="center" wrapText="1"/>
    </xf>
    <xf numFmtId="0" fontId="8" fillId="30" borderId="2" xfId="0" applyFont="1" applyFill="1" applyBorder="1" applyAlignment="1" applyProtection="1">
      <alignment horizontal="left" vertical="center" wrapText="1"/>
    </xf>
    <xf numFmtId="0" fontId="100" fillId="26" borderId="0" xfId="0" applyFont="1" applyFill="1" applyBorder="1" applyAlignment="1" applyProtection="1">
      <alignment horizontal="left" vertical="center"/>
    </xf>
    <xf numFmtId="0" fontId="100" fillId="26" borderId="0" xfId="0" applyFont="1" applyFill="1" applyAlignment="1" applyProtection="1">
      <alignment horizontal="right" wrapText="1"/>
    </xf>
    <xf numFmtId="0" fontId="100" fillId="26" borderId="134" xfId="0" applyFont="1" applyFill="1" applyBorder="1" applyAlignment="1" applyProtection="1">
      <alignment horizontal="right" wrapText="1"/>
    </xf>
    <xf numFmtId="0" fontId="2" fillId="0" borderId="89" xfId="0" applyFont="1" applyBorder="1" applyAlignment="1" applyProtection="1">
      <alignment horizontal="left" vertical="center"/>
      <protection locked="0"/>
    </xf>
    <xf numFmtId="0" fontId="2" fillId="0" borderId="59" xfId="0" applyFont="1" applyBorder="1" applyAlignment="1" applyProtection="1">
      <alignment horizontal="left" vertical="center"/>
      <protection locked="0"/>
    </xf>
    <xf numFmtId="0" fontId="2" fillId="0" borderId="66" xfId="0" applyFont="1" applyBorder="1" applyAlignment="1" applyProtection="1">
      <alignment horizontal="left" vertical="center"/>
      <protection locked="0"/>
    </xf>
    <xf numFmtId="0" fontId="102" fillId="27" borderId="140" xfId="0" applyFont="1" applyFill="1" applyBorder="1" applyAlignment="1" applyProtection="1">
      <alignment horizontal="left" vertical="center"/>
    </xf>
    <xf numFmtId="0" fontId="102" fillId="27" borderId="141" xfId="0" applyFont="1" applyFill="1" applyBorder="1" applyAlignment="1" applyProtection="1">
      <alignment horizontal="left" vertical="center"/>
    </xf>
    <xf numFmtId="0" fontId="2" fillId="30" borderId="0" xfId="0" applyFont="1" applyFill="1" applyAlignment="1" applyProtection="1">
      <alignment horizontal="left" vertical="center" wrapText="1"/>
    </xf>
    <xf numFmtId="0" fontId="2" fillId="30" borderId="2" xfId="0" applyFont="1" applyFill="1" applyBorder="1" applyAlignment="1" applyProtection="1">
      <alignment horizontal="left" vertical="center" wrapText="1"/>
    </xf>
    <xf numFmtId="0" fontId="2" fillId="0" borderId="89" xfId="0" applyFont="1" applyFill="1" applyBorder="1" applyAlignment="1" applyProtection="1">
      <alignment horizontal="left" vertical="center"/>
      <protection locked="0"/>
    </xf>
    <xf numFmtId="0" fontId="2" fillId="0" borderId="59" xfId="0" applyFont="1" applyFill="1" applyBorder="1" applyAlignment="1" applyProtection="1">
      <alignment horizontal="left" vertical="center"/>
      <protection locked="0"/>
    </xf>
    <xf numFmtId="0" fontId="2" fillId="0" borderId="66" xfId="0" applyFont="1" applyFill="1" applyBorder="1" applyAlignment="1" applyProtection="1">
      <alignment horizontal="left" vertical="center"/>
      <protection locked="0"/>
    </xf>
    <xf numFmtId="0" fontId="100" fillId="26" borderId="0" xfId="0" applyFont="1" applyFill="1" applyAlignment="1" applyProtection="1">
      <alignment horizontal="center" vertical="center"/>
    </xf>
    <xf numFmtId="0" fontId="100" fillId="26" borderId="134" xfId="0" applyFont="1" applyFill="1" applyBorder="1" applyAlignment="1" applyProtection="1">
      <alignment horizontal="center" vertical="center"/>
    </xf>
    <xf numFmtId="0" fontId="2" fillId="0" borderId="169" xfId="0" applyFont="1" applyBorder="1" applyAlignment="1" applyProtection="1">
      <alignment horizontal="center" textRotation="90"/>
      <protection locked="0"/>
    </xf>
    <xf numFmtId="0" fontId="2" fillId="0" borderId="144" xfId="0" applyFont="1" applyBorder="1" applyAlignment="1" applyProtection="1">
      <alignment horizontal="center" textRotation="90"/>
      <protection locked="0"/>
    </xf>
    <xf numFmtId="0" fontId="2" fillId="0" borderId="157" xfId="0" applyFont="1" applyBorder="1" applyAlignment="1" applyProtection="1">
      <alignment horizontal="center" textRotation="90"/>
      <protection locked="0"/>
    </xf>
    <xf numFmtId="0" fontId="2" fillId="27" borderId="166" xfId="0" applyFont="1" applyFill="1" applyBorder="1" applyAlignment="1" applyProtection="1">
      <alignment horizontal="left" vertical="center" wrapText="1"/>
    </xf>
    <xf numFmtId="0" fontId="2" fillId="27" borderId="3" xfId="0" applyFont="1" applyFill="1" applyBorder="1" applyAlignment="1" applyProtection="1">
      <alignment horizontal="left" vertical="center" wrapText="1"/>
    </xf>
    <xf numFmtId="0" fontId="2" fillId="27" borderId="162" xfId="0" applyFont="1" applyFill="1" applyBorder="1" applyAlignment="1" applyProtection="1">
      <alignment horizontal="left" vertical="center" wrapText="1"/>
    </xf>
    <xf numFmtId="0" fontId="2" fillId="27" borderId="75" xfId="0" applyFont="1" applyFill="1" applyBorder="1" applyAlignment="1" applyProtection="1">
      <alignment horizontal="left" vertical="center" wrapText="1"/>
    </xf>
    <xf numFmtId="0" fontId="2" fillId="27" borderId="2" xfId="0" applyFont="1" applyFill="1" applyBorder="1" applyAlignment="1" applyProtection="1">
      <alignment horizontal="left" vertical="center" wrapText="1"/>
    </xf>
    <xf numFmtId="0" fontId="2" fillId="27" borderId="158" xfId="0" applyFont="1" applyFill="1" applyBorder="1" applyAlignment="1" applyProtection="1">
      <alignment horizontal="left" vertical="center" wrapText="1"/>
    </xf>
    <xf numFmtId="0" fontId="2" fillId="30" borderId="0" xfId="0" applyFont="1" applyFill="1" applyBorder="1" applyAlignment="1" applyProtection="1">
      <alignment horizontal="left" vertical="center" wrapText="1"/>
    </xf>
    <xf numFmtId="0" fontId="2" fillId="27" borderId="89" xfId="0" applyFont="1" applyFill="1" applyBorder="1" applyAlignment="1" applyProtection="1">
      <alignment horizontal="center" vertical="center" wrapText="1"/>
    </xf>
    <xf numFmtId="0" fontId="2" fillId="27" borderId="66" xfId="0" applyFont="1" applyFill="1" applyBorder="1" applyAlignment="1" applyProtection="1">
      <alignment horizontal="center" vertical="center" wrapText="1"/>
    </xf>
    <xf numFmtId="0" fontId="2" fillId="0" borderId="57" xfId="0" applyFont="1" applyFill="1" applyBorder="1" applyAlignment="1" applyProtection="1">
      <alignment horizontal="left" vertical="center"/>
      <protection locked="0"/>
    </xf>
    <xf numFmtId="0" fontId="8" fillId="31" borderId="0" xfId="0" applyFont="1" applyFill="1" applyBorder="1" applyAlignment="1" applyProtection="1">
      <alignment horizontal="left" vertical="center" wrapText="1"/>
    </xf>
    <xf numFmtId="0" fontId="8" fillId="31" borderId="117" xfId="0" applyFont="1" applyFill="1" applyBorder="1" applyAlignment="1" applyProtection="1">
      <alignment horizontal="left" vertical="center" wrapText="1"/>
    </xf>
    <xf numFmtId="0" fontId="2" fillId="0" borderId="13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33" xfId="0" applyFont="1" applyBorder="1" applyAlignment="1" applyProtection="1">
      <alignment horizontal="center" vertical="center" wrapText="1"/>
    </xf>
    <xf numFmtId="0" fontId="2" fillId="0" borderId="13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34" xfId="0" applyFont="1" applyBorder="1" applyAlignment="1" applyProtection="1">
      <alignment horizontal="center" vertical="center" wrapText="1"/>
    </xf>
    <xf numFmtId="0" fontId="2" fillId="0" borderId="126"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56" xfId="0" applyFont="1" applyBorder="1" applyAlignment="1" applyProtection="1">
      <alignment horizontal="center" vertical="center" wrapText="1"/>
    </xf>
    <xf numFmtId="0" fontId="2" fillId="30" borderId="134" xfId="0" applyFont="1" applyFill="1" applyBorder="1" applyAlignment="1" applyProtection="1">
      <alignment horizontal="left" vertical="center" wrapText="1"/>
    </xf>
    <xf numFmtId="0" fontId="2" fillId="30" borderId="56" xfId="0" applyFont="1" applyFill="1" applyBorder="1" applyAlignment="1" applyProtection="1">
      <alignment horizontal="left" vertical="center" wrapText="1"/>
    </xf>
    <xf numFmtId="0" fontId="2" fillId="0" borderId="167" xfId="0" applyFont="1" applyBorder="1" applyAlignment="1" applyProtection="1">
      <alignment horizontal="center" textRotation="90" wrapText="1"/>
      <protection locked="0"/>
    </xf>
    <xf numFmtId="0" fontId="2" fillId="0" borderId="146" xfId="0" applyFont="1" applyBorder="1" applyAlignment="1" applyProtection="1">
      <alignment horizontal="center" textRotation="90" wrapText="1"/>
      <protection locked="0"/>
    </xf>
    <xf numFmtId="0" fontId="2" fillId="0" borderId="163" xfId="0" applyFont="1" applyBorder="1" applyAlignment="1" applyProtection="1">
      <alignment horizontal="center" textRotation="90" wrapText="1"/>
      <protection locked="0"/>
    </xf>
    <xf numFmtId="0" fontId="2" fillId="0" borderId="168" xfId="0" applyFont="1" applyBorder="1" applyAlignment="1" applyProtection="1">
      <alignment horizontal="center" textRotation="90" wrapText="1"/>
      <protection locked="0"/>
    </xf>
    <xf numFmtId="0" fontId="2" fillId="0" borderId="127" xfId="0" applyFont="1" applyBorder="1" applyAlignment="1" applyProtection="1">
      <alignment horizontal="center" textRotation="90" wrapText="1"/>
      <protection locked="0"/>
    </xf>
    <xf numFmtId="0" fontId="2" fillId="0" borderId="38" xfId="0" applyFont="1" applyBorder="1" applyAlignment="1" applyProtection="1">
      <alignment horizontal="center" textRotation="90" wrapText="1"/>
      <protection locked="0"/>
    </xf>
    <xf numFmtId="0" fontId="2" fillId="0" borderId="169" xfId="0" applyFont="1" applyBorder="1" applyAlignment="1" applyProtection="1">
      <alignment horizontal="center" textRotation="90" wrapText="1"/>
      <protection locked="0"/>
    </xf>
    <xf numFmtId="0" fontId="2" fillId="0" borderId="144" xfId="0" applyFont="1" applyBorder="1" applyAlignment="1" applyProtection="1">
      <alignment horizontal="center" textRotation="90" wrapText="1"/>
      <protection locked="0"/>
    </xf>
    <xf numFmtId="0" fontId="2" fillId="0" borderId="157" xfId="0" applyFont="1" applyBorder="1" applyAlignment="1" applyProtection="1">
      <alignment horizontal="center" textRotation="90" wrapText="1"/>
      <protection locked="0"/>
    </xf>
    <xf numFmtId="0" fontId="67" fillId="31" borderId="0" xfId="0" applyFont="1" applyFill="1" applyBorder="1" applyAlignment="1" applyProtection="1">
      <alignment horizontal="left" vertical="center" wrapText="1"/>
    </xf>
    <xf numFmtId="0" fontId="67" fillId="31" borderId="117" xfId="0" applyFont="1" applyFill="1" applyBorder="1" applyAlignment="1" applyProtection="1">
      <alignment horizontal="left" vertical="center" wrapText="1"/>
    </xf>
    <xf numFmtId="0" fontId="8" fillId="35" borderId="0" xfId="0" applyFont="1" applyFill="1" applyBorder="1" applyAlignment="1" applyProtection="1">
      <alignment horizontal="right" vertical="center" wrapText="1"/>
    </xf>
    <xf numFmtId="0" fontId="8" fillId="35" borderId="134" xfId="0" applyFont="1" applyFill="1" applyBorder="1" applyAlignment="1" applyProtection="1">
      <alignment horizontal="right" vertical="center" wrapText="1"/>
    </xf>
    <xf numFmtId="0" fontId="8" fillId="34" borderId="0" xfId="0" applyFont="1" applyFill="1" applyAlignment="1" applyProtection="1">
      <alignment horizontal="right" vertical="center" wrapText="1"/>
    </xf>
    <xf numFmtId="0" fontId="8" fillId="0" borderId="148" xfId="0" applyFont="1" applyFill="1" applyBorder="1" applyAlignment="1" applyProtection="1">
      <alignment horizontal="left" vertical="center"/>
      <protection locked="0"/>
    </xf>
    <xf numFmtId="0" fontId="8" fillId="0" borderId="149" xfId="0" applyFont="1" applyFill="1" applyBorder="1" applyAlignment="1" applyProtection="1">
      <alignment horizontal="left" vertical="center"/>
      <protection locked="0"/>
    </xf>
    <xf numFmtId="0" fontId="2" fillId="0" borderId="37" xfId="0" applyFont="1" applyFill="1" applyBorder="1" applyAlignment="1" applyProtection="1">
      <alignment horizontal="center" textRotation="90" wrapText="1"/>
      <protection locked="0"/>
    </xf>
    <xf numFmtId="0" fontId="2" fillId="0" borderId="127" xfId="0" applyFont="1" applyFill="1" applyBorder="1" applyAlignment="1" applyProtection="1">
      <alignment horizontal="center" textRotation="90" wrapText="1"/>
      <protection locked="0"/>
    </xf>
    <xf numFmtId="0" fontId="2" fillId="0" borderId="38" xfId="0" applyFont="1" applyFill="1" applyBorder="1" applyAlignment="1" applyProtection="1">
      <alignment horizontal="center" textRotation="90" wrapText="1"/>
      <protection locked="0"/>
    </xf>
    <xf numFmtId="0" fontId="8" fillId="37" borderId="0" xfId="0" applyFont="1" applyFill="1" applyBorder="1" applyAlignment="1" applyProtection="1">
      <alignment horizontal="left" vertical="top" wrapText="1"/>
    </xf>
    <xf numFmtId="0" fontId="2" fillId="0" borderId="89" xfId="0" applyFont="1" applyFill="1" applyBorder="1" applyAlignment="1" applyProtection="1">
      <alignment horizontal="left" vertical="center" wrapText="1"/>
      <protection locked="0"/>
    </xf>
    <xf numFmtId="0" fontId="2" fillId="0" borderId="59" xfId="0" applyFont="1" applyFill="1" applyBorder="1" applyAlignment="1" applyProtection="1">
      <alignment horizontal="left" vertical="center" wrapText="1"/>
      <protection locked="0"/>
    </xf>
    <xf numFmtId="0" fontId="2" fillId="0" borderId="66" xfId="0" applyFont="1" applyFill="1" applyBorder="1" applyAlignment="1" applyProtection="1">
      <alignment horizontal="left" vertical="center" wrapText="1"/>
      <protection locked="0"/>
    </xf>
    <xf numFmtId="0" fontId="2" fillId="36" borderId="0" xfId="0" applyFont="1" applyFill="1" applyAlignment="1" applyProtection="1">
      <alignment horizontal="center" vertical="center" wrapText="1"/>
    </xf>
    <xf numFmtId="0" fontId="8" fillId="30" borderId="150" xfId="0" applyFont="1" applyFill="1" applyBorder="1" applyAlignment="1" applyProtection="1">
      <alignment horizontal="center" vertical="center"/>
    </xf>
    <xf numFmtId="0" fontId="8" fillId="30" borderId="151" xfId="0" applyFont="1" applyFill="1" applyBorder="1" applyAlignment="1" applyProtection="1">
      <alignment horizontal="center" vertical="center"/>
    </xf>
    <xf numFmtId="0" fontId="2" fillId="30" borderId="130" xfId="0" applyFont="1" applyFill="1" applyBorder="1" applyAlignment="1" applyProtection="1">
      <alignment horizontal="left" vertical="center" wrapText="1"/>
    </xf>
    <xf numFmtId="0" fontId="2" fillId="30" borderId="132" xfId="0" applyFont="1" applyFill="1" applyBorder="1" applyAlignment="1" applyProtection="1">
      <alignment horizontal="left" vertical="center" wrapText="1"/>
    </xf>
    <xf numFmtId="0" fontId="2" fillId="30" borderId="117" xfId="0" applyFont="1" applyFill="1" applyBorder="1" applyAlignment="1" applyProtection="1">
      <alignment horizontal="left" vertical="center" wrapText="1"/>
    </xf>
    <xf numFmtId="0" fontId="2" fillId="0" borderId="2" xfId="0" applyFont="1" applyBorder="1" applyAlignment="1" applyProtection="1">
      <alignment horizontal="left" vertical="center"/>
      <protection locked="0"/>
    </xf>
    <xf numFmtId="2" fontId="2" fillId="0" borderId="89" xfId="0" applyNumberFormat="1" applyFont="1" applyBorder="1" applyAlignment="1" applyProtection="1">
      <alignment horizontal="center" vertical="center"/>
      <protection locked="0"/>
    </xf>
    <xf numFmtId="2" fontId="2" fillId="0" borderId="66" xfId="0" applyNumberFormat="1" applyFont="1" applyBorder="1" applyAlignment="1" applyProtection="1">
      <alignment horizontal="center" vertical="center"/>
      <protection locked="0"/>
    </xf>
    <xf numFmtId="0" fontId="2" fillId="0" borderId="56" xfId="0" applyFont="1" applyFill="1" applyBorder="1" applyAlignment="1" applyProtection="1">
      <alignment horizontal="left" vertical="center"/>
      <protection locked="0"/>
    </xf>
    <xf numFmtId="0" fontId="2" fillId="0" borderId="38" xfId="0" applyFont="1" applyFill="1" applyBorder="1" applyAlignment="1" applyProtection="1">
      <alignment horizontal="left" vertical="center"/>
      <protection locked="0"/>
    </xf>
    <xf numFmtId="0" fontId="2" fillId="0" borderId="126" xfId="0" applyFont="1" applyFill="1" applyBorder="1" applyAlignment="1" applyProtection="1">
      <alignment horizontal="left" vertical="center"/>
      <protection locked="0"/>
    </xf>
    <xf numFmtId="2" fontId="2" fillId="0" borderId="126" xfId="0" applyNumberFormat="1" applyFont="1" applyBorder="1" applyAlignment="1" applyProtection="1">
      <alignment horizontal="center" vertical="center"/>
      <protection locked="0"/>
    </xf>
    <xf numFmtId="2" fontId="2" fillId="0" borderId="56" xfId="0" applyNumberFormat="1" applyFont="1" applyBorder="1" applyAlignment="1" applyProtection="1">
      <alignment horizontal="center" vertical="center"/>
      <protection locked="0"/>
    </xf>
    <xf numFmtId="0" fontId="2" fillId="23" borderId="0" xfId="0" applyFont="1" applyFill="1" applyAlignment="1" applyProtection="1">
      <alignment horizontal="left" vertical="center" wrapText="1"/>
    </xf>
    <xf numFmtId="2" fontId="8" fillId="36" borderId="150" xfId="0" applyNumberFormat="1" applyFont="1" applyFill="1" applyBorder="1" applyAlignment="1" applyProtection="1">
      <alignment horizontal="center" vertical="center"/>
    </xf>
    <xf numFmtId="2" fontId="8" fillId="36" borderId="151" xfId="0" applyNumberFormat="1" applyFont="1" applyFill="1" applyBorder="1" applyAlignment="1" applyProtection="1">
      <alignment horizontal="center" vertical="center"/>
    </xf>
    <xf numFmtId="0" fontId="2" fillId="31" borderId="0" xfId="0" applyFont="1" applyFill="1" applyAlignment="1" applyProtection="1">
      <alignment horizontal="left" vertical="center" wrapText="1"/>
    </xf>
    <xf numFmtId="0" fontId="2" fillId="31" borderId="0" xfId="0" applyFont="1" applyFill="1" applyAlignment="1" applyProtection="1">
      <alignment horizontal="left" vertical="center"/>
    </xf>
    <xf numFmtId="0" fontId="2" fillId="31" borderId="0" xfId="0" applyFont="1" applyFill="1" applyBorder="1" applyAlignment="1" applyProtection="1">
      <alignment horizontal="left" vertical="center" wrapText="1"/>
    </xf>
    <xf numFmtId="0" fontId="2" fillId="36" borderId="0" xfId="0" applyFont="1" applyFill="1" applyBorder="1" applyAlignment="1" applyProtection="1">
      <alignment horizontal="left" wrapText="1"/>
    </xf>
    <xf numFmtId="0" fontId="2" fillId="36" borderId="117" xfId="0" applyFont="1" applyFill="1" applyBorder="1" applyAlignment="1" applyProtection="1">
      <alignment horizontal="left" wrapText="1"/>
    </xf>
    <xf numFmtId="15" fontId="2" fillId="0" borderId="89" xfId="0" applyNumberFormat="1" applyFont="1" applyBorder="1" applyAlignment="1" applyProtection="1">
      <alignment horizontal="left" vertical="center"/>
      <protection locked="0"/>
    </xf>
    <xf numFmtId="49" fontId="8" fillId="0" borderId="89" xfId="0" applyNumberFormat="1" applyFont="1" applyFill="1" applyBorder="1" applyAlignment="1" applyProtection="1">
      <alignment horizontal="left" vertical="center"/>
      <protection locked="0"/>
    </xf>
    <xf numFmtId="49" fontId="8" fillId="0" borderId="90" xfId="0" applyNumberFormat="1" applyFont="1" applyFill="1" applyBorder="1" applyAlignment="1" applyProtection="1">
      <alignment horizontal="left" vertical="center"/>
      <protection locked="0"/>
    </xf>
    <xf numFmtId="49" fontId="2" fillId="0" borderId="89" xfId="5" applyNumberFormat="1" applyFont="1" applyFill="1" applyBorder="1" applyAlignment="1" applyProtection="1">
      <alignment horizontal="left" vertical="center"/>
      <protection locked="0"/>
    </xf>
    <xf numFmtId="49" fontId="2" fillId="0" borderId="59" xfId="5" applyNumberFormat="1" applyFont="1" applyFill="1" applyBorder="1" applyAlignment="1" applyProtection="1">
      <alignment horizontal="left" vertical="center"/>
      <protection locked="0"/>
    </xf>
    <xf numFmtId="49" fontId="2" fillId="0" borderId="90" xfId="5" applyNumberFormat="1" applyFont="1" applyFill="1" applyBorder="1" applyAlignment="1" applyProtection="1">
      <alignment horizontal="left" vertical="center"/>
      <protection locked="0"/>
    </xf>
    <xf numFmtId="0" fontId="2" fillId="31" borderId="3" xfId="0" applyFont="1" applyFill="1" applyBorder="1" applyAlignment="1" applyProtection="1">
      <alignment horizontal="left" vertical="center" wrapText="1"/>
    </xf>
    <xf numFmtId="2" fontId="8" fillId="37" borderId="76" xfId="0" applyNumberFormat="1" applyFont="1" applyFill="1" applyBorder="1" applyAlignment="1" applyProtection="1">
      <alignment horizontal="center" vertical="center"/>
    </xf>
    <xf numFmtId="2" fontId="8" fillId="37" borderId="159" xfId="0" applyNumberFormat="1" applyFont="1" applyFill="1" applyBorder="1" applyAlignment="1" applyProtection="1">
      <alignment horizontal="center" vertical="center"/>
    </xf>
    <xf numFmtId="2" fontId="8" fillId="34" borderId="147" xfId="0" applyNumberFormat="1" applyFont="1" applyFill="1" applyBorder="1" applyAlignment="1" applyProtection="1">
      <alignment horizontal="center" vertical="center"/>
    </xf>
    <xf numFmtId="0" fontId="8" fillId="38" borderId="0" xfId="0" applyFont="1" applyFill="1" applyBorder="1" applyAlignment="1" applyProtection="1">
      <alignment horizontal="left" vertical="center" wrapText="1"/>
    </xf>
    <xf numFmtId="0" fontId="8" fillId="38" borderId="117" xfId="0" applyFont="1" applyFill="1" applyBorder="1" applyAlignment="1" applyProtection="1">
      <alignment horizontal="left" vertical="center" wrapText="1"/>
    </xf>
    <xf numFmtId="0" fontId="8" fillId="36" borderId="0" xfId="0" applyFont="1" applyFill="1" applyBorder="1" applyAlignment="1" applyProtection="1">
      <alignment horizontal="left" vertical="center" wrapText="1"/>
    </xf>
    <xf numFmtId="0" fontId="2" fillId="36" borderId="76" xfId="0" applyFont="1" applyFill="1" applyBorder="1" applyAlignment="1" applyProtection="1">
      <alignment horizontal="left" wrapText="1"/>
    </xf>
    <xf numFmtId="0" fontId="2" fillId="36" borderId="160" xfId="0" applyFont="1" applyFill="1" applyBorder="1" applyAlignment="1" applyProtection="1">
      <alignment horizontal="left" wrapText="1"/>
    </xf>
    <xf numFmtId="0" fontId="2" fillId="37" borderId="0" xfId="0" applyFont="1" applyFill="1" applyAlignment="1" applyProtection="1">
      <alignment horizontal="left" vertical="center" wrapText="1"/>
    </xf>
    <xf numFmtId="0" fontId="2" fillId="31" borderId="0" xfId="0" applyFont="1" applyFill="1" applyAlignment="1" applyProtection="1">
      <alignment horizontal="left" wrapText="1"/>
    </xf>
    <xf numFmtId="2" fontId="8" fillId="30" borderId="150" xfId="0" applyNumberFormat="1" applyFont="1" applyFill="1" applyBorder="1" applyAlignment="1" applyProtection="1">
      <alignment horizontal="center" vertical="center"/>
    </xf>
    <xf numFmtId="2" fontId="8" fillId="30" borderId="151" xfId="0" applyNumberFormat="1" applyFont="1" applyFill="1" applyBorder="1" applyAlignment="1" applyProtection="1">
      <alignment horizontal="center" vertical="center"/>
    </xf>
    <xf numFmtId="0" fontId="2" fillId="36" borderId="0" xfId="0" applyFont="1" applyFill="1" applyBorder="1" applyAlignment="1" applyProtection="1">
      <alignment horizontal="center" vertical="center" wrapText="1"/>
    </xf>
    <xf numFmtId="0" fontId="2" fillId="0" borderId="76"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59" xfId="0" applyFont="1" applyFill="1" applyBorder="1" applyAlignment="1" applyProtection="1">
      <alignment horizontal="left" vertical="center" wrapText="1"/>
    </xf>
    <xf numFmtId="0" fontId="91" fillId="26" borderId="76" xfId="0" applyFont="1" applyFill="1" applyBorder="1" applyAlignment="1" applyProtection="1">
      <alignment horizontal="left" vertical="center" wrapText="1"/>
    </xf>
    <xf numFmtId="0" fontId="91" fillId="26" borderId="0" xfId="0" applyFont="1" applyFill="1" applyBorder="1" applyAlignment="1" applyProtection="1">
      <alignment horizontal="left" vertical="center" wrapText="1"/>
    </xf>
    <xf numFmtId="0" fontId="91" fillId="26" borderId="159" xfId="0" applyFont="1" applyFill="1" applyBorder="1" applyAlignment="1" applyProtection="1">
      <alignment horizontal="left" vertical="center" wrapText="1"/>
    </xf>
    <xf numFmtId="0" fontId="8" fillId="0" borderId="148" xfId="0" applyFont="1" applyFill="1" applyBorder="1" applyAlignment="1" applyProtection="1">
      <alignment horizontal="center" vertical="center"/>
      <protection locked="0"/>
    </xf>
    <xf numFmtId="0" fontId="8" fillId="0" borderId="156" xfId="0" applyFont="1" applyFill="1" applyBorder="1" applyAlignment="1" applyProtection="1">
      <alignment horizontal="center" vertical="center"/>
      <protection locked="0"/>
    </xf>
    <xf numFmtId="0" fontId="8" fillId="0" borderId="149" xfId="0" applyFont="1" applyFill="1" applyBorder="1" applyAlignment="1" applyProtection="1">
      <alignment horizontal="center" vertical="center"/>
      <protection locked="0"/>
    </xf>
    <xf numFmtId="0" fontId="8" fillId="34" borderId="147" xfId="0" applyFont="1" applyFill="1" applyBorder="1" applyAlignment="1" applyProtection="1">
      <alignment horizontal="center" vertical="center"/>
    </xf>
    <xf numFmtId="0" fontId="8" fillId="0" borderId="156" xfId="0" applyFont="1" applyFill="1" applyBorder="1" applyAlignment="1" applyProtection="1">
      <alignment horizontal="left" vertical="center"/>
      <protection locked="0"/>
    </xf>
    <xf numFmtId="0" fontId="2" fillId="0" borderId="168" xfId="0" applyFont="1" applyBorder="1" applyAlignment="1" applyProtection="1">
      <alignment horizontal="center" textRotation="90"/>
      <protection locked="0"/>
    </xf>
    <xf numFmtId="0" fontId="2" fillId="0" borderId="127" xfId="0" applyFont="1" applyBorder="1" applyAlignment="1" applyProtection="1">
      <alignment horizontal="center" textRotation="90"/>
      <protection locked="0"/>
    </xf>
    <xf numFmtId="0" fontId="2" fillId="0" borderId="38" xfId="0" applyFont="1" applyBorder="1" applyAlignment="1" applyProtection="1">
      <alignment horizontal="center" textRotation="90"/>
      <protection locked="0"/>
    </xf>
    <xf numFmtId="0" fontId="2" fillId="0" borderId="89" xfId="0" applyFont="1" applyBorder="1" applyProtection="1">
      <protection locked="0"/>
    </xf>
    <xf numFmtId="0" fontId="2" fillId="0" borderId="59" xfId="0" applyFont="1" applyBorder="1" applyProtection="1">
      <protection locked="0"/>
    </xf>
    <xf numFmtId="0" fontId="2" fillId="0" borderId="90" xfId="0" applyFont="1" applyBorder="1" applyProtection="1">
      <protection locked="0"/>
    </xf>
    <xf numFmtId="0" fontId="2" fillId="30" borderId="0" xfId="0" applyFont="1" applyFill="1" applyBorder="1" applyAlignment="1" applyProtection="1">
      <alignment horizontal="left" vertical="center"/>
    </xf>
    <xf numFmtId="0" fontId="2" fillId="30" borderId="127" xfId="0" applyFont="1" applyFill="1" applyBorder="1" applyAlignment="1" applyProtection="1">
      <alignment horizontal="center" vertical="center" wrapText="1"/>
    </xf>
    <xf numFmtId="0" fontId="2" fillId="30" borderId="129" xfId="0" applyFont="1" applyFill="1" applyBorder="1" applyAlignment="1" applyProtection="1">
      <alignment horizontal="center" vertical="center" wrapText="1"/>
    </xf>
    <xf numFmtId="0" fontId="2" fillId="30" borderId="37" xfId="0" applyFont="1" applyFill="1" applyBorder="1" applyAlignment="1" applyProtection="1">
      <alignment horizontal="left" vertical="center" wrapText="1"/>
    </xf>
    <xf numFmtId="0" fontId="2" fillId="30" borderId="127" xfId="0" applyFont="1" applyFill="1" applyBorder="1" applyAlignment="1" applyProtection="1">
      <alignment horizontal="left" vertical="center" wrapText="1"/>
    </xf>
    <xf numFmtId="0" fontId="2" fillId="30" borderId="129" xfId="0" applyFont="1" applyFill="1" applyBorder="1" applyAlignment="1" applyProtection="1">
      <alignment horizontal="left" vertical="center" wrapText="1"/>
    </xf>
    <xf numFmtId="0" fontId="102" fillId="27" borderId="138" xfId="0" applyFont="1" applyFill="1" applyBorder="1" applyAlignment="1" applyProtection="1">
      <alignment horizontal="left" vertical="center"/>
    </xf>
    <xf numFmtId="0" fontId="102" fillId="27" borderId="139" xfId="0" applyFont="1" applyFill="1" applyBorder="1" applyAlignment="1" applyProtection="1">
      <alignment horizontal="left" vertical="center"/>
    </xf>
    <xf numFmtId="0" fontId="2" fillId="31" borderId="2" xfId="0" applyFont="1" applyFill="1" applyBorder="1" applyAlignment="1" applyProtection="1">
      <alignment horizontal="left" vertical="center"/>
    </xf>
    <xf numFmtId="0" fontId="2" fillId="0" borderId="158" xfId="0" applyFont="1" applyBorder="1" applyAlignment="1" applyProtection="1">
      <alignment horizontal="left" vertical="center"/>
      <protection locked="0"/>
    </xf>
    <xf numFmtId="0" fontId="2" fillId="0" borderId="163" xfId="0" applyFont="1" applyFill="1" applyBorder="1" applyAlignment="1" applyProtection="1">
      <alignment horizontal="left" vertical="center"/>
      <protection locked="0"/>
    </xf>
    <xf numFmtId="0" fontId="2" fillId="0" borderId="164" xfId="0" applyFont="1" applyFill="1" applyBorder="1" applyAlignment="1" applyProtection="1">
      <alignment horizontal="left" vertical="center"/>
      <protection locked="0"/>
    </xf>
    <xf numFmtId="0" fontId="2" fillId="0" borderId="13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27" borderId="0" xfId="0" applyFont="1" applyFill="1" applyBorder="1" applyAlignment="1" applyProtection="1">
      <alignment horizontal="left" vertical="center" wrapText="1"/>
    </xf>
    <xf numFmtId="0" fontId="100" fillId="26" borderId="0" xfId="0" applyFont="1" applyFill="1" applyBorder="1" applyAlignment="1" applyProtection="1">
      <alignment horizontal="left" vertical="center" wrapText="1"/>
    </xf>
    <xf numFmtId="0" fontId="8" fillId="30" borderId="132" xfId="0" applyFont="1" applyFill="1" applyBorder="1" applyAlignment="1" applyProtection="1">
      <alignment horizontal="left" vertical="center"/>
    </xf>
    <xf numFmtId="0" fontId="8" fillId="30" borderId="117" xfId="0" applyFont="1" applyFill="1" applyBorder="1" applyAlignment="1" applyProtection="1">
      <alignment horizontal="left" vertical="center"/>
    </xf>
    <xf numFmtId="0" fontId="2" fillId="30" borderId="131" xfId="0" applyFont="1" applyFill="1" applyBorder="1" applyAlignment="1" applyProtection="1">
      <alignment horizontal="left" vertical="center"/>
    </xf>
    <xf numFmtId="0" fontId="2" fillId="30" borderId="3" xfId="0" applyFont="1" applyFill="1" applyBorder="1" applyAlignment="1" applyProtection="1">
      <alignment horizontal="left" vertical="center"/>
    </xf>
    <xf numFmtId="0" fontId="2" fillId="30" borderId="89" xfId="0" applyFont="1" applyFill="1" applyBorder="1" applyAlignment="1" applyProtection="1">
      <alignment vertical="center"/>
    </xf>
    <xf numFmtId="0" fontId="2" fillId="30" borderId="59" xfId="0" applyFont="1" applyFill="1" applyBorder="1" applyAlignment="1" applyProtection="1">
      <alignment vertical="center"/>
    </xf>
    <xf numFmtId="0" fontId="2" fillId="27" borderId="37" xfId="0" applyFont="1" applyFill="1" applyBorder="1" applyAlignment="1" applyProtection="1">
      <alignment horizontal="left" vertical="center" wrapText="1"/>
    </xf>
    <xf numFmtId="0" fontId="2" fillId="27" borderId="127" xfId="0" applyFont="1" applyFill="1" applyBorder="1" applyAlignment="1" applyProtection="1">
      <alignment horizontal="left" vertical="center" wrapText="1"/>
    </xf>
    <xf numFmtId="0" fontId="2" fillId="27" borderId="129" xfId="0" applyFont="1" applyFill="1" applyBorder="1" applyAlignment="1" applyProtection="1">
      <alignment horizontal="left" vertical="center" wrapText="1"/>
    </xf>
    <xf numFmtId="0" fontId="2" fillId="30" borderId="89" xfId="0" applyFont="1" applyFill="1" applyBorder="1" applyAlignment="1" applyProtection="1">
      <alignment horizontal="left" vertical="center"/>
    </xf>
    <xf numFmtId="0" fontId="2" fillId="30" borderId="59" xfId="0" applyFont="1" applyFill="1" applyBorder="1" applyAlignment="1" applyProtection="1">
      <alignment horizontal="left" vertical="center"/>
    </xf>
    <xf numFmtId="0" fontId="2" fillId="0" borderId="167" xfId="0" applyFont="1" applyBorder="1" applyAlignment="1" applyProtection="1">
      <alignment horizontal="center" textRotation="90"/>
      <protection locked="0"/>
    </xf>
    <xf numFmtId="0" fontId="2" fillId="0" borderId="146" xfId="0" applyFont="1" applyBorder="1" applyAlignment="1" applyProtection="1">
      <alignment horizontal="center" textRotation="90"/>
      <protection locked="0"/>
    </xf>
    <xf numFmtId="0" fontId="2" fillId="0" borderId="163" xfId="0" applyFont="1" applyBorder="1" applyAlignment="1" applyProtection="1">
      <alignment horizontal="center" textRotation="90"/>
      <protection locked="0"/>
    </xf>
    <xf numFmtId="0" fontId="2" fillId="0" borderId="0" xfId="0" applyFont="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12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8" fillId="30" borderId="152" xfId="0" applyFont="1" applyFill="1" applyBorder="1" applyAlignment="1" applyProtection="1">
      <alignment horizontal="center" vertical="center"/>
    </xf>
    <xf numFmtId="0" fontId="2" fillId="30" borderId="126" xfId="0" applyFont="1" applyFill="1" applyBorder="1" applyAlignment="1" applyProtection="1">
      <alignment horizontal="left" vertical="center"/>
    </xf>
    <xf numFmtId="0" fontId="2" fillId="30" borderId="2" xfId="0" applyFont="1" applyFill="1" applyBorder="1" applyAlignment="1" applyProtection="1">
      <alignment horizontal="left" vertical="center"/>
    </xf>
    <xf numFmtId="2" fontId="8" fillId="30" borderId="152" xfId="0" applyNumberFormat="1" applyFont="1" applyFill="1" applyBorder="1" applyAlignment="1" applyProtection="1">
      <alignment horizontal="center" vertical="center"/>
    </xf>
    <xf numFmtId="0" fontId="8" fillId="30" borderId="153" xfId="0" applyFont="1" applyFill="1" applyBorder="1" applyAlignment="1" applyProtection="1">
      <alignment horizontal="center" vertical="center"/>
    </xf>
    <xf numFmtId="0" fontId="8" fillId="30" borderId="4" xfId="0" applyFont="1" applyFill="1" applyBorder="1" applyAlignment="1" applyProtection="1">
      <alignment horizontal="center" vertical="center"/>
    </xf>
    <xf numFmtId="0" fontId="8" fillId="30" borderId="154" xfId="0" applyFont="1" applyFill="1" applyBorder="1" applyAlignment="1" applyProtection="1">
      <alignment horizontal="center" vertical="center"/>
    </xf>
    <xf numFmtId="0" fontId="100" fillId="26" borderId="0" xfId="0" applyFont="1" applyFill="1" applyAlignment="1" applyProtection="1">
      <alignment horizontal="right" vertical="center"/>
    </xf>
    <xf numFmtId="0" fontId="100" fillId="26" borderId="134" xfId="0" applyFont="1" applyFill="1" applyBorder="1" applyAlignment="1" applyProtection="1">
      <alignment horizontal="right" vertical="center"/>
    </xf>
    <xf numFmtId="0" fontId="100" fillId="39" borderId="117" xfId="0" applyFont="1" applyFill="1" applyBorder="1" applyAlignment="1" applyProtection="1">
      <alignment horizontal="left" vertical="center"/>
    </xf>
    <xf numFmtId="0" fontId="2" fillId="36" borderId="0" xfId="0" applyFont="1" applyFill="1" applyBorder="1" applyAlignment="1" applyProtection="1">
      <alignment horizontal="left" vertical="center" wrapText="1"/>
    </xf>
    <xf numFmtId="0" fontId="2" fillId="36" borderId="117" xfId="0" applyFont="1" applyFill="1" applyBorder="1" applyAlignment="1" applyProtection="1">
      <alignment horizontal="left" vertical="center" wrapText="1"/>
    </xf>
    <xf numFmtId="0" fontId="2" fillId="36" borderId="0" xfId="0" applyFont="1" applyFill="1" applyAlignment="1" applyProtection="1">
      <alignment horizontal="left" vertical="center" wrapText="1"/>
    </xf>
    <xf numFmtId="49" fontId="8" fillId="23" borderId="3" xfId="0" applyNumberFormat="1" applyFont="1" applyFill="1" applyBorder="1" applyAlignment="1" applyProtection="1">
      <alignment horizontal="left" vertical="center"/>
    </xf>
    <xf numFmtId="0" fontId="2" fillId="31" borderId="0" xfId="0" applyFont="1" applyFill="1" applyAlignment="1" applyProtection="1">
      <alignment horizontal="left" vertical="top" wrapText="1"/>
    </xf>
    <xf numFmtId="0" fontId="100" fillId="26" borderId="76" xfId="0" applyFont="1" applyFill="1" applyBorder="1" applyAlignment="1" applyProtection="1">
      <alignment horizontal="left" vertical="center" wrapText="1"/>
    </xf>
    <xf numFmtId="0" fontId="2" fillId="0" borderId="131"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 fillId="0" borderId="162" xfId="0" applyFont="1" applyFill="1" applyBorder="1" applyAlignment="1" applyProtection="1">
      <alignment horizontal="left" vertical="top" wrapText="1"/>
      <protection locked="0"/>
    </xf>
    <xf numFmtId="0" fontId="2" fillId="0" borderId="126"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wrapText="1"/>
      <protection locked="0"/>
    </xf>
    <xf numFmtId="0" fontId="2" fillId="0" borderId="158" xfId="0" applyFont="1" applyFill="1" applyBorder="1" applyAlignment="1" applyProtection="1">
      <alignment horizontal="left" vertical="top" wrapText="1"/>
      <protection locked="0"/>
    </xf>
    <xf numFmtId="0" fontId="2" fillId="0" borderId="165" xfId="0" applyFont="1" applyFill="1" applyBorder="1" applyAlignment="1" applyProtection="1">
      <alignment horizontal="left" vertical="center"/>
      <protection locked="0"/>
    </xf>
    <xf numFmtId="49" fontId="2" fillId="23" borderId="89" xfId="0" applyNumberFormat="1" applyFont="1" applyFill="1" applyBorder="1" applyAlignment="1" applyProtection="1">
      <alignment horizontal="left" vertical="center"/>
    </xf>
    <xf numFmtId="49" fontId="2" fillId="23" borderId="66" xfId="0" applyNumberFormat="1" applyFont="1" applyFill="1" applyBorder="1" applyAlignment="1" applyProtection="1">
      <alignment horizontal="left" vertical="center"/>
    </xf>
    <xf numFmtId="2" fontId="8" fillId="36" borderId="160" xfId="0" applyNumberFormat="1" applyFont="1" applyFill="1" applyBorder="1" applyAlignment="1" applyProtection="1">
      <alignment horizontal="center" vertical="center"/>
    </xf>
    <xf numFmtId="2" fontId="8" fillId="36" borderId="161" xfId="0" applyNumberFormat="1" applyFont="1" applyFill="1" applyBorder="1" applyAlignment="1" applyProtection="1">
      <alignment horizontal="center" vertical="center"/>
    </xf>
    <xf numFmtId="49" fontId="8" fillId="23" borderId="54" xfId="0" applyNumberFormat="1" applyFont="1" applyFill="1" applyBorder="1" applyAlignment="1" applyProtection="1">
      <alignment horizontal="left" vertical="top"/>
    </xf>
    <xf numFmtId="0" fontId="100" fillId="24" borderId="0" xfId="0" applyFont="1" applyFill="1" applyBorder="1" applyAlignment="1" applyProtection="1">
      <alignment horizontal="center" vertical="center"/>
    </xf>
    <xf numFmtId="0" fontId="2" fillId="0" borderId="76"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59" xfId="0" applyFont="1" applyFill="1" applyBorder="1" applyAlignment="1" applyProtection="1">
      <alignment horizontal="left" vertical="center"/>
      <protection locked="0"/>
    </xf>
    <xf numFmtId="0" fontId="8" fillId="37" borderId="0" xfId="0" applyFont="1" applyFill="1" applyBorder="1" applyAlignment="1" applyProtection="1">
      <alignment horizontal="left" vertical="center" wrapText="1"/>
    </xf>
    <xf numFmtId="0" fontId="8" fillId="37" borderId="117" xfId="0" applyFont="1" applyFill="1" applyBorder="1" applyAlignment="1" applyProtection="1">
      <alignment horizontal="left" vertical="center" wrapText="1"/>
    </xf>
    <xf numFmtId="0" fontId="8" fillId="37" borderId="0" xfId="0" applyFont="1" applyFill="1" applyBorder="1" applyAlignment="1" applyProtection="1">
      <alignment horizontal="left" wrapText="1"/>
    </xf>
    <xf numFmtId="0" fontId="8" fillId="37" borderId="117" xfId="0" applyFont="1" applyFill="1" applyBorder="1" applyAlignment="1" applyProtection="1">
      <alignment horizontal="left" wrapText="1"/>
    </xf>
  </cellXfs>
  <cellStyles count="6">
    <cellStyle name="Hyperlink" xfId="5" builtinId="8"/>
    <cellStyle name="Normal" xfId="0" builtinId="0"/>
    <cellStyle name="Normal 2" xfId="3"/>
    <cellStyle name="Normal 3" xfId="2"/>
    <cellStyle name="Percent" xfId="1" builtinId="5"/>
    <cellStyle name="Percent 2" xfId="4"/>
  </cellStyles>
  <dxfs count="488">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5" tint="0.59996337778862885"/>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auto="1"/>
      </font>
      <fill>
        <patternFill>
          <bgColor theme="5" tint="0.39994506668294322"/>
        </patternFill>
      </fill>
      <border>
        <left/>
        <right/>
        <top/>
        <bottom/>
      </border>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rgb="FFFF000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theme="0" tint="-0.49998474074526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9" tint="0.39994506668294322"/>
        </patternFill>
      </fill>
    </dxf>
    <dxf>
      <fill>
        <patternFill>
          <bgColor theme="9" tint="0.39994506668294322"/>
        </patternFill>
      </fill>
    </dxf>
    <dxf>
      <font>
        <b/>
        <i val="0"/>
        <color theme="0"/>
      </font>
      <fill>
        <patternFill>
          <bgColor rgb="FFFF0000"/>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2" tint="-9.9948118533890809E-2"/>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color rgb="FF008000"/>
      </font>
    </dxf>
    <dxf>
      <font>
        <b/>
        <i/>
        <color rgb="FFFF0000"/>
      </font>
    </dxf>
    <dxf>
      <font>
        <b/>
        <i/>
        <color rgb="FF008000"/>
      </font>
    </dxf>
    <dxf>
      <font>
        <b/>
        <i/>
        <color rgb="FFFF0000"/>
      </font>
    </dxf>
    <dxf>
      <font>
        <b/>
        <i/>
        <color rgb="FF008000"/>
      </font>
    </dxf>
    <dxf>
      <font>
        <b/>
        <i/>
        <color rgb="FFFF0000"/>
      </font>
    </dxf>
    <dxf>
      <font>
        <b/>
        <i/>
        <color rgb="FF008000"/>
      </font>
    </dxf>
    <dxf>
      <font>
        <b/>
        <i/>
        <color rgb="FFFF0000"/>
      </font>
    </dxf>
    <dxf>
      <font>
        <b/>
        <i/>
        <color rgb="FF008000"/>
      </font>
    </dxf>
    <dxf>
      <font>
        <b/>
        <i/>
        <color rgb="FFFF0000"/>
      </font>
    </dxf>
    <dxf>
      <font>
        <b/>
        <i/>
        <color rgb="FF008000"/>
      </font>
    </dxf>
    <dxf>
      <font>
        <b/>
        <i val="0"/>
        <color rgb="FFFF9900"/>
      </font>
    </dxf>
    <dxf>
      <font>
        <condense val="0"/>
        <extend val="0"/>
        <color indexed="9"/>
      </font>
      <fill>
        <patternFill patternType="solid">
          <bgColor theme="0"/>
        </patternFill>
      </fill>
      <border>
        <left/>
        <right/>
      </border>
    </dxf>
    <dxf>
      <fill>
        <patternFill>
          <bgColor rgb="FFFFFFCC"/>
        </patternFill>
      </fill>
    </dxf>
    <dxf>
      <font>
        <b/>
        <i/>
        <condense val="0"/>
        <extend val="0"/>
        <color indexed="9"/>
      </font>
      <fill>
        <patternFill>
          <bgColor rgb="FFFFCC99"/>
        </patternFill>
      </fill>
    </dxf>
    <dxf>
      <font>
        <b/>
        <i/>
        <condense val="0"/>
        <extend val="0"/>
        <color indexed="9"/>
      </font>
      <fill>
        <patternFill>
          <bgColor rgb="FFFF9900"/>
        </patternFill>
      </fill>
    </dxf>
    <dxf>
      <font>
        <condense val="0"/>
        <extend val="0"/>
      </font>
      <fill>
        <patternFill>
          <bgColor rgb="FFFFFFCC"/>
        </patternFill>
      </fill>
    </dxf>
    <dxf>
      <font>
        <b/>
        <i/>
        <condense val="0"/>
        <extend val="0"/>
        <color indexed="9"/>
      </font>
      <fill>
        <patternFill>
          <bgColor rgb="FFFFCC99"/>
        </patternFill>
      </fill>
    </dxf>
    <dxf>
      <font>
        <b/>
        <i/>
        <condense val="0"/>
        <extend val="0"/>
        <color indexed="9"/>
      </font>
      <fill>
        <patternFill>
          <bgColor rgb="FFFF9900"/>
        </patternFill>
      </fill>
    </dxf>
    <dxf>
      <font>
        <condense val="0"/>
        <extend val="0"/>
      </font>
      <fill>
        <patternFill>
          <bgColor rgb="FFFFFFCC"/>
        </patternFill>
      </fill>
    </dxf>
    <dxf>
      <font>
        <b val="0"/>
        <i/>
        <condense val="0"/>
        <extend val="0"/>
      </font>
      <fill>
        <patternFill>
          <bgColor rgb="FFFFFFCC"/>
        </patternFill>
      </fill>
    </dxf>
    <dxf>
      <fill>
        <patternFill>
          <bgColor rgb="FFFFCC99"/>
        </patternFill>
      </fill>
    </dxf>
    <dxf>
      <font>
        <b/>
        <i/>
        <condense val="0"/>
        <extend val="0"/>
        <color indexed="9"/>
      </font>
      <fill>
        <patternFill>
          <bgColor rgb="FFFF9900"/>
        </patternFill>
      </fill>
    </dxf>
    <dxf>
      <fill>
        <patternFill>
          <bgColor rgb="FFFFFFCC"/>
        </patternFill>
      </fill>
    </dxf>
    <dxf>
      <font>
        <condense val="0"/>
        <extend val="0"/>
      </font>
      <fill>
        <patternFill>
          <bgColor rgb="FFFFCC99"/>
        </patternFill>
      </fill>
    </dxf>
    <dxf>
      <font>
        <b/>
        <i/>
        <condense val="0"/>
        <extend val="0"/>
        <color indexed="9"/>
      </font>
      <fill>
        <patternFill>
          <bgColor rgb="FFFF9900"/>
        </patternFill>
      </fill>
    </dxf>
    <dxf>
      <font>
        <condense val="0"/>
        <extend val="0"/>
      </font>
      <fill>
        <patternFill>
          <bgColor rgb="FFFFFFCC"/>
        </patternFill>
      </fill>
    </dxf>
    <dxf>
      <font>
        <condense val="0"/>
        <extend val="0"/>
      </font>
      <fill>
        <patternFill>
          <bgColor rgb="FFFFCC99"/>
        </patternFill>
      </fill>
    </dxf>
    <dxf>
      <font>
        <b/>
        <i/>
        <condense val="0"/>
        <extend val="0"/>
        <color indexed="9"/>
      </font>
      <fill>
        <patternFill>
          <bgColor rgb="FFFF9900"/>
        </patternFill>
      </fill>
    </dxf>
    <dxf>
      <font>
        <b/>
        <i val="0"/>
        <color rgb="FF0000FF"/>
      </font>
      <fill>
        <patternFill>
          <bgColor rgb="FFFFFFCC"/>
        </patternFill>
      </fill>
    </dxf>
    <dxf>
      <fill>
        <patternFill>
          <bgColor rgb="FFFFCC99"/>
        </patternFill>
      </fill>
    </dxf>
    <dxf>
      <font>
        <b/>
        <i/>
        <condense val="0"/>
        <extend val="0"/>
        <color indexed="9"/>
      </font>
      <fill>
        <patternFill>
          <bgColor rgb="FFFF9900"/>
        </patternFill>
      </fill>
    </dxf>
    <dxf>
      <font>
        <b/>
        <i val="0"/>
        <strike val="0"/>
        <color rgb="FF0000FF"/>
      </font>
      <fill>
        <patternFill>
          <bgColor rgb="FFFFFFCC"/>
        </patternFill>
      </fill>
    </dxf>
    <dxf>
      <fill>
        <patternFill>
          <bgColor rgb="FFFFCC99"/>
        </patternFill>
      </fill>
    </dxf>
    <dxf>
      <font>
        <b/>
        <i/>
        <condense val="0"/>
        <extend val="0"/>
        <color indexed="9"/>
      </font>
      <fill>
        <patternFill>
          <bgColor rgb="FFFF9900"/>
        </patternFill>
      </fill>
    </dxf>
    <dxf>
      <fill>
        <patternFill>
          <bgColor rgb="FFFFFFCC"/>
        </patternFill>
      </fill>
    </dxf>
    <dxf>
      <fill>
        <patternFill>
          <bgColor rgb="FFFFCC99"/>
        </patternFill>
      </fill>
    </dxf>
    <dxf>
      <font>
        <b/>
        <i/>
        <condense val="0"/>
        <extend val="0"/>
        <color indexed="9"/>
      </font>
      <fill>
        <patternFill>
          <bgColor rgb="FFFF9900"/>
        </patternFill>
      </fill>
    </dxf>
    <dxf>
      <font>
        <condense val="0"/>
        <extend val="0"/>
        <color indexed="9"/>
      </font>
      <fill>
        <patternFill>
          <bgColor indexed="17"/>
        </patternFill>
      </fill>
      <border>
        <left style="thin">
          <color theme="0"/>
        </left>
        <right style="thin">
          <color theme="0"/>
        </right>
        <top style="thin">
          <color theme="0"/>
        </top>
      </border>
    </dxf>
    <dxf>
      <font>
        <b val="0"/>
        <i/>
        <color theme="0"/>
      </font>
      <fill>
        <patternFill>
          <bgColor rgb="FFFF0000"/>
        </patternFill>
      </fill>
      <border>
        <left style="thin">
          <color theme="0"/>
        </left>
        <right style="thin">
          <color theme="0"/>
        </right>
        <top style="thin">
          <color theme="0"/>
        </top>
      </border>
    </dxf>
    <dxf>
      <fill>
        <patternFill patternType="solid">
          <bgColor indexed="9"/>
        </patternFill>
      </fill>
      <border>
        <left/>
        <right/>
      </border>
    </dxf>
    <dxf>
      <font>
        <condense val="0"/>
        <extend val="0"/>
        <color indexed="9"/>
      </font>
      <fill>
        <patternFill>
          <bgColor indexed="17"/>
        </patternFill>
      </fill>
      <border>
        <left style="thin">
          <color theme="0"/>
        </left>
        <right style="thin">
          <color theme="0"/>
        </right>
        <top style="thin">
          <color theme="0"/>
        </top>
      </border>
    </dxf>
    <dxf>
      <font>
        <b/>
        <i/>
        <color theme="0"/>
      </font>
      <fill>
        <patternFill>
          <bgColor rgb="FFFF0000"/>
        </patternFill>
      </fill>
      <border>
        <left style="thin">
          <color theme="0"/>
        </left>
        <right style="thin">
          <color theme="0"/>
        </right>
        <top style="thin">
          <color theme="0"/>
        </top>
      </border>
    </dxf>
    <dxf>
      <fill>
        <patternFill patternType="solid">
          <bgColor indexed="9"/>
        </patternFill>
      </fill>
      <border>
        <left/>
        <right/>
      </border>
    </dxf>
    <dxf>
      <font>
        <condense val="0"/>
        <extend val="0"/>
        <color indexed="9"/>
      </font>
      <fill>
        <patternFill>
          <bgColor indexed="17"/>
        </patternFill>
      </fill>
      <border>
        <right style="thin">
          <color theme="0"/>
        </right>
        <top style="thin">
          <color theme="0"/>
        </top>
      </border>
    </dxf>
    <dxf>
      <font>
        <b val="0"/>
        <i/>
        <color theme="0"/>
      </font>
      <fill>
        <patternFill patternType="solid">
          <fgColor rgb="FFFF0000"/>
          <bgColor rgb="FFFF0000"/>
        </patternFill>
      </fill>
      <border>
        <right style="thin">
          <color theme="0"/>
        </right>
        <top style="thin">
          <color theme="0"/>
        </top>
      </border>
    </dxf>
    <dxf>
      <fill>
        <patternFill patternType="solid">
          <bgColor theme="0"/>
        </patternFill>
      </fill>
      <border>
        <left/>
        <right/>
      </border>
    </dxf>
    <dxf>
      <font>
        <b val="0"/>
        <i/>
        <condense val="0"/>
        <extend val="0"/>
        <color indexed="10"/>
      </font>
    </dxf>
    <dxf>
      <font>
        <b/>
        <i val="0"/>
        <color rgb="FFFF9900"/>
      </font>
    </dxf>
    <dxf>
      <fill>
        <patternFill patternType="solid">
          <bgColor theme="0"/>
        </patternFill>
      </fill>
      <border>
        <right/>
      </border>
    </dxf>
    <dxf>
      <font>
        <condense val="0"/>
        <extend val="0"/>
        <color indexed="9"/>
      </font>
      <fill>
        <patternFill>
          <bgColor indexed="17"/>
        </patternFill>
      </fill>
      <border>
        <left style="thin">
          <color theme="0"/>
        </left>
        <top style="thin">
          <color theme="0"/>
        </top>
      </border>
    </dxf>
    <dxf>
      <font>
        <b/>
        <i/>
        <color theme="0"/>
      </font>
      <fill>
        <patternFill>
          <bgColor rgb="FFFF0000"/>
        </patternFill>
      </fill>
      <border>
        <left style="thin">
          <color theme="0"/>
        </left>
        <top style="thin">
          <color theme="0"/>
        </top>
      </border>
    </dxf>
    <dxf>
      <fill>
        <patternFill patternType="solid">
          <bgColor theme="0"/>
        </patternFill>
      </fill>
      <border>
        <left/>
      </border>
    </dxf>
    <dxf>
      <font>
        <b/>
        <i/>
        <color rgb="FFFF0000"/>
      </font>
    </dxf>
    <dxf>
      <font>
        <b/>
        <i/>
        <color rgb="FF008000"/>
      </font>
    </dxf>
    <dxf>
      <font>
        <color theme="0"/>
      </font>
      <fill>
        <patternFill>
          <bgColor rgb="FFFF0000"/>
        </patternFill>
      </fill>
    </dxf>
    <dxf>
      <font>
        <color theme="0"/>
      </font>
      <fill>
        <patternFill>
          <bgColor rgb="FFFF0000"/>
        </patternFill>
      </fill>
    </dxf>
    <dxf>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condense val="0"/>
        <extend val="0"/>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rgb="FFFF9900"/>
        </patternFill>
      </fill>
    </dxf>
    <dxf>
      <font>
        <b/>
        <i val="0"/>
        <condense val="0"/>
        <extend val="0"/>
      </font>
    </dxf>
    <dxf>
      <font>
        <condense val="0"/>
        <extend val="0"/>
      </font>
      <fill>
        <patternFill>
          <bgColor indexed="42"/>
        </patternFill>
      </fill>
      <border>
        <left style="thin">
          <color rgb="FF008000"/>
        </left>
        <right style="thin">
          <color rgb="FF008000"/>
        </right>
        <bottom style="thin">
          <color rgb="FF008000"/>
        </bottom>
      </border>
    </dxf>
    <dxf>
      <font>
        <condense val="0"/>
        <extend val="0"/>
      </font>
      <fill>
        <patternFill>
          <bgColor rgb="FFFFCC99"/>
        </patternFill>
      </fill>
    </dxf>
    <dxf>
      <font>
        <b/>
        <i val="0"/>
        <condense val="0"/>
        <extend val="0"/>
      </font>
    </dxf>
    <dxf>
      <font>
        <condense val="0"/>
        <extend val="0"/>
      </font>
      <fill>
        <patternFill>
          <bgColor indexed="42"/>
        </patternFill>
      </fill>
      <border>
        <left style="thin">
          <color rgb="FF008000"/>
        </left>
        <right style="thin">
          <color rgb="FF008000"/>
        </right>
        <top style="thin">
          <color rgb="FF008000"/>
        </top>
      </border>
    </dxf>
    <dxf>
      <font>
        <condense val="0"/>
        <extend val="0"/>
      </font>
      <fill>
        <patternFill>
          <bgColor rgb="FFFFCC99"/>
        </patternFill>
      </fill>
    </dxf>
    <dxf>
      <font>
        <b/>
        <i val="0"/>
        <condense val="0"/>
        <extend val="0"/>
      </font>
    </dxf>
    <dxf>
      <font>
        <condense val="0"/>
        <extend val="0"/>
      </font>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condense val="0"/>
        <extend val="0"/>
        <color indexed="9"/>
      </font>
      <fill>
        <patternFill>
          <bgColor rgb="FFFF0000"/>
        </patternFill>
      </fill>
    </dxf>
    <dxf>
      <fill>
        <patternFill>
          <bgColor rgb="FFFFCC99"/>
        </patternFill>
      </fill>
    </dxf>
    <dxf>
      <font>
        <condense val="0"/>
        <extend val="0"/>
      </font>
      <fill>
        <patternFill>
          <bgColor indexed="42"/>
        </patternFill>
      </fill>
      <border>
        <left style="thin">
          <color rgb="FF008000"/>
        </left>
        <right style="thin">
          <color rgb="FF008000"/>
        </right>
        <top style="thin">
          <color rgb="FF008000"/>
        </top>
        <bottom style="thin">
          <color rgb="FF008000"/>
        </bottom>
      </border>
    </dxf>
    <dxf>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condense val="0"/>
        <extend val="0"/>
      </font>
      <fill>
        <patternFill>
          <bgColor indexed="42"/>
        </patternFill>
      </fill>
      <border>
        <left style="thin">
          <color rgb="FF008000"/>
        </left>
        <right style="thin">
          <color rgb="FF008000"/>
        </right>
        <top style="thin">
          <color rgb="FF008000"/>
        </top>
        <bottom style="thin">
          <color rgb="FF008000"/>
        </bottom>
      </border>
    </dxf>
    <dxf>
      <font>
        <condense val="0"/>
        <extend val="0"/>
      </font>
      <fill>
        <patternFill>
          <bgColor rgb="FFFFCC99"/>
        </patternFill>
      </fill>
    </dxf>
    <dxf>
      <font>
        <b/>
        <i val="0"/>
        <condense val="0"/>
        <extend val="0"/>
        <color indexed="9"/>
      </font>
      <fill>
        <patternFill patternType="solid">
          <bgColor indexed="17"/>
        </patternFill>
      </fill>
      <border>
        <left style="thin">
          <color theme="0"/>
        </left>
        <bottom style="thin">
          <color theme="0"/>
        </bottom>
      </border>
    </dxf>
    <dxf>
      <font>
        <b/>
        <i/>
        <condense val="0"/>
        <extend val="0"/>
        <color indexed="9"/>
      </font>
      <fill>
        <patternFill patternType="solid">
          <fgColor rgb="FFFF0000"/>
          <bgColor rgb="FFFF0000"/>
        </patternFill>
      </fill>
      <border>
        <left style="thin">
          <color theme="0"/>
        </left>
        <bottom style="thin">
          <color theme="0"/>
        </bottom>
      </border>
    </dxf>
    <dxf>
      <font>
        <b/>
        <i val="0"/>
        <condense val="0"/>
        <extend val="0"/>
        <color indexed="9"/>
      </font>
      <fill>
        <patternFill patternType="solid">
          <bgColor indexed="17"/>
        </patternFill>
      </fill>
      <border>
        <right style="thin">
          <color theme="0"/>
        </right>
        <bottom style="thin">
          <color theme="0"/>
        </bottom>
      </border>
    </dxf>
    <dxf>
      <font>
        <b/>
        <i/>
        <condense val="0"/>
        <extend val="0"/>
        <color indexed="9"/>
      </font>
      <fill>
        <patternFill patternType="solid">
          <fgColor rgb="FFFF0000"/>
          <bgColor rgb="FFFF0000"/>
        </patternFill>
      </fill>
      <border>
        <right style="thin">
          <color theme="0"/>
        </right>
        <bottom style="thin">
          <color theme="0"/>
        </bottom>
      </border>
    </dxf>
    <dxf>
      <font>
        <b val="0"/>
        <i val="0"/>
        <condense val="0"/>
        <extend val="0"/>
        <color indexed="9"/>
      </font>
      <fill>
        <patternFill patternType="solid">
          <bgColor indexed="17"/>
        </patternFill>
      </fill>
      <border>
        <left style="thin">
          <color indexed="9"/>
        </left>
        <top style="thin">
          <color indexed="9"/>
        </top>
        <bottom style="thin">
          <color indexed="9"/>
        </bottom>
      </border>
    </dxf>
    <dxf>
      <font>
        <condense val="0"/>
        <extend val="0"/>
        <color indexed="9"/>
      </font>
      <fill>
        <patternFill patternType="solid">
          <fgColor rgb="FFFF0000"/>
          <bgColor rgb="FFFF0000"/>
        </patternFill>
      </fill>
      <border>
        <left style="thin">
          <color indexed="9"/>
        </left>
        <top style="thin">
          <color indexed="9"/>
        </top>
        <bottom style="thin">
          <color indexed="9"/>
        </bottom>
      </border>
    </dxf>
    <dxf>
      <font>
        <b val="0"/>
        <i val="0"/>
        <condense val="0"/>
        <extend val="0"/>
        <color indexed="55"/>
      </font>
    </dxf>
    <dxf>
      <font>
        <b val="0"/>
        <i val="0"/>
        <condense val="0"/>
        <extend val="0"/>
        <color indexed="9"/>
      </font>
      <fill>
        <patternFill patternType="solid">
          <bgColor indexed="17"/>
        </patternFill>
      </fill>
      <border>
        <left style="thin">
          <color indexed="9"/>
        </left>
        <right style="thin">
          <color indexed="9"/>
        </right>
        <top style="thin">
          <color indexed="9"/>
        </top>
        <bottom style="thin">
          <color indexed="9"/>
        </bottom>
      </border>
    </dxf>
    <dxf>
      <font>
        <condense val="0"/>
        <extend val="0"/>
        <color indexed="9"/>
      </font>
      <fill>
        <patternFill patternType="solid">
          <fgColor rgb="FFFF0000"/>
          <bgColor rgb="FFFF0000"/>
        </patternFill>
      </fill>
      <border>
        <left style="thin">
          <color indexed="9"/>
        </left>
        <right style="thin">
          <color indexed="9"/>
        </right>
        <top style="thin">
          <color indexed="9"/>
        </top>
        <bottom style="thin">
          <color indexed="9"/>
        </bottom>
      </border>
    </dxf>
    <dxf>
      <font>
        <b val="0"/>
        <i val="0"/>
        <condense val="0"/>
        <extend val="0"/>
        <color indexed="55"/>
      </font>
    </dxf>
    <dxf>
      <font>
        <b val="0"/>
        <i val="0"/>
        <condense val="0"/>
        <extend val="0"/>
        <color indexed="9"/>
      </font>
      <fill>
        <patternFill patternType="solid">
          <bgColor indexed="17"/>
        </patternFill>
      </fill>
      <border>
        <left style="thin">
          <color indexed="9"/>
        </left>
        <right style="thin">
          <color indexed="9"/>
        </right>
        <top style="thin">
          <color indexed="9"/>
        </top>
        <bottom style="thin">
          <color indexed="9"/>
        </bottom>
      </border>
    </dxf>
    <dxf>
      <font>
        <b/>
        <i val="0"/>
        <condense val="0"/>
        <extend val="0"/>
        <color indexed="9"/>
      </font>
      <fill>
        <patternFill patternType="solid">
          <fgColor indexed="10"/>
          <bgColor rgb="FFFF0000"/>
        </patternFill>
      </fill>
      <border>
        <left style="thin">
          <color indexed="9"/>
        </left>
        <right style="thin">
          <color indexed="9"/>
        </right>
        <top style="thin">
          <color indexed="9"/>
        </top>
        <bottom style="thin">
          <color indexed="9"/>
        </bottom>
      </border>
    </dxf>
    <dxf>
      <font>
        <b val="0"/>
        <i val="0"/>
        <condense val="0"/>
        <extend val="0"/>
        <color indexed="55"/>
      </font>
    </dxf>
    <dxf>
      <font>
        <b val="0"/>
        <i val="0"/>
        <condense val="0"/>
        <extend val="0"/>
        <color indexed="9"/>
      </font>
      <fill>
        <patternFill patternType="solid">
          <bgColor indexed="17"/>
        </patternFill>
      </fill>
      <border>
        <left/>
        <right/>
        <top/>
        <bottom/>
      </border>
    </dxf>
    <dxf>
      <font>
        <condense val="0"/>
        <extend val="0"/>
        <color indexed="9"/>
      </font>
      <fill>
        <patternFill patternType="solid">
          <fgColor rgb="FFFF0000"/>
          <bgColor rgb="FFFF0000"/>
        </patternFill>
      </fill>
      <border>
        <right style="thin">
          <color indexed="9"/>
        </right>
        <top style="thin">
          <color indexed="9"/>
        </top>
        <bottom style="thin">
          <color indexed="9"/>
        </bottom>
      </border>
    </dxf>
    <dxf>
      <font>
        <b val="0"/>
        <i val="0"/>
        <condense val="0"/>
        <extend val="0"/>
        <color indexed="55"/>
      </font>
    </dxf>
    <dxf>
      <fill>
        <patternFill patternType="solid">
          <bgColor indexed="10"/>
        </patternFill>
      </fill>
    </dxf>
    <dxf>
      <border>
        <top/>
      </border>
    </dxf>
    <dxf>
      <border>
        <bottom style="thin">
          <color rgb="FF969696"/>
        </bottom>
      </border>
    </dxf>
    <dxf>
      <font>
        <condense val="0"/>
        <extend val="0"/>
      </font>
      <fill>
        <patternFill>
          <bgColor indexed="17"/>
        </patternFill>
      </fill>
      <border>
        <left style="thin">
          <color indexed="17"/>
        </left>
        <right style="thin">
          <color indexed="17"/>
        </right>
        <top style="thin">
          <color indexed="17"/>
        </top>
        <bottom style="thin">
          <color indexed="17"/>
        </bottom>
      </border>
    </dxf>
    <dxf>
      <font>
        <condense val="0"/>
        <extend val="0"/>
      </font>
      <fill>
        <patternFill>
          <bgColor indexed="10"/>
        </patternFill>
      </fill>
      <border>
        <left style="thin">
          <color indexed="10"/>
        </left>
        <right style="thin">
          <color indexed="10"/>
        </right>
        <top style="thin">
          <color indexed="10"/>
        </top>
        <bottom style="thin">
          <color indexed="10"/>
        </bottom>
      </border>
    </dxf>
    <dxf>
      <font>
        <b/>
        <i val="0"/>
        <condense val="0"/>
        <extend val="0"/>
      </font>
      <fill>
        <patternFill>
          <bgColor indexed="43"/>
        </patternFill>
      </fill>
    </dxf>
    <dxf>
      <font>
        <b/>
        <i val="0"/>
        <condense val="0"/>
        <extend val="0"/>
      </font>
    </dxf>
    <dxf>
      <font>
        <b/>
        <i/>
        <condense val="0"/>
        <extend val="0"/>
        <color indexed="9"/>
      </font>
      <fill>
        <patternFill>
          <bgColor indexed="10"/>
        </patternFill>
      </fill>
    </dxf>
    <dxf>
      <font>
        <b/>
        <i/>
        <condense val="0"/>
        <extend val="0"/>
        <color indexed="10"/>
      </font>
    </dxf>
    <dxf>
      <font>
        <b/>
        <i val="0"/>
        <condense val="0"/>
        <extend val="0"/>
        <color indexed="10"/>
      </font>
    </dxf>
    <dxf>
      <font>
        <condense val="0"/>
        <extend val="0"/>
        <color indexed="10"/>
      </font>
    </dxf>
    <dxf>
      <font>
        <b/>
        <i val="0"/>
        <condense val="0"/>
        <extend val="0"/>
      </font>
      <fill>
        <patternFill>
          <bgColor indexed="26"/>
        </patternFill>
      </fill>
    </dxf>
    <dxf>
      <font>
        <b/>
        <i val="0"/>
        <condense val="0"/>
        <extend val="0"/>
        <color indexed="10"/>
      </font>
      <fill>
        <patternFill>
          <bgColor indexed="43"/>
        </patternFill>
      </fill>
    </dxf>
    <dxf>
      <font>
        <b val="0"/>
        <i/>
        <condense val="0"/>
        <extend val="0"/>
        <color indexed="10"/>
      </font>
      <fill>
        <patternFill>
          <bgColor indexed="47"/>
        </patternFill>
      </fill>
    </dxf>
    <dxf>
      <font>
        <b/>
        <i val="0"/>
        <condense val="0"/>
        <extend val="0"/>
        <color indexed="10"/>
      </font>
      <fill>
        <patternFill>
          <bgColor indexed="47"/>
        </patternFill>
      </fill>
    </dxf>
    <dxf>
      <font>
        <b/>
        <i val="0"/>
        <condense val="0"/>
        <extend val="0"/>
        <color indexed="10"/>
      </font>
      <fill>
        <patternFill>
          <bgColor indexed="43"/>
        </patternFill>
      </fill>
    </dxf>
    <dxf>
      <font>
        <b/>
        <i/>
        <condense val="0"/>
        <extend val="0"/>
        <color indexed="9"/>
      </font>
      <fill>
        <patternFill>
          <bgColor indexed="10"/>
        </patternFill>
      </fill>
    </dxf>
    <dxf>
      <fill>
        <patternFill patternType="solid">
          <bgColor indexed="22"/>
        </patternFill>
      </fill>
    </dxf>
    <dxf>
      <font>
        <b/>
        <i val="0"/>
        <condense val="0"/>
        <extend val="0"/>
        <color indexed="9"/>
      </font>
      <fill>
        <patternFill patternType="solid">
          <bgColor indexed="10"/>
        </patternFill>
      </fill>
    </dxf>
    <dxf>
      <fill>
        <patternFill patternType="solid">
          <bgColor indexed="22"/>
        </patternFill>
      </fill>
    </dxf>
    <dxf>
      <fill>
        <patternFill>
          <bgColor indexed="47"/>
        </patternFill>
      </fill>
    </dxf>
    <dxf>
      <font>
        <b/>
        <i val="0"/>
        <condense val="0"/>
        <extend val="0"/>
        <color indexed="9"/>
      </font>
      <fill>
        <patternFill>
          <bgColor indexed="10"/>
        </patternFill>
      </fill>
    </dxf>
    <dxf>
      <fill>
        <patternFill patternType="solid">
          <bgColor indexed="22"/>
        </patternFill>
      </fill>
    </dxf>
    <dxf>
      <font>
        <b/>
        <i/>
        <condense val="0"/>
        <extend val="0"/>
        <color indexed="9"/>
      </font>
      <fill>
        <patternFill>
          <bgColor indexed="10"/>
        </patternFill>
      </fill>
    </dxf>
    <dxf>
      <font>
        <b/>
        <i val="0"/>
        <condense val="0"/>
        <extend val="0"/>
        <color indexed="10"/>
      </font>
    </dxf>
    <dxf>
      <font>
        <b/>
        <i val="0"/>
        <condense val="0"/>
        <extend val="0"/>
      </font>
    </dxf>
    <dxf>
      <font>
        <b/>
        <i val="0"/>
        <condense val="0"/>
        <extend val="0"/>
        <color auto="1"/>
      </font>
    </dxf>
    <dxf>
      <font>
        <color rgb="FF0000FF"/>
      </font>
      <border>
        <bottom style="thin">
          <color indexed="55"/>
        </bottom>
      </border>
    </dxf>
    <dxf>
      <font>
        <b/>
        <i val="0"/>
        <color rgb="FF0000FF"/>
      </font>
      <fill>
        <patternFill>
          <bgColor rgb="FFFFFFCC"/>
        </patternFill>
      </fill>
      <border>
        <bottom style="thin">
          <color rgb="FF969696"/>
        </bottom>
      </border>
    </dxf>
    <dxf>
      <font>
        <color rgb="FFFFFFCC"/>
      </font>
      <fill>
        <patternFill>
          <bgColor rgb="FFFFFFCC"/>
        </patternFill>
      </fill>
    </dxf>
    <dxf>
      <font>
        <color rgb="FF0000FF"/>
      </font>
    </dxf>
    <dxf>
      <font>
        <b/>
        <i val="0"/>
        <color rgb="FF0000FF"/>
      </font>
      <fill>
        <patternFill>
          <bgColor rgb="FFFFFFCC"/>
        </patternFill>
      </fill>
    </dxf>
    <dxf>
      <fill>
        <patternFill patternType="solid">
          <bgColor indexed="9"/>
        </patternFill>
      </fill>
      <border>
        <left/>
        <right/>
      </border>
    </dxf>
    <dxf>
      <border>
        <bottom style="thin">
          <color rgb="FF969696"/>
        </bottom>
      </border>
    </dxf>
    <dxf>
      <font>
        <b val="0"/>
        <i/>
        <color rgb="FFFF0000"/>
      </font>
      <fill>
        <patternFill>
          <bgColor rgb="FFFFFFCC"/>
        </patternFill>
      </fill>
    </dxf>
    <dxf>
      <font>
        <b/>
        <i/>
        <color indexed="10"/>
      </font>
      <fill>
        <patternFill>
          <bgColor indexed="43"/>
        </patternFill>
      </fill>
    </dxf>
    <dxf>
      <font>
        <b/>
        <i val="0"/>
        <condense val="0"/>
        <extend val="0"/>
      </font>
    </dxf>
  </dxfs>
  <tableStyles count="0" defaultTableStyle="TableStyleMedium9" defaultPivotStyle="PivotStyleLight16"/>
  <colors>
    <mruColors>
      <color rgb="FFFF66CC"/>
      <color rgb="FF0000FF"/>
      <color rgb="FFFF0000"/>
      <color rgb="FFFFCC99"/>
      <color rgb="FFFFFFCC"/>
      <color rgb="FFFFFF99"/>
      <color rgb="FF969696"/>
      <color rgb="FFC0C0C0"/>
      <color rgb="FFFF990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ScreenShot2"/><Relationship Id="rId2" Type="http://schemas.openxmlformats.org/officeDocument/2006/relationships/hyperlink" Target="#ScreenShot1"/><Relationship Id="rId1" Type="http://schemas.openxmlformats.org/officeDocument/2006/relationships/hyperlink" Target="#Building"/><Relationship Id="rId4" Type="http://schemas.openxmlformats.org/officeDocument/2006/relationships/hyperlink" Target="#ScreenShot3"/></Relationships>
</file>

<file path=xl/drawings/_rels/drawing2.xml.rels><?xml version="1.0" encoding="UTF-8" standalone="yes"?>
<Relationships xmlns="http://schemas.openxmlformats.org/package/2006/relationships"><Relationship Id="rId3" Type="http://schemas.openxmlformats.org/officeDocument/2006/relationships/hyperlink" Target="#Help"/><Relationship Id="rId2" Type="http://schemas.openxmlformats.org/officeDocument/2006/relationships/hyperlink" Target="#Building"/><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Help"/></Relationships>
</file>

<file path=xl/drawings/_rels/drawing4.xml.rels><?xml version="1.0" encoding="UTF-8" standalone="yes"?>
<Relationships xmlns="http://schemas.openxmlformats.org/package/2006/relationships"><Relationship Id="rId1" Type="http://schemas.openxmlformats.org/officeDocument/2006/relationships/hyperlink" Target="#Building"/></Relationships>
</file>

<file path=xl/drawings/drawing1.xml><?xml version="1.0" encoding="utf-8"?>
<xdr:wsDr xmlns:xdr="http://schemas.openxmlformats.org/drawingml/2006/spreadsheetDrawing" xmlns:a="http://schemas.openxmlformats.org/drawingml/2006/main">
  <xdr:twoCellAnchor>
    <xdr:from>
      <xdr:col>2</xdr:col>
      <xdr:colOff>0</xdr:colOff>
      <xdr:row>5</xdr:row>
      <xdr:rowOff>142875</xdr:rowOff>
    </xdr:from>
    <xdr:to>
      <xdr:col>5</xdr:col>
      <xdr:colOff>0</xdr:colOff>
      <xdr:row>7</xdr:row>
      <xdr:rowOff>76200</xdr:rowOff>
    </xdr:to>
    <xdr:sp macro="" textlink="">
      <xdr:nvSpPr>
        <xdr:cNvPr id="4097" name="AutoShape 1">
          <a:hlinkClick xmlns:r="http://schemas.openxmlformats.org/officeDocument/2006/relationships" r:id="rId1" tooltip="Click here to return to the Calculator form"/>
        </xdr:cNvPr>
        <xdr:cNvSpPr>
          <a:spLocks noChangeArrowheads="1"/>
        </xdr:cNvSpPr>
      </xdr:nvSpPr>
      <xdr:spPr bwMode="auto">
        <a:xfrm>
          <a:off x="228600" y="304800"/>
          <a:ext cx="5705475" cy="25717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xdr:from>
      <xdr:col>4</xdr:col>
      <xdr:colOff>3590925</xdr:colOff>
      <xdr:row>22</xdr:row>
      <xdr:rowOff>123825</xdr:rowOff>
    </xdr:from>
    <xdr:to>
      <xdr:col>5</xdr:col>
      <xdr:colOff>0</xdr:colOff>
      <xdr:row>24</xdr:row>
      <xdr:rowOff>0</xdr:rowOff>
    </xdr:to>
    <xdr:sp macro="" textlink="">
      <xdr:nvSpPr>
        <xdr:cNvPr id="2" name="AutoShape 2">
          <a:hlinkClick xmlns:r="http://schemas.openxmlformats.org/officeDocument/2006/relationships" r:id="rId2" tooltip="Click here to show annotated screenshot 1"/>
        </xdr:cNvPr>
        <xdr:cNvSpPr>
          <a:spLocks noChangeArrowheads="1"/>
        </xdr:cNvSpPr>
      </xdr:nvSpPr>
      <xdr:spPr bwMode="auto">
        <a:xfrm>
          <a:off x="4133850" y="3562350"/>
          <a:ext cx="1800225" cy="200025"/>
        </a:xfrm>
        <a:prstGeom prst="roundRect">
          <a:avLst>
            <a:gd name="adj" fmla="val 16667"/>
          </a:avLst>
        </a:prstGeom>
        <a:gradFill rotWithShape="1">
          <a:gsLst>
            <a:gs pos="0">
              <a:srgbClr val="0000FF"/>
            </a:gs>
            <a:gs pos="100000">
              <a:srgbClr val="0000FF">
                <a:gamma/>
                <a:shade val="46275"/>
                <a:invGamma/>
              </a:srgbClr>
            </a:gs>
          </a:gsLst>
          <a:lin ang="5400000" scaled="1"/>
        </a:gradFill>
        <a:ln w="9525">
          <a:solidFill>
            <a:srgbClr val="0000FF"/>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SHOW SCREENSHOT  1</a:t>
          </a:r>
        </a:p>
      </xdr:txBody>
    </xdr:sp>
    <xdr:clientData fPrintsWithSheet="0"/>
  </xdr:twoCellAnchor>
  <xdr:twoCellAnchor>
    <xdr:from>
      <xdr:col>4</xdr:col>
      <xdr:colOff>3590925</xdr:colOff>
      <xdr:row>28</xdr:row>
      <xdr:rowOff>123825</xdr:rowOff>
    </xdr:from>
    <xdr:to>
      <xdr:col>5</xdr:col>
      <xdr:colOff>0</xdr:colOff>
      <xdr:row>30</xdr:row>
      <xdr:rowOff>0</xdr:rowOff>
    </xdr:to>
    <xdr:sp macro="" textlink="">
      <xdr:nvSpPr>
        <xdr:cNvPr id="3" name="AutoShape 3">
          <a:hlinkClick xmlns:r="http://schemas.openxmlformats.org/officeDocument/2006/relationships" r:id="rId3" tooltip="Click here to show annotated screenshot 2"/>
        </xdr:cNvPr>
        <xdr:cNvSpPr>
          <a:spLocks noChangeArrowheads="1"/>
        </xdr:cNvSpPr>
      </xdr:nvSpPr>
      <xdr:spPr bwMode="auto">
        <a:xfrm>
          <a:off x="4133850" y="5991225"/>
          <a:ext cx="1800225" cy="200025"/>
        </a:xfrm>
        <a:prstGeom prst="roundRect">
          <a:avLst>
            <a:gd name="adj" fmla="val 16667"/>
          </a:avLst>
        </a:prstGeom>
        <a:gradFill rotWithShape="1">
          <a:gsLst>
            <a:gs pos="0">
              <a:srgbClr val="0000FF"/>
            </a:gs>
            <a:gs pos="100000">
              <a:srgbClr val="0000FF">
                <a:gamma/>
                <a:shade val="46275"/>
                <a:invGamma/>
              </a:srgbClr>
            </a:gs>
          </a:gsLst>
          <a:lin ang="5400000" scaled="1"/>
        </a:gradFill>
        <a:ln w="9525">
          <a:solidFill>
            <a:srgbClr val="0000FF"/>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SHOW SCREENSHOT  2</a:t>
          </a:r>
        </a:p>
      </xdr:txBody>
    </xdr:sp>
    <xdr:clientData fPrintsWithSheet="0"/>
  </xdr:twoCellAnchor>
  <xdr:twoCellAnchor>
    <xdr:from>
      <xdr:col>4</xdr:col>
      <xdr:colOff>3590925</xdr:colOff>
      <xdr:row>38</xdr:row>
      <xdr:rowOff>123825</xdr:rowOff>
    </xdr:from>
    <xdr:to>
      <xdr:col>5</xdr:col>
      <xdr:colOff>0</xdr:colOff>
      <xdr:row>40</xdr:row>
      <xdr:rowOff>0</xdr:rowOff>
    </xdr:to>
    <xdr:sp macro="" textlink="">
      <xdr:nvSpPr>
        <xdr:cNvPr id="4" name="AutoShape 4">
          <a:hlinkClick xmlns:r="http://schemas.openxmlformats.org/officeDocument/2006/relationships" r:id="rId4" tooltip="Click here to show annotated screenshot 3"/>
        </xdr:cNvPr>
        <xdr:cNvSpPr>
          <a:spLocks noChangeArrowheads="1"/>
        </xdr:cNvSpPr>
      </xdr:nvSpPr>
      <xdr:spPr bwMode="auto">
        <a:xfrm>
          <a:off x="4133850" y="9067800"/>
          <a:ext cx="1800225" cy="200025"/>
        </a:xfrm>
        <a:prstGeom prst="roundRect">
          <a:avLst>
            <a:gd name="adj" fmla="val 16667"/>
          </a:avLst>
        </a:prstGeom>
        <a:gradFill rotWithShape="1">
          <a:gsLst>
            <a:gs pos="0">
              <a:srgbClr val="0000FF"/>
            </a:gs>
            <a:gs pos="100000">
              <a:srgbClr val="0000FF">
                <a:gamma/>
                <a:shade val="46275"/>
                <a:invGamma/>
              </a:srgbClr>
            </a:gs>
          </a:gsLst>
          <a:lin ang="5400000" scaled="1"/>
        </a:gradFill>
        <a:ln w="9525">
          <a:solidFill>
            <a:srgbClr val="0000FF"/>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SHOW SCREENSHOT  3</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3324</xdr:colOff>
      <xdr:row>6</xdr:row>
      <xdr:rowOff>152401</xdr:rowOff>
    </xdr:from>
    <xdr:to>
      <xdr:col>17</xdr:col>
      <xdr:colOff>59583</xdr:colOff>
      <xdr:row>46</xdr:row>
      <xdr:rowOff>114301</xdr:rowOff>
    </xdr:to>
    <xdr:pic>
      <xdr:nvPicPr>
        <xdr:cNvPr id="7" name="Picture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4" y="857251"/>
          <a:ext cx="9390759" cy="6438900"/>
        </a:xfrm>
        <a:prstGeom prst="rect">
          <a:avLst/>
        </a:prstGeom>
      </xdr:spPr>
    </xdr:pic>
    <xdr:clientData/>
  </xdr:twoCellAnchor>
  <xdr:twoCellAnchor editAs="oneCell">
    <xdr:from>
      <xdr:col>13</xdr:col>
      <xdr:colOff>57150</xdr:colOff>
      <xdr:row>4</xdr:row>
      <xdr:rowOff>47625</xdr:rowOff>
    </xdr:from>
    <xdr:to>
      <xdr:col>17</xdr:col>
      <xdr:colOff>28575</xdr:colOff>
      <xdr:row>4</xdr:row>
      <xdr:rowOff>247650</xdr:rowOff>
    </xdr:to>
    <xdr:sp macro="" textlink="">
      <xdr:nvSpPr>
        <xdr:cNvPr id="5121" name="AutoShape 1">
          <a:hlinkClick xmlns:r="http://schemas.openxmlformats.org/officeDocument/2006/relationships" r:id="rId2" tooltip="Click here to return to the Calculator form"/>
        </xdr:cNvPr>
        <xdr:cNvSpPr>
          <a:spLocks noChangeArrowheads="1"/>
        </xdr:cNvSpPr>
      </xdr:nvSpPr>
      <xdr:spPr bwMode="auto">
        <a:xfrm>
          <a:off x="7248525" y="209550"/>
          <a:ext cx="2114550" cy="20002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editAs="oneCell">
    <xdr:from>
      <xdr:col>13</xdr:col>
      <xdr:colOff>57150</xdr:colOff>
      <xdr:row>4</xdr:row>
      <xdr:rowOff>342900</xdr:rowOff>
    </xdr:from>
    <xdr:to>
      <xdr:col>17</xdr:col>
      <xdr:colOff>28575</xdr:colOff>
      <xdr:row>6</xdr:row>
      <xdr:rowOff>3329</xdr:rowOff>
    </xdr:to>
    <xdr:sp macro="" textlink="">
      <xdr:nvSpPr>
        <xdr:cNvPr id="5124" name="AutoShape 4">
          <a:hlinkClick xmlns:r="http://schemas.openxmlformats.org/officeDocument/2006/relationships" r:id="rId3" tooltip="Click here to return to the Help screen"/>
        </xdr:cNvPr>
        <xdr:cNvSpPr>
          <a:spLocks noChangeArrowheads="1"/>
        </xdr:cNvSpPr>
      </xdr:nvSpPr>
      <xdr:spPr bwMode="auto">
        <a:xfrm>
          <a:off x="7248525" y="504825"/>
          <a:ext cx="2114550" cy="200025"/>
        </a:xfrm>
        <a:prstGeom prst="roundRect">
          <a:avLst>
            <a:gd name="adj" fmla="val 16667"/>
          </a:avLst>
        </a:prstGeom>
        <a:gradFill rotWithShape="1">
          <a:gsLst>
            <a:gs pos="0">
              <a:srgbClr val="FF0000"/>
            </a:gs>
            <a:gs pos="100000">
              <a:srgbClr val="FF0000">
                <a:gamma/>
                <a:shade val="46275"/>
                <a:invGamma/>
              </a:srgbClr>
            </a:gs>
          </a:gsLst>
          <a:lin ang="5400000" scaled="1"/>
        </a:gradFill>
        <a:ln w="9525">
          <a:solidFill>
            <a:srgbClr val="800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HELP</a:t>
          </a:r>
        </a:p>
      </xdr:txBody>
    </xdr:sp>
    <xdr:clientData fPrintsWithSheet="0"/>
  </xdr:twoCellAnchor>
  <xdr:twoCellAnchor editAs="oneCell">
    <xdr:from>
      <xdr:col>13</xdr:col>
      <xdr:colOff>57150</xdr:colOff>
      <xdr:row>63</xdr:row>
      <xdr:rowOff>47625</xdr:rowOff>
    </xdr:from>
    <xdr:to>
      <xdr:col>17</xdr:col>
      <xdr:colOff>28575</xdr:colOff>
      <xdr:row>63</xdr:row>
      <xdr:rowOff>247650</xdr:rowOff>
    </xdr:to>
    <xdr:sp macro="" textlink="">
      <xdr:nvSpPr>
        <xdr:cNvPr id="5125" name="AutoShape 5">
          <a:hlinkClick xmlns:r="http://schemas.openxmlformats.org/officeDocument/2006/relationships" r:id="rId2" tooltip="Click here to return to the Calculator form"/>
        </xdr:cNvPr>
        <xdr:cNvSpPr>
          <a:spLocks noChangeArrowheads="1"/>
        </xdr:cNvSpPr>
      </xdr:nvSpPr>
      <xdr:spPr bwMode="auto">
        <a:xfrm>
          <a:off x="7248525" y="9982200"/>
          <a:ext cx="2114550" cy="20002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editAs="oneCell">
    <xdr:from>
      <xdr:col>13</xdr:col>
      <xdr:colOff>57150</xdr:colOff>
      <xdr:row>63</xdr:row>
      <xdr:rowOff>342900</xdr:rowOff>
    </xdr:from>
    <xdr:to>
      <xdr:col>17</xdr:col>
      <xdr:colOff>28575</xdr:colOff>
      <xdr:row>64</xdr:row>
      <xdr:rowOff>161192</xdr:rowOff>
    </xdr:to>
    <xdr:sp macro="" textlink="">
      <xdr:nvSpPr>
        <xdr:cNvPr id="5126" name="AutoShape 6">
          <a:hlinkClick xmlns:r="http://schemas.openxmlformats.org/officeDocument/2006/relationships" r:id="rId3" tooltip="Click here to return to the Help screen"/>
        </xdr:cNvPr>
        <xdr:cNvSpPr>
          <a:spLocks noChangeArrowheads="1"/>
        </xdr:cNvSpPr>
      </xdr:nvSpPr>
      <xdr:spPr bwMode="auto">
        <a:xfrm>
          <a:off x="7248525" y="10277475"/>
          <a:ext cx="2114550" cy="200025"/>
        </a:xfrm>
        <a:prstGeom prst="roundRect">
          <a:avLst>
            <a:gd name="adj" fmla="val 16667"/>
          </a:avLst>
        </a:prstGeom>
        <a:gradFill rotWithShape="1">
          <a:gsLst>
            <a:gs pos="0">
              <a:srgbClr val="FF0000"/>
            </a:gs>
            <a:gs pos="100000">
              <a:srgbClr val="FF0000">
                <a:gamma/>
                <a:shade val="46275"/>
                <a:invGamma/>
              </a:srgbClr>
            </a:gs>
          </a:gsLst>
          <a:lin ang="5400000" scaled="1"/>
        </a:gradFill>
        <a:ln w="9525">
          <a:solidFill>
            <a:srgbClr val="800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HELP</a:t>
          </a:r>
        </a:p>
      </xdr:txBody>
    </xdr:sp>
    <xdr:clientData fPrintsWithSheet="0"/>
  </xdr:twoCellAnchor>
  <xdr:twoCellAnchor editAs="oneCell">
    <xdr:from>
      <xdr:col>13</xdr:col>
      <xdr:colOff>57150</xdr:colOff>
      <xdr:row>122</xdr:row>
      <xdr:rowOff>47625</xdr:rowOff>
    </xdr:from>
    <xdr:to>
      <xdr:col>17</xdr:col>
      <xdr:colOff>28575</xdr:colOff>
      <xdr:row>122</xdr:row>
      <xdr:rowOff>247650</xdr:rowOff>
    </xdr:to>
    <xdr:sp macro="" textlink="">
      <xdr:nvSpPr>
        <xdr:cNvPr id="5127" name="AutoShape 7">
          <a:hlinkClick xmlns:r="http://schemas.openxmlformats.org/officeDocument/2006/relationships" r:id="rId2" tooltip="Click here to return to the Calculator form"/>
        </xdr:cNvPr>
        <xdr:cNvSpPr>
          <a:spLocks noChangeArrowheads="1"/>
        </xdr:cNvSpPr>
      </xdr:nvSpPr>
      <xdr:spPr bwMode="auto">
        <a:xfrm>
          <a:off x="7248525" y="19754850"/>
          <a:ext cx="2114550" cy="200025"/>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twoCellAnchor editAs="oneCell">
    <xdr:from>
      <xdr:col>13</xdr:col>
      <xdr:colOff>57150</xdr:colOff>
      <xdr:row>122</xdr:row>
      <xdr:rowOff>342900</xdr:rowOff>
    </xdr:from>
    <xdr:to>
      <xdr:col>17</xdr:col>
      <xdr:colOff>28575</xdr:colOff>
      <xdr:row>124</xdr:row>
      <xdr:rowOff>0</xdr:rowOff>
    </xdr:to>
    <xdr:sp macro="" textlink="">
      <xdr:nvSpPr>
        <xdr:cNvPr id="5128" name="AutoShape 8">
          <a:hlinkClick xmlns:r="http://schemas.openxmlformats.org/officeDocument/2006/relationships" r:id="rId3" tooltip="Click here to return to the Help screen"/>
        </xdr:cNvPr>
        <xdr:cNvSpPr>
          <a:spLocks noChangeArrowheads="1"/>
        </xdr:cNvSpPr>
      </xdr:nvSpPr>
      <xdr:spPr bwMode="auto">
        <a:xfrm>
          <a:off x="7248525" y="20050125"/>
          <a:ext cx="2114550" cy="200025"/>
        </a:xfrm>
        <a:prstGeom prst="roundRect">
          <a:avLst>
            <a:gd name="adj" fmla="val 16667"/>
          </a:avLst>
        </a:prstGeom>
        <a:gradFill rotWithShape="1">
          <a:gsLst>
            <a:gs pos="0">
              <a:srgbClr val="FF0000"/>
            </a:gs>
            <a:gs pos="100000">
              <a:srgbClr val="FF0000">
                <a:gamma/>
                <a:shade val="46275"/>
                <a:invGamma/>
              </a:srgbClr>
            </a:gs>
          </a:gsLst>
          <a:lin ang="5400000" scaled="1"/>
        </a:gradFill>
        <a:ln w="9525">
          <a:solidFill>
            <a:srgbClr val="800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HELP</a:t>
          </a:r>
        </a:p>
      </xdr:txBody>
    </xdr:sp>
    <xdr:clientData fPrintsWithSheet="0"/>
  </xdr:twoCellAnchor>
  <xdr:twoCellAnchor editAs="oneCell">
    <xdr:from>
      <xdr:col>1</xdr:col>
      <xdr:colOff>114395</xdr:colOff>
      <xdr:row>126</xdr:row>
      <xdr:rowOff>0</xdr:rowOff>
    </xdr:from>
    <xdr:to>
      <xdr:col>17</xdr:col>
      <xdr:colOff>46404</xdr:colOff>
      <xdr:row>167</xdr:row>
      <xdr:rowOff>123493</xdr:rowOff>
    </xdr:to>
    <xdr:grpSp>
      <xdr:nvGrpSpPr>
        <xdr:cNvPr id="6" name="Group 5"/>
        <xdr:cNvGrpSpPr/>
      </xdr:nvGrpSpPr>
      <xdr:grpSpPr>
        <a:xfrm>
          <a:off x="228695" y="20574000"/>
          <a:ext cx="9152209" cy="6762418"/>
          <a:chOff x="228695" y="20574000"/>
          <a:chExt cx="9152209" cy="6762418"/>
        </a:xfrm>
      </xdr:grpSpPr>
      <xdr:pic>
        <xdr:nvPicPr>
          <xdr:cNvPr id="3" name="Picture 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28695" y="20574000"/>
            <a:ext cx="9152209" cy="6762418"/>
          </a:xfrm>
          <a:prstGeom prst="rect">
            <a:avLst/>
          </a:prstGeom>
        </xdr:spPr>
      </xdr:pic>
      <xdr:sp macro="" textlink="">
        <xdr:nvSpPr>
          <xdr:cNvPr id="31301" name="AutoShape 3653"/>
          <xdr:cNvSpPr>
            <a:spLocks noChangeArrowheads="1"/>
          </xdr:cNvSpPr>
        </xdr:nvSpPr>
        <xdr:spPr bwMode="auto">
          <a:xfrm>
            <a:off x="2463628" y="20929331"/>
            <a:ext cx="1612075" cy="1167696"/>
          </a:xfrm>
          <a:prstGeom prst="wedgeRoundRectCallout">
            <a:avLst>
              <a:gd name="adj1" fmla="val -50596"/>
              <a:gd name="adj2" fmla="val 8240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Messages above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Red text and tan fill highlight inputs missing after glazing elements have been listed.</a:t>
            </a:r>
          </a:p>
          <a:p>
            <a:pPr algn="l" rtl="0">
              <a:defRPr sz="1000"/>
            </a:pPr>
            <a:endParaRPr lang="en-AU" sz="1000" b="0" i="0" u="none" strike="noStrike" baseline="0">
              <a:solidFill>
                <a:srgbClr val="000000"/>
              </a:solidFill>
              <a:latin typeface="Arial"/>
              <a:cs typeface="Arial"/>
            </a:endParaRPr>
          </a:p>
        </xdr:txBody>
      </xdr:sp>
      <xdr:sp macro="" textlink="">
        <xdr:nvSpPr>
          <xdr:cNvPr id="31302" name="AutoShape 3654"/>
          <xdr:cNvSpPr>
            <a:spLocks noChangeArrowheads="1"/>
          </xdr:cNvSpPr>
        </xdr:nvSpPr>
        <xdr:spPr bwMode="auto">
          <a:xfrm>
            <a:off x="3364649" y="23760783"/>
            <a:ext cx="1295065" cy="841365"/>
          </a:xfrm>
          <a:prstGeom prst="wedgeRoundRectCallout">
            <a:avLst>
              <a:gd name="adj1" fmla="val -50410"/>
              <a:gd name="adj2" fmla="val 9151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Colour fills: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Cell colour highlights inputs mentioned in Error or Input alerts.</a:t>
            </a:r>
          </a:p>
          <a:p>
            <a:pPr algn="l" rtl="0">
              <a:defRPr sz="1000"/>
            </a:pPr>
            <a:endParaRPr lang="en-AU" sz="1000" b="0" i="0" u="none" strike="noStrike" baseline="0">
              <a:solidFill>
                <a:srgbClr val="000000"/>
              </a:solidFill>
              <a:latin typeface="Arial"/>
              <a:cs typeface="Arial"/>
            </a:endParaRPr>
          </a:p>
        </xdr:txBody>
      </xdr:sp>
      <xdr:sp macro="" textlink="">
        <xdr:nvSpPr>
          <xdr:cNvPr id="31303" name="AutoShape 3655"/>
          <xdr:cNvSpPr>
            <a:spLocks noChangeArrowheads="1"/>
          </xdr:cNvSpPr>
        </xdr:nvSpPr>
        <xdr:spPr bwMode="auto">
          <a:xfrm>
            <a:off x="6942880" y="21617807"/>
            <a:ext cx="1372445" cy="1004530"/>
          </a:xfrm>
          <a:prstGeom prst="wedgeRoundRectCallout">
            <a:avLst>
              <a:gd name="adj1" fmla="val -50728"/>
              <a:gd name="adj2" fmla="val 110604"/>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Input issues alert:</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Calculated outcomes are hidden until all input issues are resolved.</a:t>
            </a:r>
          </a:p>
          <a:p>
            <a:pPr algn="l" rtl="0">
              <a:defRPr sz="1000"/>
            </a:pPr>
            <a:endParaRPr lang="en-AU" sz="1000" b="0" i="0" u="none" strike="noStrike" baseline="0">
              <a:solidFill>
                <a:srgbClr val="000000"/>
              </a:solidFill>
              <a:latin typeface="Arial"/>
              <a:cs typeface="Arial"/>
            </a:endParaRPr>
          </a:p>
        </xdr:txBody>
      </xdr:sp>
      <xdr:sp macro="" textlink="">
        <xdr:nvSpPr>
          <xdr:cNvPr id="31304" name="AutoShape 3656"/>
          <xdr:cNvSpPr>
            <a:spLocks noChangeArrowheads="1"/>
          </xdr:cNvSpPr>
        </xdr:nvSpPr>
        <xdr:spPr bwMode="auto">
          <a:xfrm>
            <a:off x="7041194" y="23502262"/>
            <a:ext cx="1875347" cy="1657191"/>
          </a:xfrm>
          <a:prstGeom prst="wedgeRoundRectCallout">
            <a:avLst>
              <a:gd name="adj1" fmla="val -49553"/>
              <a:gd name="adj2" fmla="val 7173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Messages within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Each message here refers to the individual row in which it appears. In the first case, the glazing element has no size information. Height and Width are needed or (optionally) a value for the element area.</a:t>
            </a:r>
          </a:p>
          <a:p>
            <a:pPr algn="l" rtl="0">
              <a:defRPr sz="1000"/>
            </a:pPr>
            <a:endParaRPr lang="en-AU" sz="1000" b="0" i="0" u="none" strike="noStrike" baseline="0">
              <a:solidFill>
                <a:srgbClr val="000000"/>
              </a:solidFill>
              <a:latin typeface="Arial"/>
              <a:cs typeface="Arial"/>
            </a:endParaRPr>
          </a:p>
        </xdr:txBody>
      </xdr:sp>
    </xdr:grpSp>
    <xdr:clientData/>
  </xdr:twoCellAnchor>
  <xdr:twoCellAnchor editAs="oneCell">
    <xdr:from>
      <xdr:col>1</xdr:col>
      <xdr:colOff>183063</xdr:colOff>
      <xdr:row>6</xdr:row>
      <xdr:rowOff>85725</xdr:rowOff>
    </xdr:from>
    <xdr:to>
      <xdr:col>16</xdr:col>
      <xdr:colOff>234697</xdr:colOff>
      <xdr:row>46</xdr:row>
      <xdr:rowOff>112385</xdr:rowOff>
    </xdr:to>
    <xdr:grpSp>
      <xdr:nvGrpSpPr>
        <xdr:cNvPr id="2" name="Group 1"/>
        <xdr:cNvGrpSpPr/>
      </xdr:nvGrpSpPr>
      <xdr:grpSpPr>
        <a:xfrm>
          <a:off x="297363" y="790575"/>
          <a:ext cx="8957509" cy="6503660"/>
          <a:chOff x="297363" y="790575"/>
          <a:chExt cx="8957509" cy="6503660"/>
        </a:xfrm>
      </xdr:grpSpPr>
      <xdr:sp macro="" textlink="">
        <xdr:nvSpPr>
          <xdr:cNvPr id="31289" name="AutoShape 3641"/>
          <xdr:cNvSpPr>
            <a:spLocks noChangeArrowheads="1"/>
          </xdr:cNvSpPr>
        </xdr:nvSpPr>
        <xdr:spPr bwMode="auto">
          <a:xfrm>
            <a:off x="297363" y="1400176"/>
            <a:ext cx="1908657" cy="1966183"/>
          </a:xfrm>
          <a:prstGeom prst="wedgeRoundRectCallout">
            <a:avLst>
              <a:gd name="adj1" fmla="val 41191"/>
              <a:gd name="adj2" fmla="val 69490"/>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To change the number of rows displayed (step 1 of 2):</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Input the required number of rows here and press Enter. Note the advice in red to the right of the number.</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(This cell will not accept numbers that would cause rows with data to be hidden.)</a:t>
            </a:r>
          </a:p>
          <a:p>
            <a:pPr algn="l" rtl="0">
              <a:defRPr sz="1000"/>
            </a:pPr>
            <a:endParaRPr lang="en-AU" sz="1000" b="0" i="0" u="none" strike="noStrike" baseline="0">
              <a:solidFill>
                <a:srgbClr val="000000"/>
              </a:solidFill>
              <a:latin typeface="Arial"/>
              <a:cs typeface="Arial"/>
            </a:endParaRPr>
          </a:p>
        </xdr:txBody>
      </xdr:sp>
      <xdr:sp macro="" textlink="">
        <xdr:nvSpPr>
          <xdr:cNvPr id="5" name="Rounded Rectangle 4"/>
          <xdr:cNvSpPr/>
        </xdr:nvSpPr>
        <xdr:spPr>
          <a:xfrm>
            <a:off x="2876356" y="1170825"/>
            <a:ext cx="322644" cy="618585"/>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1" name="Rounded Rectangle 30"/>
          <xdr:cNvSpPr/>
        </xdr:nvSpPr>
        <xdr:spPr>
          <a:xfrm>
            <a:off x="8083657" y="7112851"/>
            <a:ext cx="1171215" cy="181384"/>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0" name="AutoShape 3640"/>
          <xdr:cNvSpPr>
            <a:spLocks noChangeArrowheads="1"/>
          </xdr:cNvSpPr>
        </xdr:nvSpPr>
        <xdr:spPr bwMode="auto">
          <a:xfrm>
            <a:off x="7213222" y="5937754"/>
            <a:ext cx="1228152" cy="841365"/>
          </a:xfrm>
          <a:prstGeom prst="wedgeRoundRectCallout">
            <a:avLst>
              <a:gd name="adj1" fmla="val 37456"/>
              <a:gd name="adj2" fmla="val 93967"/>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Status bar zoom controls: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In Excel 2007 and later for Windows.</a:t>
            </a:r>
          </a:p>
          <a:p>
            <a:pPr algn="l" rtl="0">
              <a:defRPr sz="1000"/>
            </a:pPr>
            <a:endParaRPr lang="en-AU" sz="1000" b="0" i="0" u="none" strike="noStrike" baseline="0">
              <a:solidFill>
                <a:srgbClr val="000000"/>
              </a:solidFill>
              <a:latin typeface="Arial"/>
              <a:cs typeface="Arial"/>
            </a:endParaRPr>
          </a:p>
        </xdr:txBody>
      </xdr:sp>
      <xdr:sp macro="" textlink="">
        <xdr:nvSpPr>
          <xdr:cNvPr id="32" name="Rounded Rectangle 31"/>
          <xdr:cNvSpPr/>
        </xdr:nvSpPr>
        <xdr:spPr>
          <a:xfrm>
            <a:off x="308644" y="5650964"/>
            <a:ext cx="570706" cy="392907"/>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1290" name="AutoShape 3642"/>
          <xdr:cNvSpPr>
            <a:spLocks noChangeArrowheads="1"/>
          </xdr:cNvSpPr>
        </xdr:nvSpPr>
        <xdr:spPr bwMode="auto">
          <a:xfrm>
            <a:off x="731934" y="3912270"/>
            <a:ext cx="1960849" cy="1494026"/>
          </a:xfrm>
          <a:prstGeom prst="wedgeRoundRectCallout">
            <a:avLst>
              <a:gd name="adj1" fmla="val -46381"/>
              <a:gd name="adj2" fmla="val 85832"/>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To change the number of rows displayed (step 2 of 2):</a:t>
            </a:r>
          </a:p>
          <a:p>
            <a:pPr algn="l" rtl="0">
              <a:defRPr sz="1000"/>
            </a:pPr>
            <a:r>
              <a:rPr lang="en-AU" sz="1000" b="0" i="0" u="none" strike="noStrike" baseline="0">
                <a:solidFill>
                  <a:srgbClr val="000000"/>
                </a:solidFill>
                <a:latin typeface="Arial"/>
                <a:cs typeface="Arial"/>
              </a:rPr>
              <a:t>Click the arrow in the red filled cell and then select the only number in the drop down list. </a:t>
            </a:r>
          </a:p>
          <a:p>
            <a:pPr algn="l" rtl="0">
              <a:defRPr sz="1000"/>
            </a:pP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(This number will always match the number set in step 1.)</a:t>
            </a:r>
          </a:p>
          <a:p>
            <a:pPr algn="l" rtl="0">
              <a:defRPr sz="1000"/>
            </a:pPr>
            <a:endParaRPr lang="en-AU" sz="1000" b="0" i="0" u="none" strike="noStrike" baseline="0">
              <a:solidFill>
                <a:srgbClr val="000000"/>
              </a:solidFill>
              <a:latin typeface="Arial"/>
              <a:cs typeface="Arial"/>
            </a:endParaRPr>
          </a:p>
        </xdr:txBody>
      </xdr:sp>
      <xdr:sp macro="" textlink="">
        <xdr:nvSpPr>
          <xdr:cNvPr id="31288" name="AutoShape 3640"/>
          <xdr:cNvSpPr>
            <a:spLocks noChangeArrowheads="1"/>
          </xdr:cNvSpPr>
        </xdr:nvSpPr>
        <xdr:spPr bwMode="auto">
          <a:xfrm>
            <a:off x="4054623" y="790575"/>
            <a:ext cx="1612752" cy="1330861"/>
          </a:xfrm>
          <a:prstGeom prst="wedgeRoundRectCallout">
            <a:avLst>
              <a:gd name="adj1" fmla="val -62523"/>
              <a:gd name="adj2" fmla="val 100384"/>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To change the size of the form on screen:</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Use the Zoom box on the Ribbon or adjust the slider on the Status Bar (below right - in Windows only).</a:t>
            </a:r>
          </a:p>
          <a:p>
            <a:pPr algn="l" rtl="0">
              <a:defRPr sz="1000"/>
            </a:pPr>
            <a:endParaRPr lang="en-AU" sz="1000" b="0" i="0" u="none" strike="noStrike" baseline="0">
              <a:solidFill>
                <a:srgbClr val="000000"/>
              </a:solidFill>
              <a:latin typeface="Arial"/>
              <a:cs typeface="Arial"/>
            </a:endParaRPr>
          </a:p>
        </xdr:txBody>
      </xdr:sp>
    </xdr:grpSp>
    <xdr:clientData/>
  </xdr:twoCellAnchor>
  <xdr:twoCellAnchor editAs="oneCell">
    <xdr:from>
      <xdr:col>5</xdr:col>
      <xdr:colOff>561975</xdr:colOff>
      <xdr:row>13</xdr:row>
      <xdr:rowOff>0</xdr:rowOff>
    </xdr:from>
    <xdr:to>
      <xdr:col>7</xdr:col>
      <xdr:colOff>344468</xdr:colOff>
      <xdr:row>20</xdr:row>
      <xdr:rowOff>142875</xdr:rowOff>
    </xdr:to>
    <xdr:pic>
      <xdr:nvPicPr>
        <xdr:cNvPr id="8" name="Picture 7"/>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876550" y="1838325"/>
          <a:ext cx="1001693" cy="1276350"/>
        </a:xfrm>
        <a:prstGeom prst="rect">
          <a:avLst/>
        </a:prstGeom>
      </xdr:spPr>
    </xdr:pic>
    <xdr:clientData/>
  </xdr:twoCellAnchor>
  <xdr:twoCellAnchor editAs="oneCell">
    <xdr:from>
      <xdr:col>1</xdr:col>
      <xdr:colOff>56779</xdr:colOff>
      <xdr:row>64</xdr:row>
      <xdr:rowOff>142875</xdr:rowOff>
    </xdr:from>
    <xdr:to>
      <xdr:col>17</xdr:col>
      <xdr:colOff>10105</xdr:colOff>
      <xdr:row>108</xdr:row>
      <xdr:rowOff>123503</xdr:rowOff>
    </xdr:to>
    <xdr:grpSp>
      <xdr:nvGrpSpPr>
        <xdr:cNvPr id="4" name="Group 3"/>
        <xdr:cNvGrpSpPr/>
      </xdr:nvGrpSpPr>
      <xdr:grpSpPr>
        <a:xfrm>
          <a:off x="171079" y="10458450"/>
          <a:ext cx="9173526" cy="7105328"/>
          <a:chOff x="171079" y="10458450"/>
          <a:chExt cx="9173526" cy="7105328"/>
        </a:xfrm>
      </xdr:grpSpPr>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1995" y="10801361"/>
            <a:ext cx="9172610" cy="6762417"/>
          </a:xfrm>
          <a:prstGeom prst="rect">
            <a:avLst/>
          </a:prstGeom>
        </xdr:spPr>
      </xdr:pic>
      <xdr:sp macro="" textlink="">
        <xdr:nvSpPr>
          <xdr:cNvPr id="39" name="AutoShape 3645"/>
          <xdr:cNvSpPr>
            <a:spLocks noChangeArrowheads="1"/>
          </xdr:cNvSpPr>
        </xdr:nvSpPr>
        <xdr:spPr bwMode="auto">
          <a:xfrm>
            <a:off x="3199132" y="12528854"/>
            <a:ext cx="1532107" cy="1167696"/>
          </a:xfrm>
          <a:prstGeom prst="wedgeRoundRectCallout">
            <a:avLst>
              <a:gd name="adj1" fmla="val -50625"/>
              <a:gd name="adj2" fmla="val 81796"/>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Cell tips: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Cells with red triangles have popup tips with advice or explanations about inputs or outcomes.</a:t>
            </a:r>
          </a:p>
          <a:p>
            <a:pPr algn="l" rtl="0">
              <a:defRPr sz="1000"/>
            </a:pPr>
            <a:endParaRPr lang="en-AU" sz="1000" b="0" i="0" u="none" strike="noStrike" baseline="0">
              <a:solidFill>
                <a:srgbClr val="000000"/>
              </a:solidFill>
              <a:latin typeface="Arial"/>
              <a:cs typeface="Arial"/>
            </a:endParaRPr>
          </a:p>
        </xdr:txBody>
      </xdr:sp>
      <xdr:sp macro="" textlink="">
        <xdr:nvSpPr>
          <xdr:cNvPr id="40" name="AutoShape 3645"/>
          <xdr:cNvSpPr>
            <a:spLocks noChangeArrowheads="1"/>
          </xdr:cNvSpPr>
        </xdr:nvSpPr>
        <xdr:spPr bwMode="auto">
          <a:xfrm>
            <a:off x="171079" y="10458450"/>
            <a:ext cx="2026989" cy="1494026"/>
          </a:xfrm>
          <a:prstGeom prst="wedgeRoundRectCallout">
            <a:avLst>
              <a:gd name="adj1" fmla="val -38735"/>
              <a:gd name="adj2" fmla="val 78794"/>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Inputs above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Upper inputs should be completed before listing glazing elements. Initial green fill (as seen in Screenshot 1 above) will be replaced by yellow as data is entered.</a:t>
            </a:r>
          </a:p>
          <a:p>
            <a:pPr algn="l" rtl="0">
              <a:defRPr sz="1000"/>
            </a:pPr>
            <a:endParaRPr lang="en-AU" sz="1000" b="0" i="0" u="none" strike="noStrike" baseline="0">
              <a:solidFill>
                <a:srgbClr val="000000"/>
              </a:solidFill>
              <a:latin typeface="Arial"/>
              <a:cs typeface="Arial"/>
            </a:endParaRPr>
          </a:p>
        </xdr:txBody>
      </xdr:sp>
      <xdr:sp macro="" textlink="">
        <xdr:nvSpPr>
          <xdr:cNvPr id="44" name="AutoShape 3648"/>
          <xdr:cNvSpPr>
            <a:spLocks noChangeArrowheads="1"/>
          </xdr:cNvSpPr>
        </xdr:nvSpPr>
        <xdr:spPr bwMode="auto">
          <a:xfrm>
            <a:off x="370735" y="14216334"/>
            <a:ext cx="1827671" cy="1330861"/>
          </a:xfrm>
          <a:prstGeom prst="wedgeRoundRectCallout">
            <a:avLst>
              <a:gd name="adj1" fmla="val 44848"/>
              <a:gd name="adj2" fmla="val 79545"/>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Inputs to the glazing elements table:</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Rows remain uncoloured until the Facing sector input has been given. Yellow filled cells in each row accept user inputs.</a:t>
            </a:r>
          </a:p>
          <a:p>
            <a:pPr algn="l" rtl="0">
              <a:defRPr sz="1000"/>
            </a:pPr>
            <a:endParaRPr lang="en-AU" sz="1000" b="0" i="0" u="none" strike="noStrike" baseline="0">
              <a:solidFill>
                <a:srgbClr val="000000"/>
              </a:solidFill>
              <a:latin typeface="Arial"/>
              <a:cs typeface="Arial"/>
            </a:endParaRPr>
          </a:p>
        </xdr:txBody>
      </xdr:sp>
      <xdr:sp macro="" textlink="">
        <xdr:nvSpPr>
          <xdr:cNvPr id="45" name="Rounded Rectangle 44"/>
          <xdr:cNvSpPr/>
        </xdr:nvSpPr>
        <xdr:spPr>
          <a:xfrm>
            <a:off x="2066503" y="17236693"/>
            <a:ext cx="559987" cy="191111"/>
          </a:xfrm>
          <a:prstGeom prst="roundRect">
            <a:avLst/>
          </a:prstGeom>
          <a:noFill/>
          <a:ln>
            <a:solidFill>
              <a:srgbClr val="FF00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43" name="AutoShape 3646"/>
          <xdr:cNvSpPr>
            <a:spLocks noChangeArrowheads="1"/>
          </xdr:cNvSpPr>
        </xdr:nvSpPr>
        <xdr:spPr bwMode="auto">
          <a:xfrm>
            <a:off x="847611" y="15874276"/>
            <a:ext cx="1304314" cy="1167696"/>
          </a:xfrm>
          <a:prstGeom prst="wedgeRoundRectCallout">
            <a:avLst>
              <a:gd name="adj1" fmla="val 48542"/>
              <a:gd name="adj2" fmla="val 76551"/>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Users' worksheet:</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The worksheet on this tab allows for recording of notes and calculations (if desired).</a:t>
            </a:r>
          </a:p>
          <a:p>
            <a:pPr algn="l" rtl="0">
              <a:defRPr sz="1000"/>
            </a:pPr>
            <a:endParaRPr lang="en-AU" sz="1000" b="0" i="0" u="none" strike="noStrike" baseline="0">
              <a:solidFill>
                <a:srgbClr val="000000"/>
              </a:solidFill>
              <a:latin typeface="Arial"/>
              <a:cs typeface="Arial"/>
            </a:endParaRPr>
          </a:p>
        </xdr:txBody>
      </xdr:sp>
      <xdr:sp macro="" textlink="">
        <xdr:nvSpPr>
          <xdr:cNvPr id="46" name="AutoShape 3647"/>
          <xdr:cNvSpPr>
            <a:spLocks noChangeArrowheads="1"/>
          </xdr:cNvSpPr>
        </xdr:nvSpPr>
        <xdr:spPr bwMode="auto">
          <a:xfrm>
            <a:off x="7483733" y="11442106"/>
            <a:ext cx="1408719" cy="1004530"/>
          </a:xfrm>
          <a:prstGeom prst="wedgeRoundRectCallout">
            <a:avLst>
              <a:gd name="adj1" fmla="val 674"/>
              <a:gd name="adj2" fmla="val 110912"/>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Glazing allowances: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The Calculator provides these details once necessary inputs have been given.</a:t>
            </a:r>
          </a:p>
          <a:p>
            <a:pPr algn="l" rtl="0">
              <a:defRPr sz="1000"/>
            </a:pPr>
            <a:endParaRPr lang="en-AU" sz="1000" b="0" i="0" u="none" strike="noStrike" baseline="0">
              <a:solidFill>
                <a:srgbClr val="000000"/>
              </a:solidFill>
              <a:latin typeface="Arial"/>
              <a:cs typeface="Arial"/>
            </a:endParaRPr>
          </a:p>
        </xdr:txBody>
      </xdr:sp>
      <xdr:sp macro="" textlink="">
        <xdr:nvSpPr>
          <xdr:cNvPr id="47" name="AutoShape 3649"/>
          <xdr:cNvSpPr>
            <a:spLocks noChangeArrowheads="1"/>
          </xdr:cNvSpPr>
        </xdr:nvSpPr>
        <xdr:spPr bwMode="auto">
          <a:xfrm>
            <a:off x="5408923" y="12096844"/>
            <a:ext cx="1608035" cy="1494026"/>
          </a:xfrm>
          <a:prstGeom prst="wedgeRoundRectCallout">
            <a:avLst>
              <a:gd name="adj1" fmla="val -37122"/>
              <a:gd name="adj2" fmla="val 67207"/>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Calculation data:</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Light green filled columns show results of user inputs to the left. These results are for information and cannot be modified except by changing the inputs.</a:t>
            </a:r>
          </a:p>
          <a:p>
            <a:pPr algn="l" rtl="0">
              <a:defRPr sz="1000"/>
            </a:pPr>
            <a:endParaRPr lang="en-AU" sz="1000" b="0" i="0" u="none" strike="noStrike" baseline="0">
              <a:solidFill>
                <a:srgbClr val="000000"/>
              </a:solidFill>
              <a:latin typeface="Arial"/>
              <a:cs typeface="Arial"/>
            </a:endParaRPr>
          </a:p>
        </xdr:txBody>
      </xdr:sp>
      <xdr:sp macro="" textlink="">
        <xdr:nvSpPr>
          <xdr:cNvPr id="48" name="AutoShape 3650"/>
          <xdr:cNvSpPr>
            <a:spLocks noChangeArrowheads="1"/>
          </xdr:cNvSpPr>
        </xdr:nvSpPr>
        <xdr:spPr bwMode="auto">
          <a:xfrm>
            <a:off x="7379632" y="14005793"/>
            <a:ext cx="1875794" cy="1657191"/>
          </a:xfrm>
          <a:prstGeom prst="wedgeRoundRectCallout">
            <a:avLst>
              <a:gd name="adj1" fmla="val 4114"/>
              <a:gd name="adj2" fmla="val 67281"/>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Calculated outcomes:</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Outcomes for the glazing design appear here (unless the Calculator identifies input issues).</a:t>
            </a:r>
          </a:p>
          <a:p>
            <a:pPr algn="l" rtl="0">
              <a:defRPr sz="1000"/>
            </a:pPr>
            <a:r>
              <a:rPr lang="en-AU" sz="1000" b="0" i="0" u="none" strike="noStrike" baseline="0">
                <a:solidFill>
                  <a:srgbClr val="000000"/>
                </a:solidFill>
                <a:latin typeface="Arial"/>
                <a:cs typeface="Arial"/>
              </a:rPr>
              <a:t>The column headings, a tick and green cell fill indicate passes.  A cross and red cell fill highlight failures.</a:t>
            </a:r>
          </a:p>
          <a:p>
            <a:pPr algn="l" rtl="0">
              <a:defRPr sz="1000"/>
            </a:pPr>
            <a:endParaRPr lang="en-AU" sz="1000" b="0" i="0" u="none" strike="noStrike" baseline="0">
              <a:solidFill>
                <a:srgbClr val="000000"/>
              </a:solidFill>
              <a:latin typeface="Arial"/>
              <a:cs typeface="Arial"/>
            </a:endParaRPr>
          </a:p>
        </xdr:txBody>
      </xdr:sp>
      <xdr:sp macro="" textlink="">
        <xdr:nvSpPr>
          <xdr:cNvPr id="38" name="AutoShape 3645"/>
          <xdr:cNvSpPr>
            <a:spLocks noChangeArrowheads="1"/>
          </xdr:cNvSpPr>
        </xdr:nvSpPr>
        <xdr:spPr bwMode="auto">
          <a:xfrm>
            <a:off x="2351966" y="10934700"/>
            <a:ext cx="2143834" cy="1494026"/>
          </a:xfrm>
          <a:prstGeom prst="wedgeRoundRectCallout">
            <a:avLst>
              <a:gd name="adj1" fmla="val -47235"/>
              <a:gd name="adj2" fmla="val 76890"/>
              <a:gd name="adj3" fmla="val 16667"/>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spAutoFit/>
          </a:bodyPr>
          <a:lstStyle/>
          <a:p>
            <a:pPr algn="l" rtl="0">
              <a:defRPr sz="1000"/>
            </a:pPr>
            <a:r>
              <a:rPr lang="en-AU" sz="1000" b="1" i="0" u="none" strike="noStrike" baseline="0">
                <a:solidFill>
                  <a:srgbClr val="000000"/>
                </a:solidFill>
                <a:latin typeface="Arial"/>
                <a:cs typeface="Arial"/>
              </a:rPr>
              <a:t>Area of each floor type on each storey:</a:t>
            </a:r>
            <a:endParaRPr lang="en-AU" sz="1000" b="0" i="0" u="none" strike="noStrike" baseline="0">
              <a:solidFill>
                <a:srgbClr val="000000"/>
              </a:solidFill>
              <a:latin typeface="Arial"/>
              <a:cs typeface="Arial"/>
            </a:endParaRPr>
          </a:p>
          <a:p>
            <a:pPr algn="l" rtl="0">
              <a:defRPr sz="1000"/>
            </a:pPr>
            <a:r>
              <a:rPr lang="en-AU" sz="1000" b="0" i="0" u="none" strike="noStrike" baseline="0">
                <a:solidFill>
                  <a:srgbClr val="000000"/>
                </a:solidFill>
                <a:latin typeface="Arial"/>
                <a:cs typeface="Arial"/>
              </a:rPr>
              <a:t>Each storey needs a separate calculator form.</a:t>
            </a:r>
          </a:p>
          <a:p>
            <a:pPr algn="l" rtl="0">
              <a:defRPr sz="1000"/>
            </a:pPr>
            <a:r>
              <a:rPr lang="en-AU" sz="1000" b="0" i="0" u="none" strike="noStrike" baseline="0">
                <a:solidFill>
                  <a:srgbClr val="000000"/>
                </a:solidFill>
                <a:latin typeface="Arial"/>
                <a:cs typeface="Arial"/>
              </a:rPr>
              <a:t>An area must be given for at least one type of Floor Construction but a second floor type on the same storey can also be entered.</a:t>
            </a:r>
          </a:p>
          <a:p>
            <a:pPr algn="l" rtl="0">
              <a:defRPr sz="1000"/>
            </a:pPr>
            <a:endParaRPr lang="en-AU" sz="1000" b="0" i="0" u="none" strike="noStrike" baseline="0">
              <a:solidFill>
                <a:srgbClr val="000000"/>
              </a:solidFill>
              <a:latin typeface="Arial"/>
              <a:cs typeface="Aria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117</xdr:row>
      <xdr:rowOff>0</xdr:rowOff>
    </xdr:from>
    <xdr:to>
      <xdr:col>19</xdr:col>
      <xdr:colOff>0</xdr:colOff>
      <xdr:row>119</xdr:row>
      <xdr:rowOff>0</xdr:rowOff>
    </xdr:to>
    <xdr:sp macro="" textlink="">
      <xdr:nvSpPr>
        <xdr:cNvPr id="41072" name="Text Box 21979"/>
        <xdr:cNvSpPr txBox="1">
          <a:spLocks noChangeArrowheads="1"/>
        </xdr:cNvSpPr>
      </xdr:nvSpPr>
      <xdr:spPr bwMode="auto">
        <a:xfrm>
          <a:off x="114300" y="4914900"/>
          <a:ext cx="8496300" cy="771525"/>
        </a:xfrm>
        <a:prstGeom prst="rect">
          <a:avLst/>
        </a:prstGeom>
        <a:gradFill rotWithShape="1">
          <a:gsLst>
            <a:gs pos="0">
              <a:srgbClr val="008000">
                <a:alpha val="20000"/>
              </a:srgbClr>
            </a:gs>
            <a:gs pos="100000">
              <a:srgbClr val="FFFFFF">
                <a:alpha val="20000"/>
              </a:srgbClr>
            </a:gs>
          </a:gsLst>
          <a:lin ang="0" scaled="1"/>
        </a:gradFill>
        <a:ln w="9525">
          <a:noFill/>
          <a:miter lim="800000"/>
          <a:headEnd/>
          <a:tailEnd/>
        </a:ln>
      </xdr:spPr>
    </xdr:sp>
    <xdr:clientData fPrintsWithSheet="0"/>
  </xdr:twoCellAnchor>
  <xdr:twoCellAnchor editAs="oneCell">
    <xdr:from>
      <xdr:col>1</xdr:col>
      <xdr:colOff>0</xdr:colOff>
      <xdr:row>0</xdr:row>
      <xdr:rowOff>0</xdr:rowOff>
    </xdr:from>
    <xdr:to>
      <xdr:col>20</xdr:col>
      <xdr:colOff>51676</xdr:colOff>
      <xdr:row>23</xdr:row>
      <xdr:rowOff>0</xdr:rowOff>
    </xdr:to>
    <xdr:sp macro="" textlink="B23">
      <xdr:nvSpPr>
        <xdr:cNvPr id="34211" name="Text Box 942"/>
        <xdr:cNvSpPr txBox="1">
          <a:spLocks noChangeArrowheads="1"/>
        </xdr:cNvSpPr>
      </xdr:nvSpPr>
      <xdr:spPr bwMode="auto">
        <a:xfrm>
          <a:off x="117231" y="0"/>
          <a:ext cx="9415483" cy="322385"/>
        </a:xfrm>
        <a:prstGeom prst="rect">
          <a:avLst/>
        </a:prstGeom>
        <a:gradFill rotWithShape="1">
          <a:gsLst>
            <a:gs pos="0">
              <a:srgbClr val="333399"/>
            </a:gs>
            <a:gs pos="100000">
              <a:srgbClr val="3366FF"/>
            </a:gs>
          </a:gsLst>
          <a:lin ang="0" scaled="1"/>
        </a:gradFill>
        <a:ln w="9525">
          <a:noFill/>
          <a:miter lim="800000"/>
          <a:headEnd/>
          <a:tailEnd/>
        </a:ln>
      </xdr:spPr>
      <xdr:txBody>
        <a:bodyPr vertOverflow="clip" wrap="square" lIns="108000" tIns="46800" rIns="90000" bIns="46800" anchor="ctr" upright="1"/>
        <a:lstStyle/>
        <a:p>
          <a:pPr algn="l" rtl="0">
            <a:defRPr sz="1000"/>
          </a:pPr>
          <a:fld id="{99B8D088-2F3F-4A93-BBDA-66DA947A4F91}" type="TxLink">
            <a:rPr lang="en-AU" sz="1500" b="1" i="1" u="none" strike="noStrike" baseline="0">
              <a:solidFill>
                <a:srgbClr val="FFFFFF"/>
              </a:solidFill>
              <a:latin typeface="Arial"/>
              <a:cs typeface="Arial"/>
            </a:rPr>
            <a:pPr algn="l" rtl="0">
              <a:defRPr sz="1000"/>
            </a:pPr>
            <a:t>BCA VOLUME TWO GLAZING CALCULATOR (first issued with BCA 2013)</a:t>
          </a:fld>
          <a:endParaRPr lang="en-AU" sz="1500" b="1" i="1" u="none" strike="noStrike" baseline="0">
            <a:solidFill>
              <a:srgbClr val="FFFFFF"/>
            </a:solidFill>
            <a:latin typeface="Arial"/>
            <a:cs typeface="Arial"/>
          </a:endParaRPr>
        </a:p>
      </xdr:txBody>
    </xdr:sp>
    <xdr:clientData fPrintsWithSheet="0"/>
  </xdr:twoCellAnchor>
  <xdr:twoCellAnchor editAs="oneCell">
    <xdr:from>
      <xdr:col>18</xdr:col>
      <xdr:colOff>390525</xdr:colOff>
      <xdr:row>22</xdr:row>
      <xdr:rowOff>76200</xdr:rowOff>
    </xdr:from>
    <xdr:to>
      <xdr:col>19</xdr:col>
      <xdr:colOff>847725</xdr:colOff>
      <xdr:row>22</xdr:row>
      <xdr:rowOff>276225</xdr:rowOff>
    </xdr:to>
    <xdr:sp macro="" textlink="">
      <xdr:nvSpPr>
        <xdr:cNvPr id="34212" name="AutoShape 231">
          <a:hlinkClick xmlns:r="http://schemas.openxmlformats.org/officeDocument/2006/relationships" r:id="rId1" tooltip="Click here to go to the Help screen"/>
        </xdr:cNvPr>
        <xdr:cNvSpPr>
          <a:spLocks noChangeArrowheads="1"/>
        </xdr:cNvSpPr>
      </xdr:nvSpPr>
      <xdr:spPr bwMode="auto">
        <a:xfrm>
          <a:off x="8543925" y="76200"/>
          <a:ext cx="914400" cy="200025"/>
        </a:xfrm>
        <a:prstGeom prst="roundRect">
          <a:avLst>
            <a:gd name="adj" fmla="val 16667"/>
          </a:avLst>
        </a:prstGeom>
        <a:gradFill rotWithShape="1">
          <a:gsLst>
            <a:gs pos="0">
              <a:srgbClr val="99CCFF"/>
            </a:gs>
            <a:gs pos="100000">
              <a:srgbClr val="000080"/>
            </a:gs>
          </a:gsLst>
          <a:lin ang="5400000" scaled="1"/>
        </a:gradFill>
        <a:ln w="9525">
          <a:solidFill>
            <a:srgbClr val="333399"/>
          </a:solidFill>
          <a:round/>
          <a:headEnd/>
          <a:tailEnd/>
        </a:ln>
      </xdr:spPr>
      <xdr:txBody>
        <a:bodyPr vertOverflow="clip" wrap="square" lIns="28800" tIns="0" rIns="28800" bIns="0" anchor="t" upright="1"/>
        <a:lstStyle/>
        <a:p>
          <a:pPr algn="ctr" rtl="0">
            <a:defRPr sz="1000"/>
          </a:pPr>
          <a:r>
            <a:rPr lang="en-AU" sz="1000" b="1" i="1" u="none" strike="noStrike" baseline="0">
              <a:solidFill>
                <a:srgbClr val="CCFFFF"/>
              </a:solidFill>
              <a:latin typeface="Arial"/>
              <a:cs typeface="Arial"/>
            </a:rPr>
            <a:t>HELP</a:t>
          </a:r>
        </a:p>
      </xdr:txBody>
    </xdr:sp>
    <xdr:clientData fPrintsWithSheet="0"/>
  </xdr:twoCellAnchor>
  <xdr:twoCellAnchor>
    <xdr:from>
      <xdr:col>12</xdr:col>
      <xdr:colOff>378701</xdr:colOff>
      <xdr:row>42</xdr:row>
      <xdr:rowOff>0</xdr:rowOff>
    </xdr:from>
    <xdr:to>
      <xdr:col>20</xdr:col>
      <xdr:colOff>6405</xdr:colOff>
      <xdr:row>43</xdr:row>
      <xdr:rowOff>0</xdr:rowOff>
    </xdr:to>
    <xdr:sp macro="" textlink="AS43">
      <xdr:nvSpPr>
        <xdr:cNvPr id="3925" name="Text Box 853"/>
        <xdr:cNvSpPr txBox="1">
          <a:spLocks noChangeArrowheads="1" noTextEdit="1"/>
        </xdr:cNvSpPr>
      </xdr:nvSpPr>
      <xdr:spPr bwMode="auto">
        <a:xfrm>
          <a:off x="5695950" y="3810000"/>
          <a:ext cx="3819525" cy="161925"/>
        </a:xfrm>
        <a:prstGeom prst="rect">
          <a:avLst/>
        </a:prstGeom>
        <a:noFill/>
        <a:ln w="9525" algn="ctr">
          <a:noFill/>
          <a:miter lim="800000"/>
          <a:headEnd/>
          <a:tailEnd/>
        </a:ln>
        <a:effectLst/>
      </xdr:spPr>
      <xdr:txBody>
        <a:bodyPr anchor="ctr"/>
        <a:lstStyle/>
        <a:p>
          <a:pPr algn="l" rtl="0">
            <a:defRPr sz="1000"/>
          </a:pPr>
          <a:fld id="{20C5ACEA-35CC-4FBE-B6D1-245123BCAB3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13</xdr:col>
      <xdr:colOff>7938</xdr:colOff>
      <xdr:row>36</xdr:row>
      <xdr:rowOff>0</xdr:rowOff>
    </xdr:from>
    <xdr:to>
      <xdr:col>20</xdr:col>
      <xdr:colOff>7938</xdr:colOff>
      <xdr:row>37</xdr:row>
      <xdr:rowOff>0</xdr:rowOff>
    </xdr:to>
    <xdr:sp macro="" textlink="AS37">
      <xdr:nvSpPr>
        <xdr:cNvPr id="3930" name="Text Box 858"/>
        <xdr:cNvSpPr txBox="1">
          <a:spLocks noChangeArrowheads="1" noTextEdit="1"/>
        </xdr:cNvSpPr>
      </xdr:nvSpPr>
      <xdr:spPr bwMode="auto">
        <a:xfrm>
          <a:off x="5635015" y="3011365"/>
          <a:ext cx="3853961" cy="161193"/>
        </a:xfrm>
        <a:prstGeom prst="rect">
          <a:avLst/>
        </a:prstGeom>
        <a:noFill/>
        <a:ln w="9525" algn="ctr">
          <a:noFill/>
          <a:miter lim="800000"/>
          <a:headEnd/>
          <a:tailEnd/>
        </a:ln>
        <a:effectLst/>
      </xdr:spPr>
      <xdr:txBody>
        <a:bodyPr anchor="ctr"/>
        <a:lstStyle/>
        <a:p>
          <a:pPr algn="l" rtl="0">
            <a:defRPr sz="1000"/>
          </a:pPr>
          <a:fld id="{E681A87D-BC07-44C1-BA3A-F177546308D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37</xdr:row>
      <xdr:rowOff>0</xdr:rowOff>
    </xdr:from>
    <xdr:to>
      <xdr:col>20</xdr:col>
      <xdr:colOff>6405</xdr:colOff>
      <xdr:row>38</xdr:row>
      <xdr:rowOff>5474</xdr:rowOff>
    </xdr:to>
    <xdr:sp macro="" textlink="AS38">
      <xdr:nvSpPr>
        <xdr:cNvPr id="3931" name="Text Box 859"/>
        <xdr:cNvSpPr txBox="1">
          <a:spLocks noChangeArrowheads="1" noTextEdit="1"/>
        </xdr:cNvSpPr>
      </xdr:nvSpPr>
      <xdr:spPr bwMode="auto">
        <a:xfrm>
          <a:off x="5695950" y="3000375"/>
          <a:ext cx="3819525" cy="161925"/>
        </a:xfrm>
        <a:prstGeom prst="rect">
          <a:avLst/>
        </a:prstGeom>
        <a:noFill/>
        <a:ln w="9525" algn="ctr">
          <a:noFill/>
          <a:miter lim="800000"/>
          <a:headEnd/>
          <a:tailEnd/>
        </a:ln>
        <a:effectLst/>
      </xdr:spPr>
      <xdr:txBody>
        <a:bodyPr anchor="ctr"/>
        <a:lstStyle/>
        <a:p>
          <a:pPr algn="l" rtl="0">
            <a:defRPr sz="1000"/>
          </a:pPr>
          <a:fld id="{396CCECA-03C0-485B-B57E-82D1D7C63FF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37</xdr:row>
      <xdr:rowOff>164224</xdr:rowOff>
    </xdr:from>
    <xdr:to>
      <xdr:col>20</xdr:col>
      <xdr:colOff>6405</xdr:colOff>
      <xdr:row>39</xdr:row>
      <xdr:rowOff>0</xdr:rowOff>
    </xdr:to>
    <xdr:sp macro="" textlink="AS39">
      <xdr:nvSpPr>
        <xdr:cNvPr id="3932" name="Text Box 860"/>
        <xdr:cNvSpPr txBox="1">
          <a:spLocks noChangeArrowheads="1" noTextEdit="1"/>
        </xdr:cNvSpPr>
      </xdr:nvSpPr>
      <xdr:spPr bwMode="auto">
        <a:xfrm>
          <a:off x="5695950" y="3162300"/>
          <a:ext cx="3819525" cy="161925"/>
        </a:xfrm>
        <a:prstGeom prst="rect">
          <a:avLst/>
        </a:prstGeom>
        <a:noFill/>
        <a:ln w="9525" algn="ctr">
          <a:noFill/>
          <a:miter lim="800000"/>
          <a:headEnd/>
          <a:tailEnd/>
        </a:ln>
        <a:effectLst/>
      </xdr:spPr>
      <xdr:txBody>
        <a:bodyPr anchor="ctr"/>
        <a:lstStyle/>
        <a:p>
          <a:pPr algn="l" rtl="0">
            <a:defRPr sz="1000"/>
          </a:pPr>
          <a:fld id="{00D6AE0C-88F1-46E9-A85C-BEAC61FFA37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39</xdr:row>
      <xdr:rowOff>0</xdr:rowOff>
    </xdr:from>
    <xdr:to>
      <xdr:col>20</xdr:col>
      <xdr:colOff>6405</xdr:colOff>
      <xdr:row>40</xdr:row>
      <xdr:rowOff>0</xdr:rowOff>
    </xdr:to>
    <xdr:sp macro="" textlink="AS40">
      <xdr:nvSpPr>
        <xdr:cNvPr id="3933" name="Text Box 861"/>
        <xdr:cNvSpPr txBox="1">
          <a:spLocks noChangeArrowheads="1" noTextEdit="1"/>
        </xdr:cNvSpPr>
      </xdr:nvSpPr>
      <xdr:spPr bwMode="auto">
        <a:xfrm>
          <a:off x="5695950" y="3324225"/>
          <a:ext cx="3819525" cy="161925"/>
        </a:xfrm>
        <a:prstGeom prst="rect">
          <a:avLst/>
        </a:prstGeom>
        <a:noFill/>
        <a:ln w="9525" algn="ctr">
          <a:noFill/>
          <a:miter lim="800000"/>
          <a:headEnd/>
          <a:tailEnd/>
        </a:ln>
        <a:effectLst/>
      </xdr:spPr>
      <xdr:txBody>
        <a:bodyPr anchor="ctr"/>
        <a:lstStyle/>
        <a:p>
          <a:pPr algn="l" rtl="0">
            <a:defRPr sz="1000"/>
          </a:pPr>
          <a:fld id="{735E1BC8-A41F-4F80-9E8F-64FC78B8422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40</xdr:row>
      <xdr:rowOff>0</xdr:rowOff>
    </xdr:from>
    <xdr:to>
      <xdr:col>20</xdr:col>
      <xdr:colOff>6405</xdr:colOff>
      <xdr:row>41</xdr:row>
      <xdr:rowOff>0</xdr:rowOff>
    </xdr:to>
    <xdr:sp macro="" textlink="AS41">
      <xdr:nvSpPr>
        <xdr:cNvPr id="3935" name="Text Box 863"/>
        <xdr:cNvSpPr txBox="1">
          <a:spLocks noChangeArrowheads="1" noTextEdit="1"/>
        </xdr:cNvSpPr>
      </xdr:nvSpPr>
      <xdr:spPr bwMode="auto">
        <a:xfrm>
          <a:off x="5695950" y="3486150"/>
          <a:ext cx="3819525" cy="161925"/>
        </a:xfrm>
        <a:prstGeom prst="rect">
          <a:avLst/>
        </a:prstGeom>
        <a:noFill/>
        <a:ln w="9525" algn="ctr">
          <a:noFill/>
          <a:miter lim="800000"/>
          <a:headEnd/>
          <a:tailEnd/>
        </a:ln>
        <a:effectLst/>
      </xdr:spPr>
      <xdr:txBody>
        <a:bodyPr anchor="ctr"/>
        <a:lstStyle/>
        <a:p>
          <a:pPr algn="l" rtl="0">
            <a:defRPr sz="1000"/>
          </a:pPr>
          <a:fld id="{2D9D296C-6ABF-47B7-B644-01F34B04D03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41</xdr:row>
      <xdr:rowOff>0</xdr:rowOff>
    </xdr:from>
    <xdr:to>
      <xdr:col>20</xdr:col>
      <xdr:colOff>6405</xdr:colOff>
      <xdr:row>42</xdr:row>
      <xdr:rowOff>0</xdr:rowOff>
    </xdr:to>
    <xdr:sp macro="" textlink="AS42">
      <xdr:nvSpPr>
        <xdr:cNvPr id="3936" name="Text Box 864"/>
        <xdr:cNvSpPr txBox="1">
          <a:spLocks noChangeArrowheads="1" noTextEdit="1"/>
        </xdr:cNvSpPr>
      </xdr:nvSpPr>
      <xdr:spPr bwMode="auto">
        <a:xfrm>
          <a:off x="5695950" y="3648075"/>
          <a:ext cx="3819525" cy="161925"/>
        </a:xfrm>
        <a:prstGeom prst="rect">
          <a:avLst/>
        </a:prstGeom>
        <a:noFill/>
        <a:ln w="9525" algn="ctr">
          <a:noFill/>
          <a:miter lim="800000"/>
          <a:headEnd/>
          <a:tailEnd/>
        </a:ln>
        <a:effectLst/>
      </xdr:spPr>
      <xdr:txBody>
        <a:bodyPr anchor="ctr"/>
        <a:lstStyle/>
        <a:p>
          <a:pPr algn="l" rtl="0">
            <a:defRPr sz="1000"/>
          </a:pPr>
          <a:fld id="{BDC40D3F-6F00-4276-B580-271EDF0AED9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43</xdr:row>
      <xdr:rowOff>0</xdr:rowOff>
    </xdr:from>
    <xdr:to>
      <xdr:col>20</xdr:col>
      <xdr:colOff>6405</xdr:colOff>
      <xdr:row>44</xdr:row>
      <xdr:rowOff>0</xdr:rowOff>
    </xdr:to>
    <xdr:sp macro="" textlink="AS44">
      <xdr:nvSpPr>
        <xdr:cNvPr id="3937" name="Text Box 865"/>
        <xdr:cNvSpPr txBox="1">
          <a:spLocks noChangeArrowheads="1" noTextEdit="1"/>
        </xdr:cNvSpPr>
      </xdr:nvSpPr>
      <xdr:spPr bwMode="auto">
        <a:xfrm>
          <a:off x="5695950" y="3971925"/>
          <a:ext cx="3819525" cy="161925"/>
        </a:xfrm>
        <a:prstGeom prst="rect">
          <a:avLst/>
        </a:prstGeom>
        <a:noFill/>
        <a:ln w="9525" algn="ctr">
          <a:noFill/>
          <a:miter lim="800000"/>
          <a:headEnd/>
          <a:tailEnd/>
        </a:ln>
        <a:effectLst/>
      </xdr:spPr>
      <xdr:txBody>
        <a:bodyPr anchor="ctr"/>
        <a:lstStyle/>
        <a:p>
          <a:pPr algn="l" rtl="0">
            <a:defRPr sz="1000"/>
          </a:pPr>
          <a:fld id="{B85610E5-01A7-4EDC-813C-793968C77B8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44</xdr:row>
      <xdr:rowOff>0</xdr:rowOff>
    </xdr:from>
    <xdr:to>
      <xdr:col>20</xdr:col>
      <xdr:colOff>6405</xdr:colOff>
      <xdr:row>44</xdr:row>
      <xdr:rowOff>164224</xdr:rowOff>
    </xdr:to>
    <xdr:sp macro="" textlink="AS45">
      <xdr:nvSpPr>
        <xdr:cNvPr id="3938" name="Text Box 866"/>
        <xdr:cNvSpPr txBox="1">
          <a:spLocks noChangeArrowheads="1" noTextEdit="1"/>
        </xdr:cNvSpPr>
      </xdr:nvSpPr>
      <xdr:spPr bwMode="auto">
        <a:xfrm>
          <a:off x="5695950" y="4133850"/>
          <a:ext cx="3819525" cy="161925"/>
        </a:xfrm>
        <a:prstGeom prst="rect">
          <a:avLst/>
        </a:prstGeom>
        <a:noFill/>
        <a:ln w="9525" algn="ctr">
          <a:noFill/>
          <a:miter lim="800000"/>
          <a:headEnd/>
          <a:tailEnd/>
        </a:ln>
        <a:effectLst/>
      </xdr:spPr>
      <xdr:txBody>
        <a:bodyPr anchor="ctr"/>
        <a:lstStyle/>
        <a:p>
          <a:pPr algn="l" rtl="0">
            <a:defRPr sz="1000"/>
          </a:pPr>
          <a:fld id="{25781157-3FE1-45F7-A367-ABA73AE0EAE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44</xdr:row>
      <xdr:rowOff>164224</xdr:rowOff>
    </xdr:from>
    <xdr:to>
      <xdr:col>20</xdr:col>
      <xdr:colOff>6405</xdr:colOff>
      <xdr:row>46</xdr:row>
      <xdr:rowOff>0</xdr:rowOff>
    </xdr:to>
    <xdr:sp macro="" textlink="AS46">
      <xdr:nvSpPr>
        <xdr:cNvPr id="3939" name="Text Box 867"/>
        <xdr:cNvSpPr txBox="1">
          <a:spLocks noChangeArrowheads="1" noTextEdit="1"/>
        </xdr:cNvSpPr>
      </xdr:nvSpPr>
      <xdr:spPr bwMode="auto">
        <a:xfrm>
          <a:off x="5695950" y="4295775"/>
          <a:ext cx="3819525" cy="161925"/>
        </a:xfrm>
        <a:prstGeom prst="rect">
          <a:avLst/>
        </a:prstGeom>
        <a:noFill/>
        <a:ln w="9525" algn="ctr">
          <a:noFill/>
          <a:miter lim="800000"/>
          <a:headEnd/>
          <a:tailEnd/>
        </a:ln>
        <a:effectLst/>
      </xdr:spPr>
      <xdr:txBody>
        <a:bodyPr anchor="ctr"/>
        <a:lstStyle/>
        <a:p>
          <a:pPr algn="l" rtl="0">
            <a:defRPr sz="1000"/>
          </a:pPr>
          <a:fld id="{C239FF02-DA86-45EE-8738-33AB37162755}"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46</xdr:row>
      <xdr:rowOff>0</xdr:rowOff>
    </xdr:from>
    <xdr:to>
      <xdr:col>20</xdr:col>
      <xdr:colOff>6405</xdr:colOff>
      <xdr:row>47</xdr:row>
      <xdr:rowOff>0</xdr:rowOff>
    </xdr:to>
    <xdr:sp macro="" textlink="AS47">
      <xdr:nvSpPr>
        <xdr:cNvPr id="3941" name="Text Box 869"/>
        <xdr:cNvSpPr txBox="1">
          <a:spLocks noChangeArrowheads="1" noTextEdit="1"/>
        </xdr:cNvSpPr>
      </xdr:nvSpPr>
      <xdr:spPr bwMode="auto">
        <a:xfrm>
          <a:off x="5695950" y="4457700"/>
          <a:ext cx="3819525" cy="161925"/>
        </a:xfrm>
        <a:prstGeom prst="rect">
          <a:avLst/>
        </a:prstGeom>
        <a:noFill/>
        <a:ln w="9525" algn="ctr">
          <a:noFill/>
          <a:miter lim="800000"/>
          <a:headEnd/>
          <a:tailEnd/>
        </a:ln>
        <a:effectLst/>
      </xdr:spPr>
      <xdr:txBody>
        <a:bodyPr anchor="ctr"/>
        <a:lstStyle/>
        <a:p>
          <a:pPr algn="l" rtl="0">
            <a:defRPr sz="1000"/>
          </a:pPr>
          <a:fld id="{AB8A0D23-19F7-4B37-AC57-32B8E1474F5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47</xdr:row>
      <xdr:rowOff>0</xdr:rowOff>
    </xdr:from>
    <xdr:to>
      <xdr:col>20</xdr:col>
      <xdr:colOff>6405</xdr:colOff>
      <xdr:row>48</xdr:row>
      <xdr:rowOff>0</xdr:rowOff>
    </xdr:to>
    <xdr:sp macro="" textlink="AS48">
      <xdr:nvSpPr>
        <xdr:cNvPr id="3942" name="Text Box 870"/>
        <xdr:cNvSpPr txBox="1">
          <a:spLocks noChangeArrowheads="1" noTextEdit="1"/>
        </xdr:cNvSpPr>
      </xdr:nvSpPr>
      <xdr:spPr bwMode="auto">
        <a:xfrm>
          <a:off x="5695950" y="4619625"/>
          <a:ext cx="3819525" cy="171450"/>
        </a:xfrm>
        <a:prstGeom prst="rect">
          <a:avLst/>
        </a:prstGeom>
        <a:noFill/>
        <a:ln w="9525" algn="ctr">
          <a:noFill/>
          <a:miter lim="800000"/>
          <a:headEnd/>
          <a:tailEnd/>
        </a:ln>
        <a:effectLst/>
      </xdr:spPr>
      <xdr:txBody>
        <a:bodyPr anchor="ctr"/>
        <a:lstStyle/>
        <a:p>
          <a:pPr algn="l" rtl="0">
            <a:defRPr sz="1000"/>
          </a:pPr>
          <a:fld id="{7EF59823-CDD8-49DA-8E16-8252229271E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48</xdr:row>
      <xdr:rowOff>0</xdr:rowOff>
    </xdr:from>
    <xdr:to>
      <xdr:col>20</xdr:col>
      <xdr:colOff>6405</xdr:colOff>
      <xdr:row>49</xdr:row>
      <xdr:rowOff>0</xdr:rowOff>
    </xdr:to>
    <xdr:sp macro="" textlink="AS49">
      <xdr:nvSpPr>
        <xdr:cNvPr id="3943" name="Text Box 871"/>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B54BA183-6065-402A-889E-4D03CBBFE6F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49</xdr:row>
      <xdr:rowOff>0</xdr:rowOff>
    </xdr:from>
    <xdr:to>
      <xdr:col>20</xdr:col>
      <xdr:colOff>6405</xdr:colOff>
      <xdr:row>50</xdr:row>
      <xdr:rowOff>0</xdr:rowOff>
    </xdr:to>
    <xdr:sp macro="" textlink="AS50">
      <xdr:nvSpPr>
        <xdr:cNvPr id="3944" name="Text Box 872"/>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51E29C2D-A47E-4E86-A147-39B09649778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50</xdr:row>
      <xdr:rowOff>0</xdr:rowOff>
    </xdr:from>
    <xdr:to>
      <xdr:col>20</xdr:col>
      <xdr:colOff>6405</xdr:colOff>
      <xdr:row>51</xdr:row>
      <xdr:rowOff>0</xdr:rowOff>
    </xdr:to>
    <xdr:sp macro="" textlink="AS51">
      <xdr:nvSpPr>
        <xdr:cNvPr id="3945" name="Text Box 873"/>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CAF1CB61-A7DC-442F-9418-2D4E41171FE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51</xdr:row>
      <xdr:rowOff>0</xdr:rowOff>
    </xdr:from>
    <xdr:to>
      <xdr:col>20</xdr:col>
      <xdr:colOff>6405</xdr:colOff>
      <xdr:row>51</xdr:row>
      <xdr:rowOff>164224</xdr:rowOff>
    </xdr:to>
    <xdr:sp macro="" textlink="AS52">
      <xdr:nvSpPr>
        <xdr:cNvPr id="3946" name="Text Box 874"/>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D8E38C16-46C5-4FFA-A377-383DF356496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51</xdr:row>
      <xdr:rowOff>164224</xdr:rowOff>
    </xdr:from>
    <xdr:to>
      <xdr:col>20</xdr:col>
      <xdr:colOff>6405</xdr:colOff>
      <xdr:row>53</xdr:row>
      <xdr:rowOff>0</xdr:rowOff>
    </xdr:to>
    <xdr:sp macro="" textlink="AS53">
      <xdr:nvSpPr>
        <xdr:cNvPr id="3947" name="Text Box 875"/>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96023F13-AC0D-4995-A147-4C355786CF2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53</xdr:row>
      <xdr:rowOff>0</xdr:rowOff>
    </xdr:from>
    <xdr:to>
      <xdr:col>20</xdr:col>
      <xdr:colOff>6405</xdr:colOff>
      <xdr:row>54</xdr:row>
      <xdr:rowOff>0</xdr:rowOff>
    </xdr:to>
    <xdr:sp macro="" textlink="AS54">
      <xdr:nvSpPr>
        <xdr:cNvPr id="3948" name="Text Box 876"/>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D5D7C003-E56A-48E3-BF7F-4792E6E7D6F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54</xdr:row>
      <xdr:rowOff>0</xdr:rowOff>
    </xdr:from>
    <xdr:to>
      <xdr:col>20</xdr:col>
      <xdr:colOff>6405</xdr:colOff>
      <xdr:row>55</xdr:row>
      <xdr:rowOff>0</xdr:rowOff>
    </xdr:to>
    <xdr:sp macro="" textlink="AS55">
      <xdr:nvSpPr>
        <xdr:cNvPr id="3949" name="Text Box 877"/>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83002C24-D17A-46B7-B3AB-BBD6D99B00B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55</xdr:row>
      <xdr:rowOff>0</xdr:rowOff>
    </xdr:from>
    <xdr:to>
      <xdr:col>20</xdr:col>
      <xdr:colOff>6405</xdr:colOff>
      <xdr:row>56</xdr:row>
      <xdr:rowOff>0</xdr:rowOff>
    </xdr:to>
    <xdr:sp macro="" textlink="AS56">
      <xdr:nvSpPr>
        <xdr:cNvPr id="3950" name="Text Box 878"/>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369D69B7-64EE-4E45-97BD-1D920D15F1A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56</xdr:row>
      <xdr:rowOff>0</xdr:rowOff>
    </xdr:from>
    <xdr:to>
      <xdr:col>20</xdr:col>
      <xdr:colOff>6405</xdr:colOff>
      <xdr:row>57</xdr:row>
      <xdr:rowOff>0</xdr:rowOff>
    </xdr:to>
    <xdr:sp macro="" textlink="AS57">
      <xdr:nvSpPr>
        <xdr:cNvPr id="3951" name="Text Box 879"/>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40C7FD9F-F54C-49F3-9940-50404A199C32}"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57</xdr:row>
      <xdr:rowOff>0</xdr:rowOff>
    </xdr:from>
    <xdr:to>
      <xdr:col>20</xdr:col>
      <xdr:colOff>6405</xdr:colOff>
      <xdr:row>58</xdr:row>
      <xdr:rowOff>0</xdr:rowOff>
    </xdr:to>
    <xdr:sp macro="" textlink="AS58">
      <xdr:nvSpPr>
        <xdr:cNvPr id="3952" name="Text Box 880"/>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2653CA6B-3731-4FCE-ACD4-2910CAE5F04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58</xdr:row>
      <xdr:rowOff>0</xdr:rowOff>
    </xdr:from>
    <xdr:to>
      <xdr:col>20</xdr:col>
      <xdr:colOff>6405</xdr:colOff>
      <xdr:row>58</xdr:row>
      <xdr:rowOff>164224</xdr:rowOff>
    </xdr:to>
    <xdr:sp macro="" textlink="AS59">
      <xdr:nvSpPr>
        <xdr:cNvPr id="3953" name="Text Box 881"/>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3132D1C1-E1D3-4D28-AF77-0C1551BD60E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58</xdr:row>
      <xdr:rowOff>164224</xdr:rowOff>
    </xdr:from>
    <xdr:to>
      <xdr:col>20</xdr:col>
      <xdr:colOff>6405</xdr:colOff>
      <xdr:row>60</xdr:row>
      <xdr:rowOff>0</xdr:rowOff>
    </xdr:to>
    <xdr:sp macro="" textlink="AS60">
      <xdr:nvSpPr>
        <xdr:cNvPr id="3954" name="Text Box 882"/>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1B19951D-3AA5-42A2-B141-D7915D8FB15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60</xdr:row>
      <xdr:rowOff>0</xdr:rowOff>
    </xdr:from>
    <xdr:to>
      <xdr:col>20</xdr:col>
      <xdr:colOff>6405</xdr:colOff>
      <xdr:row>61</xdr:row>
      <xdr:rowOff>0</xdr:rowOff>
    </xdr:to>
    <xdr:sp macro="" textlink="AS61">
      <xdr:nvSpPr>
        <xdr:cNvPr id="3955" name="Text Box 883"/>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8BE21A75-E992-4691-8D91-7C678F86EDE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61</xdr:row>
      <xdr:rowOff>0</xdr:rowOff>
    </xdr:from>
    <xdr:to>
      <xdr:col>20</xdr:col>
      <xdr:colOff>6405</xdr:colOff>
      <xdr:row>62</xdr:row>
      <xdr:rowOff>0</xdr:rowOff>
    </xdr:to>
    <xdr:sp macro="" textlink="AS62">
      <xdr:nvSpPr>
        <xdr:cNvPr id="3956" name="Text Box 884"/>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F55ADF57-E675-43D4-A78A-C1F6817705A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62</xdr:row>
      <xdr:rowOff>0</xdr:rowOff>
    </xdr:from>
    <xdr:to>
      <xdr:col>20</xdr:col>
      <xdr:colOff>6405</xdr:colOff>
      <xdr:row>63</xdr:row>
      <xdr:rowOff>0</xdr:rowOff>
    </xdr:to>
    <xdr:sp macro="" textlink="AS63">
      <xdr:nvSpPr>
        <xdr:cNvPr id="3957" name="Text Box 885"/>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4D8E096C-48A0-41E1-BC8D-B29E747B87E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63</xdr:row>
      <xdr:rowOff>0</xdr:rowOff>
    </xdr:from>
    <xdr:to>
      <xdr:col>20</xdr:col>
      <xdr:colOff>6405</xdr:colOff>
      <xdr:row>64</xdr:row>
      <xdr:rowOff>0</xdr:rowOff>
    </xdr:to>
    <xdr:sp macro="" textlink="AS64">
      <xdr:nvSpPr>
        <xdr:cNvPr id="3958" name="Text Box 886"/>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7CB90432-4699-4918-9D7C-0A056AC3022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64</xdr:row>
      <xdr:rowOff>0</xdr:rowOff>
    </xdr:from>
    <xdr:to>
      <xdr:col>20</xdr:col>
      <xdr:colOff>6405</xdr:colOff>
      <xdr:row>65</xdr:row>
      <xdr:rowOff>0</xdr:rowOff>
    </xdr:to>
    <xdr:sp macro="" textlink="AS65">
      <xdr:nvSpPr>
        <xdr:cNvPr id="3959" name="Text Box 887"/>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15643799-DAD4-4CC4-9F63-C88E5854B58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65</xdr:row>
      <xdr:rowOff>0</xdr:rowOff>
    </xdr:from>
    <xdr:to>
      <xdr:col>20</xdr:col>
      <xdr:colOff>6405</xdr:colOff>
      <xdr:row>66</xdr:row>
      <xdr:rowOff>0</xdr:rowOff>
    </xdr:to>
    <xdr:sp macro="" textlink="AS66">
      <xdr:nvSpPr>
        <xdr:cNvPr id="3960" name="Text Box 888"/>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A9741060-6F61-472F-AFE3-EB4EAF9C113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66</xdr:row>
      <xdr:rowOff>0</xdr:rowOff>
    </xdr:from>
    <xdr:to>
      <xdr:col>20</xdr:col>
      <xdr:colOff>6405</xdr:colOff>
      <xdr:row>66</xdr:row>
      <xdr:rowOff>164224</xdr:rowOff>
    </xdr:to>
    <xdr:sp macro="" textlink="AS67">
      <xdr:nvSpPr>
        <xdr:cNvPr id="3961" name="Text Box 889"/>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1B852575-2182-4127-9830-BE2334A39A3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66</xdr:row>
      <xdr:rowOff>164224</xdr:rowOff>
    </xdr:from>
    <xdr:to>
      <xdr:col>20</xdr:col>
      <xdr:colOff>6405</xdr:colOff>
      <xdr:row>68</xdr:row>
      <xdr:rowOff>0</xdr:rowOff>
    </xdr:to>
    <xdr:sp macro="" textlink="AS68">
      <xdr:nvSpPr>
        <xdr:cNvPr id="3962" name="Text Box 890"/>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A11C3BDE-ECDF-48A2-B0D6-440019D27CC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68</xdr:row>
      <xdr:rowOff>0</xdr:rowOff>
    </xdr:from>
    <xdr:to>
      <xdr:col>20</xdr:col>
      <xdr:colOff>6405</xdr:colOff>
      <xdr:row>69</xdr:row>
      <xdr:rowOff>0</xdr:rowOff>
    </xdr:to>
    <xdr:sp macro="" textlink="AS69">
      <xdr:nvSpPr>
        <xdr:cNvPr id="3963" name="Text Box 891"/>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927FF264-5649-4BD9-8A94-0C0263F1FCF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69</xdr:row>
      <xdr:rowOff>0</xdr:rowOff>
    </xdr:from>
    <xdr:to>
      <xdr:col>20</xdr:col>
      <xdr:colOff>6405</xdr:colOff>
      <xdr:row>70</xdr:row>
      <xdr:rowOff>0</xdr:rowOff>
    </xdr:to>
    <xdr:sp macro="" textlink="AS70">
      <xdr:nvSpPr>
        <xdr:cNvPr id="3964" name="Text Box 892"/>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F18C52DC-0348-4E82-8127-7920F752741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70</xdr:row>
      <xdr:rowOff>0</xdr:rowOff>
    </xdr:from>
    <xdr:to>
      <xdr:col>20</xdr:col>
      <xdr:colOff>6405</xdr:colOff>
      <xdr:row>71</xdr:row>
      <xdr:rowOff>0</xdr:rowOff>
    </xdr:to>
    <xdr:sp macro="" textlink="AS71">
      <xdr:nvSpPr>
        <xdr:cNvPr id="3965" name="Text Box 893"/>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E2855E11-544B-4CC9-BC2F-503670D7534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71</xdr:row>
      <xdr:rowOff>0</xdr:rowOff>
    </xdr:from>
    <xdr:to>
      <xdr:col>20</xdr:col>
      <xdr:colOff>6405</xdr:colOff>
      <xdr:row>72</xdr:row>
      <xdr:rowOff>0</xdr:rowOff>
    </xdr:to>
    <xdr:sp macro="" textlink="AS72">
      <xdr:nvSpPr>
        <xdr:cNvPr id="3966" name="Text Box 894"/>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F6BB8C87-B4CF-4B0C-ADD8-2E99B464517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72</xdr:row>
      <xdr:rowOff>0</xdr:rowOff>
    </xdr:from>
    <xdr:to>
      <xdr:col>20</xdr:col>
      <xdr:colOff>6405</xdr:colOff>
      <xdr:row>73</xdr:row>
      <xdr:rowOff>0</xdr:rowOff>
    </xdr:to>
    <xdr:sp macro="" textlink="AS73">
      <xdr:nvSpPr>
        <xdr:cNvPr id="3967" name="Text Box 895"/>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BEDF2EB2-0F40-44C7-B967-E64262C57506}"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73</xdr:row>
      <xdr:rowOff>0</xdr:rowOff>
    </xdr:from>
    <xdr:to>
      <xdr:col>20</xdr:col>
      <xdr:colOff>6405</xdr:colOff>
      <xdr:row>73</xdr:row>
      <xdr:rowOff>164224</xdr:rowOff>
    </xdr:to>
    <xdr:sp macro="" textlink="AS74">
      <xdr:nvSpPr>
        <xdr:cNvPr id="3968" name="Text Box 896"/>
        <xdr:cNvSpPr txBox="1">
          <a:spLocks noChangeArrowheads="1" noTextEdit="1"/>
        </xdr:cNvSpPr>
      </xdr:nvSpPr>
      <xdr:spPr bwMode="auto">
        <a:xfrm>
          <a:off x="5695950" y="4791075"/>
          <a:ext cx="3819525" cy="0"/>
        </a:xfrm>
        <a:prstGeom prst="rect">
          <a:avLst/>
        </a:prstGeom>
        <a:noFill/>
        <a:ln w="9525" algn="ctr">
          <a:noFill/>
          <a:miter lim="800000"/>
          <a:headEnd/>
          <a:tailEnd/>
        </a:ln>
        <a:effectLst/>
      </xdr:spPr>
      <xdr:txBody>
        <a:bodyPr anchor="ctr"/>
        <a:lstStyle/>
        <a:p>
          <a:pPr algn="l" rtl="0">
            <a:defRPr sz="1000"/>
          </a:pPr>
          <a:fld id="{772CBD04-DF93-4152-A36A-4F35E5A5CF1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115</xdr:row>
      <xdr:rowOff>0</xdr:rowOff>
    </xdr:from>
    <xdr:to>
      <xdr:col>20</xdr:col>
      <xdr:colOff>6405</xdr:colOff>
      <xdr:row>115</xdr:row>
      <xdr:rowOff>161925</xdr:rowOff>
    </xdr:to>
    <xdr:sp macro="" textlink="AS116">
      <xdr:nvSpPr>
        <xdr:cNvPr id="3971" name="Text Box 899"/>
        <xdr:cNvSpPr txBox="1">
          <a:spLocks noChangeArrowheads="1" noTextEdit="1"/>
        </xdr:cNvSpPr>
      </xdr:nvSpPr>
      <xdr:spPr bwMode="auto">
        <a:xfrm>
          <a:off x="5628881" y="15544800"/>
          <a:ext cx="3910144" cy="161925"/>
        </a:xfrm>
        <a:prstGeom prst="rect">
          <a:avLst/>
        </a:prstGeom>
        <a:noFill/>
        <a:ln w="9525" algn="ctr">
          <a:noFill/>
          <a:miter lim="800000"/>
          <a:headEnd/>
          <a:tailEnd/>
        </a:ln>
        <a:effectLst/>
      </xdr:spPr>
      <xdr:txBody>
        <a:bodyPr anchor="ctr"/>
        <a:lstStyle/>
        <a:p>
          <a:pPr algn="l" rtl="0">
            <a:defRPr sz="1000"/>
          </a:pPr>
          <a:fld id="{D9197331-C341-49B7-AD87-17A6B9B5286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xdr:col>
      <xdr:colOff>0</xdr:colOff>
      <xdr:row>31</xdr:row>
      <xdr:rowOff>340178</xdr:rowOff>
    </xdr:from>
    <xdr:to>
      <xdr:col>5</xdr:col>
      <xdr:colOff>523875</xdr:colOff>
      <xdr:row>31</xdr:row>
      <xdr:rowOff>340178</xdr:rowOff>
    </xdr:to>
    <xdr:sp macro="" textlink="">
      <xdr:nvSpPr>
        <xdr:cNvPr id="41118" name="Line 974"/>
        <xdr:cNvSpPr>
          <a:spLocks noChangeShapeType="1"/>
        </xdr:cNvSpPr>
      </xdr:nvSpPr>
      <xdr:spPr bwMode="auto">
        <a:xfrm>
          <a:off x="115661" y="1993446"/>
          <a:ext cx="2354035" cy="0"/>
        </a:xfrm>
        <a:prstGeom prst="line">
          <a:avLst/>
        </a:prstGeom>
        <a:noFill/>
        <a:ln w="9525">
          <a:solidFill>
            <a:srgbClr val="969696"/>
          </a:solidFill>
          <a:round/>
          <a:headEnd/>
          <a:tailEnd/>
        </a:ln>
      </xdr:spPr>
    </xdr:sp>
    <xdr:clientData/>
  </xdr:twoCellAnchor>
  <xdr:oneCellAnchor>
    <xdr:from>
      <xdr:col>18</xdr:col>
      <xdr:colOff>168543</xdr:colOff>
      <xdr:row>28</xdr:row>
      <xdr:rowOff>21106</xdr:rowOff>
    </xdr:from>
    <xdr:ext cx="256545" cy="117917"/>
    <xdr:sp macro="" textlink="$X$29">
      <xdr:nvSpPr>
        <xdr:cNvPr id="34259" name="TextBox 52"/>
        <xdr:cNvSpPr txBox="1">
          <a:spLocks noChangeArrowheads="1"/>
        </xdr:cNvSpPr>
      </xdr:nvSpPr>
      <xdr:spPr bwMode="auto">
        <a:xfrm>
          <a:off x="8274318" y="1164106"/>
          <a:ext cx="256545" cy="117917"/>
        </a:xfrm>
        <a:prstGeom prst="rect">
          <a:avLst/>
        </a:prstGeom>
        <a:noFill/>
        <a:ln w="9525">
          <a:noFill/>
          <a:miter lim="800000"/>
          <a:headEnd/>
          <a:tailEnd/>
        </a:ln>
      </xdr:spPr>
      <xdr:txBody>
        <a:bodyPr wrap="none" lIns="0" tIns="0" rIns="0" bIns="0" anchor="b" anchorCtr="0" upright="1">
          <a:spAutoFit/>
        </a:bodyPr>
        <a:lstStyle/>
        <a:p>
          <a:pPr algn="l" rtl="0">
            <a:defRPr sz="1000"/>
          </a:pPr>
          <a:fld id="{195C7BA2-3424-42E6-A74E-829FA9D45083}" type="TxLink">
            <a:rPr lang="en-AU" sz="800" b="0" i="0" u="none" strike="noStrike" baseline="0">
              <a:solidFill>
                <a:srgbClr val="000000"/>
              </a:solidFill>
              <a:latin typeface="Arial"/>
              <a:cs typeface="Arial"/>
            </a:rPr>
            <a:pPr algn="l" rtl="0">
              <a:defRPr sz="1000"/>
            </a:pPr>
            <a:t>(only)</a:t>
          </a:fld>
          <a:endParaRPr lang="en-AU" sz="800" b="0" i="0" u="none" strike="noStrike" baseline="0">
            <a:solidFill>
              <a:srgbClr val="000000"/>
            </a:solidFill>
            <a:latin typeface="Arial"/>
            <a:cs typeface="Arial"/>
          </a:endParaRPr>
        </a:p>
      </xdr:txBody>
    </xdr:sp>
    <xdr:clientData/>
  </xdr:oneCellAnchor>
  <xdr:twoCellAnchor>
    <xdr:from>
      <xdr:col>12</xdr:col>
      <xdr:colOff>378701</xdr:colOff>
      <xdr:row>74</xdr:row>
      <xdr:rowOff>0</xdr:rowOff>
    </xdr:from>
    <xdr:to>
      <xdr:col>20</xdr:col>
      <xdr:colOff>6405</xdr:colOff>
      <xdr:row>75</xdr:row>
      <xdr:rowOff>4204</xdr:rowOff>
    </xdr:to>
    <xdr:sp macro="" textlink="AS75">
      <xdr:nvSpPr>
        <xdr:cNvPr id="60" name="Text Box 896"/>
        <xdr:cNvSpPr txBox="1">
          <a:spLocks noChangeArrowheads="1" noTextEdit="1"/>
        </xdr:cNvSpPr>
      </xdr:nvSpPr>
      <xdr:spPr bwMode="auto">
        <a:xfrm>
          <a:off x="5628881" y="8983980"/>
          <a:ext cx="3910144" cy="164224"/>
        </a:xfrm>
        <a:prstGeom prst="rect">
          <a:avLst/>
        </a:prstGeom>
        <a:noFill/>
        <a:ln w="9525" algn="ctr">
          <a:noFill/>
          <a:miter lim="800000"/>
          <a:headEnd/>
          <a:tailEnd/>
        </a:ln>
        <a:effectLst/>
      </xdr:spPr>
      <xdr:txBody>
        <a:bodyPr anchor="ctr"/>
        <a:lstStyle/>
        <a:p>
          <a:pPr algn="l" rtl="0">
            <a:defRPr sz="1000"/>
          </a:pPr>
          <a:fld id="{C035084C-14B7-4D1C-B7E9-D5643BBC848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75</xdr:row>
      <xdr:rowOff>0</xdr:rowOff>
    </xdr:from>
    <xdr:to>
      <xdr:col>20</xdr:col>
      <xdr:colOff>6405</xdr:colOff>
      <xdr:row>76</xdr:row>
      <xdr:rowOff>4204</xdr:rowOff>
    </xdr:to>
    <xdr:sp macro="" textlink="AS76">
      <xdr:nvSpPr>
        <xdr:cNvPr id="62" name="Text Box 896"/>
        <xdr:cNvSpPr txBox="1">
          <a:spLocks noChangeArrowheads="1" noTextEdit="1"/>
        </xdr:cNvSpPr>
      </xdr:nvSpPr>
      <xdr:spPr bwMode="auto">
        <a:xfrm>
          <a:off x="5628881" y="9144000"/>
          <a:ext cx="3910144" cy="164224"/>
        </a:xfrm>
        <a:prstGeom prst="rect">
          <a:avLst/>
        </a:prstGeom>
        <a:noFill/>
        <a:ln w="9525" algn="ctr">
          <a:noFill/>
          <a:miter lim="800000"/>
          <a:headEnd/>
          <a:tailEnd/>
        </a:ln>
        <a:effectLst/>
      </xdr:spPr>
      <xdr:txBody>
        <a:bodyPr anchor="ctr"/>
        <a:lstStyle/>
        <a:p>
          <a:pPr algn="l" rtl="0">
            <a:defRPr sz="1000"/>
          </a:pPr>
          <a:fld id="{D988B978-9D15-4881-944C-0B9FEF0B61D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76</xdr:row>
      <xdr:rowOff>0</xdr:rowOff>
    </xdr:from>
    <xdr:to>
      <xdr:col>20</xdr:col>
      <xdr:colOff>6405</xdr:colOff>
      <xdr:row>77</xdr:row>
      <xdr:rowOff>4204</xdr:rowOff>
    </xdr:to>
    <xdr:sp macro="" textlink="AS77">
      <xdr:nvSpPr>
        <xdr:cNvPr id="65" name="Text Box 896"/>
        <xdr:cNvSpPr txBox="1">
          <a:spLocks noChangeArrowheads="1" noTextEdit="1"/>
        </xdr:cNvSpPr>
      </xdr:nvSpPr>
      <xdr:spPr bwMode="auto">
        <a:xfrm>
          <a:off x="5628881" y="9304020"/>
          <a:ext cx="3910144" cy="164224"/>
        </a:xfrm>
        <a:prstGeom prst="rect">
          <a:avLst/>
        </a:prstGeom>
        <a:noFill/>
        <a:ln w="9525" algn="ctr">
          <a:noFill/>
          <a:miter lim="800000"/>
          <a:headEnd/>
          <a:tailEnd/>
        </a:ln>
        <a:effectLst/>
      </xdr:spPr>
      <xdr:txBody>
        <a:bodyPr anchor="ctr"/>
        <a:lstStyle/>
        <a:p>
          <a:pPr algn="l" rtl="0">
            <a:defRPr sz="1000"/>
          </a:pPr>
          <a:fld id="{773A93AA-687F-4414-A9DC-321BB770EDF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77</xdr:row>
      <xdr:rowOff>0</xdr:rowOff>
    </xdr:from>
    <xdr:to>
      <xdr:col>20</xdr:col>
      <xdr:colOff>6405</xdr:colOff>
      <xdr:row>78</xdr:row>
      <xdr:rowOff>4204</xdr:rowOff>
    </xdr:to>
    <xdr:sp macro="" textlink="AS78">
      <xdr:nvSpPr>
        <xdr:cNvPr id="68" name="Text Box 896"/>
        <xdr:cNvSpPr txBox="1">
          <a:spLocks noChangeArrowheads="1" noTextEdit="1"/>
        </xdr:cNvSpPr>
      </xdr:nvSpPr>
      <xdr:spPr bwMode="auto">
        <a:xfrm>
          <a:off x="5628881" y="9464040"/>
          <a:ext cx="3910144" cy="164224"/>
        </a:xfrm>
        <a:prstGeom prst="rect">
          <a:avLst/>
        </a:prstGeom>
        <a:noFill/>
        <a:ln w="9525" algn="ctr">
          <a:noFill/>
          <a:miter lim="800000"/>
          <a:headEnd/>
          <a:tailEnd/>
        </a:ln>
        <a:effectLst/>
      </xdr:spPr>
      <xdr:txBody>
        <a:bodyPr anchor="ctr"/>
        <a:lstStyle/>
        <a:p>
          <a:pPr algn="l" rtl="0">
            <a:defRPr sz="1000"/>
          </a:pPr>
          <a:fld id="{53EBDBE5-2859-4475-A96F-A713BEE90B2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78</xdr:row>
      <xdr:rowOff>0</xdr:rowOff>
    </xdr:from>
    <xdr:to>
      <xdr:col>20</xdr:col>
      <xdr:colOff>6405</xdr:colOff>
      <xdr:row>79</xdr:row>
      <xdr:rowOff>4204</xdr:rowOff>
    </xdr:to>
    <xdr:sp macro="" textlink="AS79">
      <xdr:nvSpPr>
        <xdr:cNvPr id="71" name="Text Box 896"/>
        <xdr:cNvSpPr txBox="1">
          <a:spLocks noChangeArrowheads="1" noTextEdit="1"/>
        </xdr:cNvSpPr>
      </xdr:nvSpPr>
      <xdr:spPr bwMode="auto">
        <a:xfrm>
          <a:off x="5628881" y="9624060"/>
          <a:ext cx="3910144" cy="164224"/>
        </a:xfrm>
        <a:prstGeom prst="rect">
          <a:avLst/>
        </a:prstGeom>
        <a:noFill/>
        <a:ln w="9525" algn="ctr">
          <a:noFill/>
          <a:miter lim="800000"/>
          <a:headEnd/>
          <a:tailEnd/>
        </a:ln>
        <a:effectLst/>
      </xdr:spPr>
      <xdr:txBody>
        <a:bodyPr anchor="ctr"/>
        <a:lstStyle/>
        <a:p>
          <a:pPr algn="l" rtl="0">
            <a:defRPr sz="1000"/>
          </a:pPr>
          <a:fld id="{2197D0D2-3055-41A9-B5E3-672108A1B101}"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79</xdr:row>
      <xdr:rowOff>0</xdr:rowOff>
    </xdr:from>
    <xdr:to>
      <xdr:col>20</xdr:col>
      <xdr:colOff>6405</xdr:colOff>
      <xdr:row>80</xdr:row>
      <xdr:rowOff>4204</xdr:rowOff>
    </xdr:to>
    <xdr:sp macro="" textlink="AS80">
      <xdr:nvSpPr>
        <xdr:cNvPr id="74" name="Text Box 896"/>
        <xdr:cNvSpPr txBox="1">
          <a:spLocks noChangeArrowheads="1" noTextEdit="1"/>
        </xdr:cNvSpPr>
      </xdr:nvSpPr>
      <xdr:spPr bwMode="auto">
        <a:xfrm>
          <a:off x="5628881" y="9784080"/>
          <a:ext cx="3910144" cy="164224"/>
        </a:xfrm>
        <a:prstGeom prst="rect">
          <a:avLst/>
        </a:prstGeom>
        <a:noFill/>
        <a:ln w="9525" algn="ctr">
          <a:noFill/>
          <a:miter lim="800000"/>
          <a:headEnd/>
          <a:tailEnd/>
        </a:ln>
        <a:effectLst/>
      </xdr:spPr>
      <xdr:txBody>
        <a:bodyPr anchor="ctr"/>
        <a:lstStyle/>
        <a:p>
          <a:pPr algn="l" rtl="0">
            <a:defRPr sz="1000"/>
          </a:pPr>
          <a:fld id="{825684CB-A26B-4575-9C25-85A89041FE0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80</xdr:row>
      <xdr:rowOff>0</xdr:rowOff>
    </xdr:from>
    <xdr:to>
      <xdr:col>20</xdr:col>
      <xdr:colOff>6405</xdr:colOff>
      <xdr:row>81</xdr:row>
      <xdr:rowOff>4204</xdr:rowOff>
    </xdr:to>
    <xdr:sp macro="" textlink="AS81">
      <xdr:nvSpPr>
        <xdr:cNvPr id="77" name="Text Box 896"/>
        <xdr:cNvSpPr txBox="1">
          <a:spLocks noChangeArrowheads="1" noTextEdit="1"/>
        </xdr:cNvSpPr>
      </xdr:nvSpPr>
      <xdr:spPr bwMode="auto">
        <a:xfrm>
          <a:off x="5628881" y="9944100"/>
          <a:ext cx="3910144" cy="164224"/>
        </a:xfrm>
        <a:prstGeom prst="rect">
          <a:avLst/>
        </a:prstGeom>
        <a:noFill/>
        <a:ln w="9525" algn="ctr">
          <a:noFill/>
          <a:miter lim="800000"/>
          <a:headEnd/>
          <a:tailEnd/>
        </a:ln>
        <a:effectLst/>
      </xdr:spPr>
      <xdr:txBody>
        <a:bodyPr anchor="ctr"/>
        <a:lstStyle/>
        <a:p>
          <a:pPr algn="l" rtl="0">
            <a:defRPr sz="1000"/>
          </a:pPr>
          <a:fld id="{BE6E2DD9-2DF5-47C9-9005-63385ABB693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81</xdr:row>
      <xdr:rowOff>0</xdr:rowOff>
    </xdr:from>
    <xdr:to>
      <xdr:col>20</xdr:col>
      <xdr:colOff>6405</xdr:colOff>
      <xdr:row>82</xdr:row>
      <xdr:rowOff>4204</xdr:rowOff>
    </xdr:to>
    <xdr:sp macro="" textlink="AS82">
      <xdr:nvSpPr>
        <xdr:cNvPr id="80" name="Text Box 896"/>
        <xdr:cNvSpPr txBox="1">
          <a:spLocks noChangeArrowheads="1" noTextEdit="1"/>
        </xdr:cNvSpPr>
      </xdr:nvSpPr>
      <xdr:spPr bwMode="auto">
        <a:xfrm>
          <a:off x="5628881" y="10104120"/>
          <a:ext cx="3910144" cy="164224"/>
        </a:xfrm>
        <a:prstGeom prst="rect">
          <a:avLst/>
        </a:prstGeom>
        <a:noFill/>
        <a:ln w="9525" algn="ctr">
          <a:noFill/>
          <a:miter lim="800000"/>
          <a:headEnd/>
          <a:tailEnd/>
        </a:ln>
        <a:effectLst/>
      </xdr:spPr>
      <xdr:txBody>
        <a:bodyPr anchor="ctr"/>
        <a:lstStyle/>
        <a:p>
          <a:pPr algn="l" rtl="0">
            <a:defRPr sz="1000"/>
          </a:pPr>
          <a:fld id="{F673821A-21DC-42D3-B658-88B3DCF1669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82</xdr:row>
      <xdr:rowOff>0</xdr:rowOff>
    </xdr:from>
    <xdr:to>
      <xdr:col>20</xdr:col>
      <xdr:colOff>6405</xdr:colOff>
      <xdr:row>83</xdr:row>
      <xdr:rowOff>4204</xdr:rowOff>
    </xdr:to>
    <xdr:sp macro="" textlink="AS83">
      <xdr:nvSpPr>
        <xdr:cNvPr id="83" name="Text Box 896"/>
        <xdr:cNvSpPr txBox="1">
          <a:spLocks noChangeArrowheads="1" noTextEdit="1"/>
        </xdr:cNvSpPr>
      </xdr:nvSpPr>
      <xdr:spPr bwMode="auto">
        <a:xfrm>
          <a:off x="5628881" y="10264140"/>
          <a:ext cx="3910144" cy="164224"/>
        </a:xfrm>
        <a:prstGeom prst="rect">
          <a:avLst/>
        </a:prstGeom>
        <a:noFill/>
        <a:ln w="9525" algn="ctr">
          <a:noFill/>
          <a:miter lim="800000"/>
          <a:headEnd/>
          <a:tailEnd/>
        </a:ln>
        <a:effectLst/>
      </xdr:spPr>
      <xdr:txBody>
        <a:bodyPr anchor="ctr"/>
        <a:lstStyle/>
        <a:p>
          <a:pPr algn="l" rtl="0">
            <a:defRPr sz="1000"/>
          </a:pPr>
          <a:fld id="{ED7268BF-FF23-4C1D-970C-7D5D0754B7C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83</xdr:row>
      <xdr:rowOff>0</xdr:rowOff>
    </xdr:from>
    <xdr:to>
      <xdr:col>20</xdr:col>
      <xdr:colOff>6405</xdr:colOff>
      <xdr:row>84</xdr:row>
      <xdr:rowOff>4204</xdr:rowOff>
    </xdr:to>
    <xdr:sp macro="" textlink="AS84">
      <xdr:nvSpPr>
        <xdr:cNvPr id="86" name="Text Box 896"/>
        <xdr:cNvSpPr txBox="1">
          <a:spLocks noChangeArrowheads="1" noTextEdit="1"/>
        </xdr:cNvSpPr>
      </xdr:nvSpPr>
      <xdr:spPr bwMode="auto">
        <a:xfrm>
          <a:off x="5628881" y="10424160"/>
          <a:ext cx="3910144" cy="164224"/>
        </a:xfrm>
        <a:prstGeom prst="rect">
          <a:avLst/>
        </a:prstGeom>
        <a:noFill/>
        <a:ln w="9525" algn="ctr">
          <a:noFill/>
          <a:miter lim="800000"/>
          <a:headEnd/>
          <a:tailEnd/>
        </a:ln>
        <a:effectLst/>
      </xdr:spPr>
      <xdr:txBody>
        <a:bodyPr anchor="ctr"/>
        <a:lstStyle/>
        <a:p>
          <a:pPr algn="l" rtl="0">
            <a:defRPr sz="1000"/>
          </a:pPr>
          <a:fld id="{A936BA47-6253-4B9A-9BCB-6D4C55B3E1BC}"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84</xdr:row>
      <xdr:rowOff>0</xdr:rowOff>
    </xdr:from>
    <xdr:to>
      <xdr:col>20</xdr:col>
      <xdr:colOff>6405</xdr:colOff>
      <xdr:row>85</xdr:row>
      <xdr:rowOff>4204</xdr:rowOff>
    </xdr:to>
    <xdr:sp macro="" textlink="AS85">
      <xdr:nvSpPr>
        <xdr:cNvPr id="89" name="Text Box 896"/>
        <xdr:cNvSpPr txBox="1">
          <a:spLocks noChangeArrowheads="1" noTextEdit="1"/>
        </xdr:cNvSpPr>
      </xdr:nvSpPr>
      <xdr:spPr bwMode="auto">
        <a:xfrm>
          <a:off x="5628881" y="10584180"/>
          <a:ext cx="3910144" cy="164224"/>
        </a:xfrm>
        <a:prstGeom prst="rect">
          <a:avLst/>
        </a:prstGeom>
        <a:noFill/>
        <a:ln w="9525" algn="ctr">
          <a:noFill/>
          <a:miter lim="800000"/>
          <a:headEnd/>
          <a:tailEnd/>
        </a:ln>
        <a:effectLst/>
      </xdr:spPr>
      <xdr:txBody>
        <a:bodyPr anchor="ctr"/>
        <a:lstStyle/>
        <a:p>
          <a:pPr algn="l" rtl="0">
            <a:defRPr sz="1000"/>
          </a:pPr>
          <a:fld id="{FB96D5F0-384F-4008-943F-ED7787BE724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85</xdr:row>
      <xdr:rowOff>0</xdr:rowOff>
    </xdr:from>
    <xdr:to>
      <xdr:col>20</xdr:col>
      <xdr:colOff>6405</xdr:colOff>
      <xdr:row>86</xdr:row>
      <xdr:rowOff>4204</xdr:rowOff>
    </xdr:to>
    <xdr:sp macro="" textlink="AS86">
      <xdr:nvSpPr>
        <xdr:cNvPr id="92" name="Text Box 896"/>
        <xdr:cNvSpPr txBox="1">
          <a:spLocks noChangeArrowheads="1" noTextEdit="1"/>
        </xdr:cNvSpPr>
      </xdr:nvSpPr>
      <xdr:spPr bwMode="auto">
        <a:xfrm>
          <a:off x="5628881" y="10744200"/>
          <a:ext cx="3910144" cy="164224"/>
        </a:xfrm>
        <a:prstGeom prst="rect">
          <a:avLst/>
        </a:prstGeom>
        <a:noFill/>
        <a:ln w="9525" algn="ctr">
          <a:noFill/>
          <a:miter lim="800000"/>
          <a:headEnd/>
          <a:tailEnd/>
        </a:ln>
        <a:effectLst/>
      </xdr:spPr>
      <xdr:txBody>
        <a:bodyPr anchor="ctr"/>
        <a:lstStyle/>
        <a:p>
          <a:pPr algn="l" rtl="0">
            <a:defRPr sz="1000"/>
          </a:pPr>
          <a:fld id="{12A84663-2CB3-48D0-AC41-111238334BB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86</xdr:row>
      <xdr:rowOff>0</xdr:rowOff>
    </xdr:from>
    <xdr:to>
      <xdr:col>20</xdr:col>
      <xdr:colOff>6405</xdr:colOff>
      <xdr:row>87</xdr:row>
      <xdr:rowOff>4204</xdr:rowOff>
    </xdr:to>
    <xdr:sp macro="" textlink="AS87">
      <xdr:nvSpPr>
        <xdr:cNvPr id="95" name="Text Box 896"/>
        <xdr:cNvSpPr txBox="1">
          <a:spLocks noChangeArrowheads="1" noTextEdit="1"/>
        </xdr:cNvSpPr>
      </xdr:nvSpPr>
      <xdr:spPr bwMode="auto">
        <a:xfrm>
          <a:off x="5628881" y="10904220"/>
          <a:ext cx="3910144" cy="164224"/>
        </a:xfrm>
        <a:prstGeom prst="rect">
          <a:avLst/>
        </a:prstGeom>
        <a:noFill/>
        <a:ln w="9525" algn="ctr">
          <a:noFill/>
          <a:miter lim="800000"/>
          <a:headEnd/>
          <a:tailEnd/>
        </a:ln>
        <a:effectLst/>
      </xdr:spPr>
      <xdr:txBody>
        <a:bodyPr anchor="ctr"/>
        <a:lstStyle/>
        <a:p>
          <a:pPr algn="l" rtl="0">
            <a:defRPr sz="1000"/>
          </a:pPr>
          <a:fld id="{5CAA243F-0557-4864-ACF3-7DFC3A7E166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87</xdr:row>
      <xdr:rowOff>0</xdr:rowOff>
    </xdr:from>
    <xdr:to>
      <xdr:col>20</xdr:col>
      <xdr:colOff>6405</xdr:colOff>
      <xdr:row>88</xdr:row>
      <xdr:rowOff>4204</xdr:rowOff>
    </xdr:to>
    <xdr:sp macro="" textlink="AS88">
      <xdr:nvSpPr>
        <xdr:cNvPr id="98" name="Text Box 896"/>
        <xdr:cNvSpPr txBox="1">
          <a:spLocks noChangeArrowheads="1" noTextEdit="1"/>
        </xdr:cNvSpPr>
      </xdr:nvSpPr>
      <xdr:spPr bwMode="auto">
        <a:xfrm>
          <a:off x="5628881" y="11064240"/>
          <a:ext cx="3910144" cy="164224"/>
        </a:xfrm>
        <a:prstGeom prst="rect">
          <a:avLst/>
        </a:prstGeom>
        <a:noFill/>
        <a:ln w="9525" algn="ctr">
          <a:noFill/>
          <a:miter lim="800000"/>
          <a:headEnd/>
          <a:tailEnd/>
        </a:ln>
        <a:effectLst/>
      </xdr:spPr>
      <xdr:txBody>
        <a:bodyPr anchor="ctr"/>
        <a:lstStyle/>
        <a:p>
          <a:pPr algn="l" rtl="0">
            <a:defRPr sz="1000"/>
          </a:pPr>
          <a:fld id="{9FA38E94-EC80-4A77-B5A3-E9C7D387413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88</xdr:row>
      <xdr:rowOff>0</xdr:rowOff>
    </xdr:from>
    <xdr:to>
      <xdr:col>20</xdr:col>
      <xdr:colOff>6405</xdr:colOff>
      <xdr:row>89</xdr:row>
      <xdr:rowOff>4204</xdr:rowOff>
    </xdr:to>
    <xdr:sp macro="" textlink="AS89">
      <xdr:nvSpPr>
        <xdr:cNvPr id="101" name="Text Box 896"/>
        <xdr:cNvSpPr txBox="1">
          <a:spLocks noChangeArrowheads="1" noTextEdit="1"/>
        </xdr:cNvSpPr>
      </xdr:nvSpPr>
      <xdr:spPr bwMode="auto">
        <a:xfrm>
          <a:off x="5628881" y="11224260"/>
          <a:ext cx="3910144" cy="164224"/>
        </a:xfrm>
        <a:prstGeom prst="rect">
          <a:avLst/>
        </a:prstGeom>
        <a:noFill/>
        <a:ln w="9525" algn="ctr">
          <a:noFill/>
          <a:miter lim="800000"/>
          <a:headEnd/>
          <a:tailEnd/>
        </a:ln>
        <a:effectLst/>
      </xdr:spPr>
      <xdr:txBody>
        <a:bodyPr anchor="ctr"/>
        <a:lstStyle/>
        <a:p>
          <a:pPr algn="l" rtl="0">
            <a:defRPr sz="1000"/>
          </a:pPr>
          <a:fld id="{204EE93E-B1FC-4DC4-8A40-B8CAC702330E}"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89</xdr:row>
      <xdr:rowOff>0</xdr:rowOff>
    </xdr:from>
    <xdr:to>
      <xdr:col>20</xdr:col>
      <xdr:colOff>6405</xdr:colOff>
      <xdr:row>90</xdr:row>
      <xdr:rowOff>4204</xdr:rowOff>
    </xdr:to>
    <xdr:sp macro="" textlink="AS90">
      <xdr:nvSpPr>
        <xdr:cNvPr id="104" name="Text Box 896"/>
        <xdr:cNvSpPr txBox="1">
          <a:spLocks noChangeArrowheads="1" noTextEdit="1"/>
        </xdr:cNvSpPr>
      </xdr:nvSpPr>
      <xdr:spPr bwMode="auto">
        <a:xfrm>
          <a:off x="5628881" y="11384280"/>
          <a:ext cx="3910144" cy="164224"/>
        </a:xfrm>
        <a:prstGeom prst="rect">
          <a:avLst/>
        </a:prstGeom>
        <a:noFill/>
        <a:ln w="9525" algn="ctr">
          <a:noFill/>
          <a:miter lim="800000"/>
          <a:headEnd/>
          <a:tailEnd/>
        </a:ln>
        <a:effectLst/>
      </xdr:spPr>
      <xdr:txBody>
        <a:bodyPr anchor="ctr"/>
        <a:lstStyle/>
        <a:p>
          <a:pPr algn="l" rtl="0">
            <a:defRPr sz="1000"/>
          </a:pPr>
          <a:fld id="{48C7E900-AE1D-4516-96A0-2FF09A34957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90</xdr:row>
      <xdr:rowOff>0</xdr:rowOff>
    </xdr:from>
    <xdr:to>
      <xdr:col>20</xdr:col>
      <xdr:colOff>6405</xdr:colOff>
      <xdr:row>91</xdr:row>
      <xdr:rowOff>4204</xdr:rowOff>
    </xdr:to>
    <xdr:sp macro="" textlink="AS91">
      <xdr:nvSpPr>
        <xdr:cNvPr id="107" name="Text Box 896"/>
        <xdr:cNvSpPr txBox="1">
          <a:spLocks noChangeArrowheads="1" noTextEdit="1"/>
        </xdr:cNvSpPr>
      </xdr:nvSpPr>
      <xdr:spPr bwMode="auto">
        <a:xfrm>
          <a:off x="5628881" y="11544300"/>
          <a:ext cx="3910144" cy="164224"/>
        </a:xfrm>
        <a:prstGeom prst="rect">
          <a:avLst/>
        </a:prstGeom>
        <a:noFill/>
        <a:ln w="9525" algn="ctr">
          <a:noFill/>
          <a:miter lim="800000"/>
          <a:headEnd/>
          <a:tailEnd/>
        </a:ln>
        <a:effectLst/>
      </xdr:spPr>
      <xdr:txBody>
        <a:bodyPr anchor="ctr"/>
        <a:lstStyle/>
        <a:p>
          <a:pPr algn="l" rtl="0">
            <a:defRPr sz="1000"/>
          </a:pPr>
          <a:fld id="{9794EBAB-14E8-44C3-A817-DF6A0A1B731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91</xdr:row>
      <xdr:rowOff>0</xdr:rowOff>
    </xdr:from>
    <xdr:to>
      <xdr:col>20</xdr:col>
      <xdr:colOff>6405</xdr:colOff>
      <xdr:row>92</xdr:row>
      <xdr:rowOff>4204</xdr:rowOff>
    </xdr:to>
    <xdr:sp macro="" textlink="AS92">
      <xdr:nvSpPr>
        <xdr:cNvPr id="110" name="Text Box 896"/>
        <xdr:cNvSpPr txBox="1">
          <a:spLocks noChangeArrowheads="1" noTextEdit="1"/>
        </xdr:cNvSpPr>
      </xdr:nvSpPr>
      <xdr:spPr bwMode="auto">
        <a:xfrm>
          <a:off x="5628881" y="11704320"/>
          <a:ext cx="3910144" cy="164224"/>
        </a:xfrm>
        <a:prstGeom prst="rect">
          <a:avLst/>
        </a:prstGeom>
        <a:noFill/>
        <a:ln w="9525" algn="ctr">
          <a:noFill/>
          <a:miter lim="800000"/>
          <a:headEnd/>
          <a:tailEnd/>
        </a:ln>
        <a:effectLst/>
      </xdr:spPr>
      <xdr:txBody>
        <a:bodyPr anchor="ctr"/>
        <a:lstStyle/>
        <a:p>
          <a:pPr algn="l" rtl="0">
            <a:defRPr sz="1000"/>
          </a:pPr>
          <a:fld id="{31EC8AD4-A5ED-4B9E-93CC-5232A6BF1C22}"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92</xdr:row>
      <xdr:rowOff>0</xdr:rowOff>
    </xdr:from>
    <xdr:to>
      <xdr:col>20</xdr:col>
      <xdr:colOff>6405</xdr:colOff>
      <xdr:row>93</xdr:row>
      <xdr:rowOff>4204</xdr:rowOff>
    </xdr:to>
    <xdr:sp macro="" textlink="AS93">
      <xdr:nvSpPr>
        <xdr:cNvPr id="113" name="Text Box 896"/>
        <xdr:cNvSpPr txBox="1">
          <a:spLocks noChangeArrowheads="1" noTextEdit="1"/>
        </xdr:cNvSpPr>
      </xdr:nvSpPr>
      <xdr:spPr bwMode="auto">
        <a:xfrm>
          <a:off x="5628881" y="11864340"/>
          <a:ext cx="3910144" cy="164224"/>
        </a:xfrm>
        <a:prstGeom prst="rect">
          <a:avLst/>
        </a:prstGeom>
        <a:noFill/>
        <a:ln w="9525" algn="ctr">
          <a:noFill/>
          <a:miter lim="800000"/>
          <a:headEnd/>
          <a:tailEnd/>
        </a:ln>
        <a:effectLst/>
      </xdr:spPr>
      <xdr:txBody>
        <a:bodyPr anchor="ctr"/>
        <a:lstStyle/>
        <a:p>
          <a:pPr algn="l" rtl="0">
            <a:defRPr sz="1000"/>
          </a:pPr>
          <a:fld id="{227B3F19-204E-46C3-A5A2-0E30923ABAAD}"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93</xdr:row>
      <xdr:rowOff>0</xdr:rowOff>
    </xdr:from>
    <xdr:to>
      <xdr:col>20</xdr:col>
      <xdr:colOff>6405</xdr:colOff>
      <xdr:row>94</xdr:row>
      <xdr:rowOff>4204</xdr:rowOff>
    </xdr:to>
    <xdr:sp macro="" textlink="AS94">
      <xdr:nvSpPr>
        <xdr:cNvPr id="116" name="Text Box 896"/>
        <xdr:cNvSpPr txBox="1">
          <a:spLocks noChangeArrowheads="1" noTextEdit="1"/>
        </xdr:cNvSpPr>
      </xdr:nvSpPr>
      <xdr:spPr bwMode="auto">
        <a:xfrm>
          <a:off x="5628881" y="12024360"/>
          <a:ext cx="3910144" cy="164224"/>
        </a:xfrm>
        <a:prstGeom prst="rect">
          <a:avLst/>
        </a:prstGeom>
        <a:noFill/>
        <a:ln w="9525" algn="ctr">
          <a:noFill/>
          <a:miter lim="800000"/>
          <a:headEnd/>
          <a:tailEnd/>
        </a:ln>
        <a:effectLst/>
      </xdr:spPr>
      <xdr:txBody>
        <a:bodyPr anchor="ctr"/>
        <a:lstStyle/>
        <a:p>
          <a:pPr algn="l" rtl="0">
            <a:defRPr sz="1000"/>
          </a:pPr>
          <a:fld id="{795D69DE-F57F-407A-BAAB-501C31497C2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94</xdr:row>
      <xdr:rowOff>0</xdr:rowOff>
    </xdr:from>
    <xdr:to>
      <xdr:col>20</xdr:col>
      <xdr:colOff>6405</xdr:colOff>
      <xdr:row>95</xdr:row>
      <xdr:rowOff>4204</xdr:rowOff>
    </xdr:to>
    <xdr:sp macro="" textlink="AS95">
      <xdr:nvSpPr>
        <xdr:cNvPr id="119" name="Text Box 896"/>
        <xdr:cNvSpPr txBox="1">
          <a:spLocks noChangeArrowheads="1" noTextEdit="1"/>
        </xdr:cNvSpPr>
      </xdr:nvSpPr>
      <xdr:spPr bwMode="auto">
        <a:xfrm>
          <a:off x="5628881" y="12184380"/>
          <a:ext cx="3910144" cy="164224"/>
        </a:xfrm>
        <a:prstGeom prst="rect">
          <a:avLst/>
        </a:prstGeom>
        <a:noFill/>
        <a:ln w="9525" algn="ctr">
          <a:noFill/>
          <a:miter lim="800000"/>
          <a:headEnd/>
          <a:tailEnd/>
        </a:ln>
        <a:effectLst/>
      </xdr:spPr>
      <xdr:txBody>
        <a:bodyPr anchor="ctr"/>
        <a:lstStyle/>
        <a:p>
          <a:pPr algn="l" rtl="0">
            <a:defRPr sz="1000"/>
          </a:pPr>
          <a:fld id="{BEB011EA-BED1-471E-985B-E13737CB5596}"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95</xdr:row>
      <xdr:rowOff>0</xdr:rowOff>
    </xdr:from>
    <xdr:to>
      <xdr:col>20</xdr:col>
      <xdr:colOff>6405</xdr:colOff>
      <xdr:row>96</xdr:row>
      <xdr:rowOff>4204</xdr:rowOff>
    </xdr:to>
    <xdr:sp macro="" textlink="AS96">
      <xdr:nvSpPr>
        <xdr:cNvPr id="122" name="Text Box 896"/>
        <xdr:cNvSpPr txBox="1">
          <a:spLocks noChangeArrowheads="1" noTextEdit="1"/>
        </xdr:cNvSpPr>
      </xdr:nvSpPr>
      <xdr:spPr bwMode="auto">
        <a:xfrm>
          <a:off x="5628881" y="12344400"/>
          <a:ext cx="3910144" cy="164224"/>
        </a:xfrm>
        <a:prstGeom prst="rect">
          <a:avLst/>
        </a:prstGeom>
        <a:noFill/>
        <a:ln w="9525" algn="ctr">
          <a:noFill/>
          <a:miter lim="800000"/>
          <a:headEnd/>
          <a:tailEnd/>
        </a:ln>
        <a:effectLst/>
      </xdr:spPr>
      <xdr:txBody>
        <a:bodyPr anchor="ctr"/>
        <a:lstStyle/>
        <a:p>
          <a:pPr algn="l" rtl="0">
            <a:defRPr sz="1000"/>
          </a:pPr>
          <a:fld id="{C761C3B9-CE95-4EB2-8858-93BB532A6A05}"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96</xdr:row>
      <xdr:rowOff>0</xdr:rowOff>
    </xdr:from>
    <xdr:to>
      <xdr:col>20</xdr:col>
      <xdr:colOff>6405</xdr:colOff>
      <xdr:row>97</xdr:row>
      <xdr:rowOff>4204</xdr:rowOff>
    </xdr:to>
    <xdr:sp macro="" textlink="AS97">
      <xdr:nvSpPr>
        <xdr:cNvPr id="125" name="Text Box 896"/>
        <xdr:cNvSpPr txBox="1">
          <a:spLocks noChangeArrowheads="1" noTextEdit="1"/>
        </xdr:cNvSpPr>
      </xdr:nvSpPr>
      <xdr:spPr bwMode="auto">
        <a:xfrm>
          <a:off x="5628881" y="12504420"/>
          <a:ext cx="3910144" cy="164224"/>
        </a:xfrm>
        <a:prstGeom prst="rect">
          <a:avLst/>
        </a:prstGeom>
        <a:noFill/>
        <a:ln w="9525" algn="ctr">
          <a:noFill/>
          <a:miter lim="800000"/>
          <a:headEnd/>
          <a:tailEnd/>
        </a:ln>
        <a:effectLst/>
      </xdr:spPr>
      <xdr:txBody>
        <a:bodyPr anchor="ctr"/>
        <a:lstStyle/>
        <a:p>
          <a:pPr algn="l" rtl="0">
            <a:defRPr sz="1000"/>
          </a:pPr>
          <a:fld id="{F27915FC-C321-404D-85D1-984123CD8BF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97</xdr:row>
      <xdr:rowOff>0</xdr:rowOff>
    </xdr:from>
    <xdr:to>
      <xdr:col>20</xdr:col>
      <xdr:colOff>6405</xdr:colOff>
      <xdr:row>98</xdr:row>
      <xdr:rowOff>4204</xdr:rowOff>
    </xdr:to>
    <xdr:sp macro="" textlink="AS98">
      <xdr:nvSpPr>
        <xdr:cNvPr id="128" name="Text Box 896"/>
        <xdr:cNvSpPr txBox="1">
          <a:spLocks noChangeArrowheads="1" noTextEdit="1"/>
        </xdr:cNvSpPr>
      </xdr:nvSpPr>
      <xdr:spPr bwMode="auto">
        <a:xfrm>
          <a:off x="5628881" y="12664440"/>
          <a:ext cx="3910144" cy="164224"/>
        </a:xfrm>
        <a:prstGeom prst="rect">
          <a:avLst/>
        </a:prstGeom>
        <a:noFill/>
        <a:ln w="9525" algn="ctr">
          <a:noFill/>
          <a:miter lim="800000"/>
          <a:headEnd/>
          <a:tailEnd/>
        </a:ln>
        <a:effectLst/>
      </xdr:spPr>
      <xdr:txBody>
        <a:bodyPr anchor="ctr"/>
        <a:lstStyle/>
        <a:p>
          <a:pPr algn="l" rtl="0">
            <a:defRPr sz="1000"/>
          </a:pPr>
          <a:fld id="{64AA9C9C-0F48-4231-AEAF-20FA0E3AD032}"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98</xdr:row>
      <xdr:rowOff>0</xdr:rowOff>
    </xdr:from>
    <xdr:to>
      <xdr:col>20</xdr:col>
      <xdr:colOff>6405</xdr:colOff>
      <xdr:row>99</xdr:row>
      <xdr:rowOff>4204</xdr:rowOff>
    </xdr:to>
    <xdr:sp macro="" textlink="AS99">
      <xdr:nvSpPr>
        <xdr:cNvPr id="131" name="Text Box 896"/>
        <xdr:cNvSpPr txBox="1">
          <a:spLocks noChangeArrowheads="1" noTextEdit="1"/>
        </xdr:cNvSpPr>
      </xdr:nvSpPr>
      <xdr:spPr bwMode="auto">
        <a:xfrm>
          <a:off x="5628881" y="12824460"/>
          <a:ext cx="3910144" cy="164224"/>
        </a:xfrm>
        <a:prstGeom prst="rect">
          <a:avLst/>
        </a:prstGeom>
        <a:noFill/>
        <a:ln w="9525" algn="ctr">
          <a:noFill/>
          <a:miter lim="800000"/>
          <a:headEnd/>
          <a:tailEnd/>
        </a:ln>
        <a:effectLst/>
      </xdr:spPr>
      <xdr:txBody>
        <a:bodyPr anchor="ctr"/>
        <a:lstStyle/>
        <a:p>
          <a:pPr algn="l" rtl="0">
            <a:defRPr sz="1000"/>
          </a:pPr>
          <a:fld id="{9FB368E2-6D03-444D-BC51-EF1D27F34468}"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99</xdr:row>
      <xdr:rowOff>0</xdr:rowOff>
    </xdr:from>
    <xdr:to>
      <xdr:col>20</xdr:col>
      <xdr:colOff>6405</xdr:colOff>
      <xdr:row>100</xdr:row>
      <xdr:rowOff>4204</xdr:rowOff>
    </xdr:to>
    <xdr:sp macro="" textlink="AS100">
      <xdr:nvSpPr>
        <xdr:cNvPr id="134" name="Text Box 896"/>
        <xdr:cNvSpPr txBox="1">
          <a:spLocks noChangeArrowheads="1" noTextEdit="1"/>
        </xdr:cNvSpPr>
      </xdr:nvSpPr>
      <xdr:spPr bwMode="auto">
        <a:xfrm>
          <a:off x="5628881" y="12984480"/>
          <a:ext cx="3910144" cy="164224"/>
        </a:xfrm>
        <a:prstGeom prst="rect">
          <a:avLst/>
        </a:prstGeom>
        <a:noFill/>
        <a:ln w="9525" algn="ctr">
          <a:noFill/>
          <a:miter lim="800000"/>
          <a:headEnd/>
          <a:tailEnd/>
        </a:ln>
        <a:effectLst/>
      </xdr:spPr>
      <xdr:txBody>
        <a:bodyPr anchor="ctr"/>
        <a:lstStyle/>
        <a:p>
          <a:pPr algn="l" rtl="0">
            <a:defRPr sz="1000"/>
          </a:pPr>
          <a:fld id="{7F5A97A8-6E37-49DE-90DF-99957754B98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100</xdr:row>
      <xdr:rowOff>0</xdr:rowOff>
    </xdr:from>
    <xdr:to>
      <xdr:col>20</xdr:col>
      <xdr:colOff>6405</xdr:colOff>
      <xdr:row>101</xdr:row>
      <xdr:rowOff>4204</xdr:rowOff>
    </xdr:to>
    <xdr:sp macro="" textlink="AS101">
      <xdr:nvSpPr>
        <xdr:cNvPr id="137" name="Text Box 896"/>
        <xdr:cNvSpPr txBox="1">
          <a:spLocks noChangeArrowheads="1" noTextEdit="1"/>
        </xdr:cNvSpPr>
      </xdr:nvSpPr>
      <xdr:spPr bwMode="auto">
        <a:xfrm>
          <a:off x="5628881" y="13144500"/>
          <a:ext cx="3910144" cy="164224"/>
        </a:xfrm>
        <a:prstGeom prst="rect">
          <a:avLst/>
        </a:prstGeom>
        <a:noFill/>
        <a:ln w="9525" algn="ctr">
          <a:noFill/>
          <a:miter lim="800000"/>
          <a:headEnd/>
          <a:tailEnd/>
        </a:ln>
        <a:effectLst/>
      </xdr:spPr>
      <xdr:txBody>
        <a:bodyPr anchor="ctr"/>
        <a:lstStyle/>
        <a:p>
          <a:pPr algn="l" rtl="0">
            <a:defRPr sz="1000"/>
          </a:pPr>
          <a:fld id="{5506A16C-A886-4CEE-8BE9-FE210DA7E30A}"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101</xdr:row>
      <xdr:rowOff>0</xdr:rowOff>
    </xdr:from>
    <xdr:to>
      <xdr:col>20</xdr:col>
      <xdr:colOff>6405</xdr:colOff>
      <xdr:row>102</xdr:row>
      <xdr:rowOff>4204</xdr:rowOff>
    </xdr:to>
    <xdr:sp macro="" textlink="AS102">
      <xdr:nvSpPr>
        <xdr:cNvPr id="140" name="Text Box 896"/>
        <xdr:cNvSpPr txBox="1">
          <a:spLocks noChangeArrowheads="1" noTextEdit="1"/>
        </xdr:cNvSpPr>
      </xdr:nvSpPr>
      <xdr:spPr bwMode="auto">
        <a:xfrm>
          <a:off x="5628881" y="13304520"/>
          <a:ext cx="3910144" cy="164224"/>
        </a:xfrm>
        <a:prstGeom prst="rect">
          <a:avLst/>
        </a:prstGeom>
        <a:noFill/>
        <a:ln w="9525" algn="ctr">
          <a:noFill/>
          <a:miter lim="800000"/>
          <a:headEnd/>
          <a:tailEnd/>
        </a:ln>
        <a:effectLst/>
      </xdr:spPr>
      <xdr:txBody>
        <a:bodyPr anchor="ctr"/>
        <a:lstStyle/>
        <a:p>
          <a:pPr algn="l" rtl="0">
            <a:defRPr sz="1000"/>
          </a:pPr>
          <a:fld id="{514004E3-F5C3-42D8-9DD9-C95AC3B2FF95}"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102</xdr:row>
      <xdr:rowOff>0</xdr:rowOff>
    </xdr:from>
    <xdr:to>
      <xdr:col>20</xdr:col>
      <xdr:colOff>6405</xdr:colOff>
      <xdr:row>103</xdr:row>
      <xdr:rowOff>4204</xdr:rowOff>
    </xdr:to>
    <xdr:sp macro="" textlink="AS103">
      <xdr:nvSpPr>
        <xdr:cNvPr id="143" name="Text Box 896"/>
        <xdr:cNvSpPr txBox="1">
          <a:spLocks noChangeArrowheads="1" noTextEdit="1"/>
        </xdr:cNvSpPr>
      </xdr:nvSpPr>
      <xdr:spPr bwMode="auto">
        <a:xfrm>
          <a:off x="5628881" y="13464540"/>
          <a:ext cx="3910144" cy="164224"/>
        </a:xfrm>
        <a:prstGeom prst="rect">
          <a:avLst/>
        </a:prstGeom>
        <a:noFill/>
        <a:ln w="9525" algn="ctr">
          <a:noFill/>
          <a:miter lim="800000"/>
          <a:headEnd/>
          <a:tailEnd/>
        </a:ln>
        <a:effectLst/>
      </xdr:spPr>
      <xdr:txBody>
        <a:bodyPr anchor="ctr"/>
        <a:lstStyle/>
        <a:p>
          <a:pPr algn="l" rtl="0">
            <a:defRPr sz="1000"/>
          </a:pPr>
          <a:fld id="{51873C84-A031-4264-AAA3-3364BF75F45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103</xdr:row>
      <xdr:rowOff>0</xdr:rowOff>
    </xdr:from>
    <xdr:to>
      <xdr:col>20</xdr:col>
      <xdr:colOff>6405</xdr:colOff>
      <xdr:row>104</xdr:row>
      <xdr:rowOff>4204</xdr:rowOff>
    </xdr:to>
    <xdr:sp macro="" textlink="AS104">
      <xdr:nvSpPr>
        <xdr:cNvPr id="146" name="Text Box 896"/>
        <xdr:cNvSpPr txBox="1">
          <a:spLocks noChangeArrowheads="1" noTextEdit="1"/>
        </xdr:cNvSpPr>
      </xdr:nvSpPr>
      <xdr:spPr bwMode="auto">
        <a:xfrm>
          <a:off x="5628881" y="13624560"/>
          <a:ext cx="3910144" cy="164224"/>
        </a:xfrm>
        <a:prstGeom prst="rect">
          <a:avLst/>
        </a:prstGeom>
        <a:noFill/>
        <a:ln w="9525" algn="ctr">
          <a:noFill/>
          <a:miter lim="800000"/>
          <a:headEnd/>
          <a:tailEnd/>
        </a:ln>
        <a:effectLst/>
      </xdr:spPr>
      <xdr:txBody>
        <a:bodyPr anchor="ctr"/>
        <a:lstStyle/>
        <a:p>
          <a:pPr algn="l" rtl="0">
            <a:defRPr sz="1000"/>
          </a:pPr>
          <a:fld id="{BC992979-9574-4875-8108-60B2BAB48F1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104</xdr:row>
      <xdr:rowOff>0</xdr:rowOff>
    </xdr:from>
    <xdr:to>
      <xdr:col>20</xdr:col>
      <xdr:colOff>6405</xdr:colOff>
      <xdr:row>105</xdr:row>
      <xdr:rowOff>4204</xdr:rowOff>
    </xdr:to>
    <xdr:sp macro="" textlink="AS105">
      <xdr:nvSpPr>
        <xdr:cNvPr id="149" name="Text Box 896"/>
        <xdr:cNvSpPr txBox="1">
          <a:spLocks noChangeArrowheads="1" noTextEdit="1"/>
        </xdr:cNvSpPr>
      </xdr:nvSpPr>
      <xdr:spPr bwMode="auto">
        <a:xfrm>
          <a:off x="5628881" y="13784580"/>
          <a:ext cx="3910144" cy="164224"/>
        </a:xfrm>
        <a:prstGeom prst="rect">
          <a:avLst/>
        </a:prstGeom>
        <a:noFill/>
        <a:ln w="9525" algn="ctr">
          <a:noFill/>
          <a:miter lim="800000"/>
          <a:headEnd/>
          <a:tailEnd/>
        </a:ln>
        <a:effectLst/>
      </xdr:spPr>
      <xdr:txBody>
        <a:bodyPr anchor="ctr"/>
        <a:lstStyle/>
        <a:p>
          <a:pPr algn="l" rtl="0">
            <a:defRPr sz="1000"/>
          </a:pPr>
          <a:fld id="{D20C5C48-DF7E-466A-B1F1-436AAE964150}"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105</xdr:row>
      <xdr:rowOff>0</xdr:rowOff>
    </xdr:from>
    <xdr:to>
      <xdr:col>20</xdr:col>
      <xdr:colOff>6405</xdr:colOff>
      <xdr:row>106</xdr:row>
      <xdr:rowOff>4204</xdr:rowOff>
    </xdr:to>
    <xdr:sp macro="" textlink="AS106">
      <xdr:nvSpPr>
        <xdr:cNvPr id="152" name="Text Box 896"/>
        <xdr:cNvSpPr txBox="1">
          <a:spLocks noChangeArrowheads="1" noTextEdit="1"/>
        </xdr:cNvSpPr>
      </xdr:nvSpPr>
      <xdr:spPr bwMode="auto">
        <a:xfrm>
          <a:off x="5628881" y="13944600"/>
          <a:ext cx="3910144" cy="164224"/>
        </a:xfrm>
        <a:prstGeom prst="rect">
          <a:avLst/>
        </a:prstGeom>
        <a:noFill/>
        <a:ln w="9525" algn="ctr">
          <a:noFill/>
          <a:miter lim="800000"/>
          <a:headEnd/>
          <a:tailEnd/>
        </a:ln>
        <a:effectLst/>
      </xdr:spPr>
      <xdr:txBody>
        <a:bodyPr anchor="ctr"/>
        <a:lstStyle/>
        <a:p>
          <a:pPr algn="l" rtl="0">
            <a:defRPr sz="1000"/>
          </a:pPr>
          <a:fld id="{94CA46CE-F6EB-4BED-A644-1274DF9F62A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106</xdr:row>
      <xdr:rowOff>0</xdr:rowOff>
    </xdr:from>
    <xdr:to>
      <xdr:col>20</xdr:col>
      <xdr:colOff>6405</xdr:colOff>
      <xdr:row>107</xdr:row>
      <xdr:rowOff>4204</xdr:rowOff>
    </xdr:to>
    <xdr:sp macro="" textlink="AS107">
      <xdr:nvSpPr>
        <xdr:cNvPr id="155" name="Text Box 896"/>
        <xdr:cNvSpPr txBox="1">
          <a:spLocks noChangeArrowheads="1" noTextEdit="1"/>
        </xdr:cNvSpPr>
      </xdr:nvSpPr>
      <xdr:spPr bwMode="auto">
        <a:xfrm>
          <a:off x="5628881" y="14104620"/>
          <a:ext cx="3910144" cy="164224"/>
        </a:xfrm>
        <a:prstGeom prst="rect">
          <a:avLst/>
        </a:prstGeom>
        <a:noFill/>
        <a:ln w="9525" algn="ctr">
          <a:noFill/>
          <a:miter lim="800000"/>
          <a:headEnd/>
          <a:tailEnd/>
        </a:ln>
        <a:effectLst/>
      </xdr:spPr>
      <xdr:txBody>
        <a:bodyPr anchor="ctr"/>
        <a:lstStyle/>
        <a:p>
          <a:pPr algn="l" rtl="0">
            <a:defRPr sz="1000"/>
          </a:pPr>
          <a:fld id="{00A573AB-746F-47C9-A521-D6F88B385FB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107</xdr:row>
      <xdr:rowOff>0</xdr:rowOff>
    </xdr:from>
    <xdr:to>
      <xdr:col>20</xdr:col>
      <xdr:colOff>6405</xdr:colOff>
      <xdr:row>108</xdr:row>
      <xdr:rowOff>4204</xdr:rowOff>
    </xdr:to>
    <xdr:sp macro="" textlink="AS108">
      <xdr:nvSpPr>
        <xdr:cNvPr id="158" name="Text Box 896"/>
        <xdr:cNvSpPr txBox="1">
          <a:spLocks noChangeArrowheads="1" noTextEdit="1"/>
        </xdr:cNvSpPr>
      </xdr:nvSpPr>
      <xdr:spPr bwMode="auto">
        <a:xfrm>
          <a:off x="5628881" y="14264640"/>
          <a:ext cx="3910144" cy="164224"/>
        </a:xfrm>
        <a:prstGeom prst="rect">
          <a:avLst/>
        </a:prstGeom>
        <a:noFill/>
        <a:ln w="9525" algn="ctr">
          <a:noFill/>
          <a:miter lim="800000"/>
          <a:headEnd/>
          <a:tailEnd/>
        </a:ln>
        <a:effectLst/>
      </xdr:spPr>
      <xdr:txBody>
        <a:bodyPr anchor="ctr"/>
        <a:lstStyle/>
        <a:p>
          <a:pPr algn="l" rtl="0">
            <a:defRPr sz="1000"/>
          </a:pPr>
          <a:fld id="{B9D98D46-B500-47FA-B4EF-5FCC82AA61B4}"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108</xdr:row>
      <xdr:rowOff>0</xdr:rowOff>
    </xdr:from>
    <xdr:to>
      <xdr:col>20</xdr:col>
      <xdr:colOff>6405</xdr:colOff>
      <xdr:row>109</xdr:row>
      <xdr:rowOff>4204</xdr:rowOff>
    </xdr:to>
    <xdr:sp macro="" textlink="AS109">
      <xdr:nvSpPr>
        <xdr:cNvPr id="161" name="Text Box 896"/>
        <xdr:cNvSpPr txBox="1">
          <a:spLocks noChangeArrowheads="1" noTextEdit="1"/>
        </xdr:cNvSpPr>
      </xdr:nvSpPr>
      <xdr:spPr bwMode="auto">
        <a:xfrm>
          <a:off x="5628881" y="14424660"/>
          <a:ext cx="3910144" cy="164224"/>
        </a:xfrm>
        <a:prstGeom prst="rect">
          <a:avLst/>
        </a:prstGeom>
        <a:noFill/>
        <a:ln w="9525" algn="ctr">
          <a:noFill/>
          <a:miter lim="800000"/>
          <a:headEnd/>
          <a:tailEnd/>
        </a:ln>
        <a:effectLst/>
      </xdr:spPr>
      <xdr:txBody>
        <a:bodyPr anchor="ctr"/>
        <a:lstStyle/>
        <a:p>
          <a:pPr algn="l" rtl="0">
            <a:defRPr sz="1000"/>
          </a:pPr>
          <a:fld id="{4AFB83D1-3DDC-4B3A-9768-A734B07AE769}"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109</xdr:row>
      <xdr:rowOff>0</xdr:rowOff>
    </xdr:from>
    <xdr:to>
      <xdr:col>20</xdr:col>
      <xdr:colOff>6405</xdr:colOff>
      <xdr:row>110</xdr:row>
      <xdr:rowOff>4204</xdr:rowOff>
    </xdr:to>
    <xdr:sp macro="" textlink="AS110">
      <xdr:nvSpPr>
        <xdr:cNvPr id="164" name="Text Box 896"/>
        <xdr:cNvSpPr txBox="1">
          <a:spLocks noChangeArrowheads="1" noTextEdit="1"/>
        </xdr:cNvSpPr>
      </xdr:nvSpPr>
      <xdr:spPr bwMode="auto">
        <a:xfrm>
          <a:off x="5628881" y="14584680"/>
          <a:ext cx="3910144" cy="164224"/>
        </a:xfrm>
        <a:prstGeom prst="rect">
          <a:avLst/>
        </a:prstGeom>
        <a:noFill/>
        <a:ln w="9525" algn="ctr">
          <a:noFill/>
          <a:miter lim="800000"/>
          <a:headEnd/>
          <a:tailEnd/>
        </a:ln>
        <a:effectLst/>
      </xdr:spPr>
      <xdr:txBody>
        <a:bodyPr anchor="ctr"/>
        <a:lstStyle/>
        <a:p>
          <a:pPr algn="l" rtl="0">
            <a:defRPr sz="1000"/>
          </a:pPr>
          <a:fld id="{180353D1-13DB-434C-BD4A-4C5FC2F2FDB3}"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110</xdr:row>
      <xdr:rowOff>0</xdr:rowOff>
    </xdr:from>
    <xdr:to>
      <xdr:col>20</xdr:col>
      <xdr:colOff>6405</xdr:colOff>
      <xdr:row>111</xdr:row>
      <xdr:rowOff>4204</xdr:rowOff>
    </xdr:to>
    <xdr:sp macro="" textlink="AS111">
      <xdr:nvSpPr>
        <xdr:cNvPr id="167" name="Text Box 896"/>
        <xdr:cNvSpPr txBox="1">
          <a:spLocks noChangeArrowheads="1" noTextEdit="1"/>
        </xdr:cNvSpPr>
      </xdr:nvSpPr>
      <xdr:spPr bwMode="auto">
        <a:xfrm>
          <a:off x="5628881" y="14744700"/>
          <a:ext cx="3910144" cy="164224"/>
        </a:xfrm>
        <a:prstGeom prst="rect">
          <a:avLst/>
        </a:prstGeom>
        <a:noFill/>
        <a:ln w="9525" algn="ctr">
          <a:noFill/>
          <a:miter lim="800000"/>
          <a:headEnd/>
          <a:tailEnd/>
        </a:ln>
        <a:effectLst/>
      </xdr:spPr>
      <xdr:txBody>
        <a:bodyPr anchor="ctr"/>
        <a:lstStyle/>
        <a:p>
          <a:pPr algn="l" rtl="0">
            <a:defRPr sz="1000"/>
          </a:pPr>
          <a:fld id="{69C271CE-1079-4FA3-8014-95E5AE23AC4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111</xdr:row>
      <xdr:rowOff>0</xdr:rowOff>
    </xdr:from>
    <xdr:to>
      <xdr:col>20</xdr:col>
      <xdr:colOff>6405</xdr:colOff>
      <xdr:row>112</xdr:row>
      <xdr:rowOff>4204</xdr:rowOff>
    </xdr:to>
    <xdr:sp macro="" textlink="AS112">
      <xdr:nvSpPr>
        <xdr:cNvPr id="170" name="Text Box 896"/>
        <xdr:cNvSpPr txBox="1">
          <a:spLocks noChangeArrowheads="1" noTextEdit="1"/>
        </xdr:cNvSpPr>
      </xdr:nvSpPr>
      <xdr:spPr bwMode="auto">
        <a:xfrm>
          <a:off x="5628881" y="14904720"/>
          <a:ext cx="3910144" cy="164224"/>
        </a:xfrm>
        <a:prstGeom prst="rect">
          <a:avLst/>
        </a:prstGeom>
        <a:noFill/>
        <a:ln w="9525" algn="ctr">
          <a:noFill/>
          <a:miter lim="800000"/>
          <a:headEnd/>
          <a:tailEnd/>
        </a:ln>
        <a:effectLst/>
      </xdr:spPr>
      <xdr:txBody>
        <a:bodyPr anchor="ctr"/>
        <a:lstStyle/>
        <a:p>
          <a:pPr algn="l" rtl="0">
            <a:defRPr sz="1000"/>
          </a:pPr>
          <a:fld id="{7E8AAE10-3079-42EC-A2E0-26D34AFBD857}"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112</xdr:row>
      <xdr:rowOff>0</xdr:rowOff>
    </xdr:from>
    <xdr:to>
      <xdr:col>20</xdr:col>
      <xdr:colOff>6405</xdr:colOff>
      <xdr:row>113</xdr:row>
      <xdr:rowOff>4204</xdr:rowOff>
    </xdr:to>
    <xdr:sp macro="" textlink="AS113">
      <xdr:nvSpPr>
        <xdr:cNvPr id="173" name="Text Box 896"/>
        <xdr:cNvSpPr txBox="1">
          <a:spLocks noChangeArrowheads="1" noTextEdit="1"/>
        </xdr:cNvSpPr>
      </xdr:nvSpPr>
      <xdr:spPr bwMode="auto">
        <a:xfrm>
          <a:off x="5628881" y="15064740"/>
          <a:ext cx="3910144" cy="164224"/>
        </a:xfrm>
        <a:prstGeom prst="rect">
          <a:avLst/>
        </a:prstGeom>
        <a:noFill/>
        <a:ln w="9525" algn="ctr">
          <a:noFill/>
          <a:miter lim="800000"/>
          <a:headEnd/>
          <a:tailEnd/>
        </a:ln>
        <a:effectLst/>
      </xdr:spPr>
      <xdr:txBody>
        <a:bodyPr anchor="ctr"/>
        <a:lstStyle/>
        <a:p>
          <a:pPr algn="l" rtl="0">
            <a:defRPr sz="1000"/>
          </a:pPr>
          <a:fld id="{4E12B1A1-6D0B-4476-ACEA-A754206647F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113</xdr:row>
      <xdr:rowOff>0</xdr:rowOff>
    </xdr:from>
    <xdr:to>
      <xdr:col>20</xdr:col>
      <xdr:colOff>6405</xdr:colOff>
      <xdr:row>114</xdr:row>
      <xdr:rowOff>4204</xdr:rowOff>
    </xdr:to>
    <xdr:sp macro="" textlink="AS114">
      <xdr:nvSpPr>
        <xdr:cNvPr id="176" name="Text Box 896"/>
        <xdr:cNvSpPr txBox="1">
          <a:spLocks noChangeArrowheads="1" noTextEdit="1"/>
        </xdr:cNvSpPr>
      </xdr:nvSpPr>
      <xdr:spPr bwMode="auto">
        <a:xfrm>
          <a:off x="5628881" y="15224760"/>
          <a:ext cx="3910144" cy="164224"/>
        </a:xfrm>
        <a:prstGeom prst="rect">
          <a:avLst/>
        </a:prstGeom>
        <a:noFill/>
        <a:ln w="9525" algn="ctr">
          <a:noFill/>
          <a:miter lim="800000"/>
          <a:headEnd/>
          <a:tailEnd/>
        </a:ln>
        <a:effectLst/>
      </xdr:spPr>
      <xdr:txBody>
        <a:bodyPr anchor="ctr"/>
        <a:lstStyle/>
        <a:p>
          <a:pPr algn="l" rtl="0">
            <a:defRPr sz="1000"/>
          </a:pPr>
          <a:fld id="{42CA08D9-01F6-4CCB-A8F8-28F6BF53BB5F}"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twoCellAnchor>
    <xdr:from>
      <xdr:col>12</xdr:col>
      <xdr:colOff>378701</xdr:colOff>
      <xdr:row>114</xdr:row>
      <xdr:rowOff>0</xdr:rowOff>
    </xdr:from>
    <xdr:to>
      <xdr:col>20</xdr:col>
      <xdr:colOff>6405</xdr:colOff>
      <xdr:row>115</xdr:row>
      <xdr:rowOff>4204</xdr:rowOff>
    </xdr:to>
    <xdr:sp macro="" textlink="AS115">
      <xdr:nvSpPr>
        <xdr:cNvPr id="178" name="Text Box 896"/>
        <xdr:cNvSpPr txBox="1">
          <a:spLocks noChangeArrowheads="1" noTextEdit="1"/>
        </xdr:cNvSpPr>
      </xdr:nvSpPr>
      <xdr:spPr bwMode="auto">
        <a:xfrm>
          <a:off x="5628881" y="15384780"/>
          <a:ext cx="3910144" cy="164224"/>
        </a:xfrm>
        <a:prstGeom prst="rect">
          <a:avLst/>
        </a:prstGeom>
        <a:noFill/>
        <a:ln w="9525" algn="ctr">
          <a:noFill/>
          <a:miter lim="800000"/>
          <a:headEnd/>
          <a:tailEnd/>
        </a:ln>
        <a:effectLst/>
      </xdr:spPr>
      <xdr:txBody>
        <a:bodyPr anchor="ctr"/>
        <a:lstStyle/>
        <a:p>
          <a:pPr algn="l" rtl="0">
            <a:defRPr sz="1000"/>
          </a:pPr>
          <a:fld id="{CA032C80-2711-4720-A7A2-E084E04E4F1B}" type="TxLink">
            <a:rPr lang="en-AU" sz="900" b="1" i="1" u="none" strike="noStrike" baseline="0">
              <a:solidFill>
                <a:srgbClr val="FF0000"/>
              </a:solidFill>
              <a:latin typeface="Arial"/>
              <a:cs typeface="Arial"/>
            </a:rPr>
            <a:pPr algn="l" rtl="0">
              <a:defRPr sz="1000"/>
            </a:pPr>
            <a:t> </a:t>
          </a:fld>
          <a:endParaRPr lang="en-AU" sz="900" b="1" i="1" u="none" strike="noStrike" baseline="0">
            <a:solidFill>
              <a:srgbClr val="FF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9526</xdr:colOff>
      <xdr:row>6</xdr:row>
      <xdr:rowOff>9524</xdr:rowOff>
    </xdr:from>
    <xdr:to>
      <xdr:col>5</xdr:col>
      <xdr:colOff>291812</xdr:colOff>
      <xdr:row>7</xdr:row>
      <xdr:rowOff>66675</xdr:rowOff>
    </xdr:to>
    <xdr:sp macro="" textlink="">
      <xdr:nvSpPr>
        <xdr:cNvPr id="8193" name="AutoShape 1">
          <a:hlinkClick xmlns:r="http://schemas.openxmlformats.org/officeDocument/2006/relationships" r:id="rId1" tooltip="Click here to return to the Calculator form"/>
        </xdr:cNvPr>
        <xdr:cNvSpPr>
          <a:spLocks noChangeArrowheads="1"/>
        </xdr:cNvSpPr>
      </xdr:nvSpPr>
      <xdr:spPr bwMode="auto">
        <a:xfrm>
          <a:off x="123826" y="981074"/>
          <a:ext cx="1809750" cy="219076"/>
        </a:xfrm>
        <a:prstGeom prst="roundRect">
          <a:avLst>
            <a:gd name="adj" fmla="val 16667"/>
          </a:avLst>
        </a:prstGeom>
        <a:gradFill rotWithShape="1">
          <a:gsLst>
            <a:gs pos="0">
              <a:srgbClr val="339966"/>
            </a:gs>
            <a:gs pos="100000">
              <a:srgbClr val="339966">
                <a:gamma/>
                <a:shade val="46275"/>
                <a:invGamma/>
              </a:srgbClr>
            </a:gs>
          </a:gsLst>
          <a:lin ang="5400000" scaled="1"/>
        </a:gradFill>
        <a:ln w="9525">
          <a:solidFill>
            <a:srgbClr val="008000"/>
          </a:solidFill>
          <a:round/>
          <a:headEnd/>
          <a:tailEnd/>
        </a:ln>
        <a:effectLst/>
      </xdr:spPr>
      <xdr:txBody>
        <a:bodyPr vertOverflow="clip" wrap="square" lIns="27432" tIns="22860" rIns="27432" bIns="22860" anchor="ctr" upright="1"/>
        <a:lstStyle/>
        <a:p>
          <a:pPr algn="ctr" rtl="0">
            <a:defRPr sz="1000"/>
          </a:pPr>
          <a:r>
            <a:rPr lang="en-AU" sz="1000" b="1" i="1" u="none" strike="noStrike" baseline="0">
              <a:solidFill>
                <a:srgbClr val="FFFFFF"/>
              </a:solidFill>
              <a:latin typeface="Arial"/>
              <a:cs typeface="Arial"/>
            </a:rPr>
            <a:t>RETURN TO CALCULATOR</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image" Target="../media/image5.png"/></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AI124"/>
  <sheetViews>
    <sheetView showGridLines="0" showRowColHeaders="0" showOutlineSymbols="0" topLeftCell="A5" workbookViewId="0">
      <selection activeCell="C9" sqref="C9"/>
    </sheetView>
  </sheetViews>
  <sheetFormatPr defaultRowHeight="12.75" outlineLevelRow="1"/>
  <cols>
    <col min="1" max="2" width="1.7109375" customWidth="1"/>
    <col min="3" max="3" width="3.85546875" customWidth="1"/>
    <col min="4" max="4" width="0.85546875" customWidth="1"/>
    <col min="5" max="5" width="80.85546875" customWidth="1"/>
    <col min="6" max="6" width="5.5703125" customWidth="1"/>
    <col min="8" max="9" width="9.140625" customWidth="1"/>
  </cols>
  <sheetData>
    <row r="1" spans="1:35" hidden="1" outlineLevel="1">
      <c r="C1" s="1" t="s">
        <v>19</v>
      </c>
      <c r="D1" s="1"/>
    </row>
    <row r="2" spans="1:35" hidden="1" outlineLevel="1">
      <c r="C2" s="2" t="s">
        <v>20</v>
      </c>
      <c r="D2" s="2"/>
    </row>
    <row r="3" spans="1:35" hidden="1" outlineLevel="1">
      <c r="C3" s="2" t="s">
        <v>21</v>
      </c>
      <c r="D3" s="2"/>
    </row>
    <row r="4" spans="1:35" hidden="1" outlineLevel="1">
      <c r="C4" s="2" t="s">
        <v>38</v>
      </c>
      <c r="D4" s="2"/>
    </row>
    <row r="5" spans="1:35" collapsed="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row>
    <row r="6" spans="1:35">
      <c r="A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c r="A7" s="4"/>
      <c r="D7" s="335"/>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spans="1:35">
      <c r="A8" s="4"/>
      <c r="G8" s="4"/>
      <c r="H8" s="4"/>
      <c r="I8" s="4"/>
      <c r="J8" s="4"/>
      <c r="K8" s="4"/>
      <c r="L8" s="4"/>
      <c r="M8" s="4"/>
      <c r="N8" s="4"/>
      <c r="O8" s="4"/>
      <c r="P8" s="4"/>
      <c r="Q8" s="4"/>
      <c r="R8" s="4"/>
      <c r="S8" s="4"/>
      <c r="T8" s="4"/>
      <c r="U8" s="4"/>
      <c r="V8" s="4"/>
      <c r="W8" s="4"/>
      <c r="X8" s="4"/>
      <c r="Y8" s="4"/>
      <c r="Z8" s="4"/>
      <c r="AA8" s="4"/>
      <c r="AB8" s="4"/>
      <c r="AC8" s="4"/>
      <c r="AD8" s="4"/>
      <c r="AE8" s="4"/>
      <c r="AF8" s="4"/>
      <c r="AG8" s="4"/>
      <c r="AH8" s="4"/>
      <c r="AI8" s="4"/>
    </row>
    <row r="9" spans="1:35" ht="15.75">
      <c r="A9" s="4"/>
      <c r="C9" s="27" t="s">
        <v>26</v>
      </c>
      <c r="D9" s="27"/>
      <c r="E9" s="28"/>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spans="1:35">
      <c r="A10" s="4"/>
      <c r="C10" s="335"/>
      <c r="D10" s="335"/>
      <c r="E10" s="47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1:35">
      <c r="A11" s="4"/>
      <c r="C11" s="369" t="s">
        <v>345</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1:35">
      <c r="A12" s="4"/>
      <c r="C12" s="369" t="s">
        <v>356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c r="A13" s="4"/>
      <c r="C13" s="369" t="s">
        <v>357</v>
      </c>
      <c r="G13" s="406"/>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1:35">
      <c r="A14" s="4"/>
      <c r="C14" s="328"/>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row>
    <row r="15" spans="1:35">
      <c r="A15" s="4"/>
      <c r="D15" s="3" t="s">
        <v>375</v>
      </c>
      <c r="E15" s="328"/>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spans="1:35" ht="25.5">
      <c r="A16" s="4"/>
      <c r="C16" s="26">
        <f>IF(AND(ISBLANK(D16),ISBLANK(E16)=FALSE),MAX(C$15:C15)+1,"")</f>
        <v>1</v>
      </c>
      <c r="D16" s="24"/>
      <c r="E16" s="329" t="s">
        <v>376</v>
      </c>
      <c r="G16" s="463"/>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5" ht="25.5">
      <c r="A17" s="4"/>
      <c r="C17" s="26">
        <f>IF(AND(ISBLANK(D17),ISBLANK(E17)=FALSE),MAX(C$15:C16)+1,"")</f>
        <v>2</v>
      </c>
      <c r="D17" s="26"/>
      <c r="E17" s="330" t="s">
        <v>304</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spans="1:35" ht="25.5">
      <c r="A18" s="4"/>
      <c r="C18" s="26">
        <f>IF(AND(ISBLANK(D18),ISBLANK(E18)=FALSE),MAX(C$15:C17)+1,"")</f>
        <v>3</v>
      </c>
      <c r="D18" s="26"/>
      <c r="E18" s="330" t="s">
        <v>155</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c r="A19" s="4"/>
      <c r="C19" s="26" t="str">
        <f>IF(AND(ISBLANK(D19),ISBLANK(E19)=FALSE),MAX(C$15:C18)+1,"")</f>
        <v/>
      </c>
      <c r="D19" s="26"/>
      <c r="E19" s="328"/>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c r="A20" s="4"/>
      <c r="C20" s="26" t="str">
        <f>IF(AND(ISBLANK(D20),ISBLANK(E20)=FALSE),MAX(C$15:C19)+1,"")</f>
        <v/>
      </c>
      <c r="D20" s="3" t="s">
        <v>25</v>
      </c>
      <c r="E20" s="328"/>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ht="38.25">
      <c r="A21" s="4"/>
      <c r="C21" s="26">
        <f>IF(AND(ISBLANK(D21),ISBLANK(E21)=FALSE),MAX(C$15:C20)+1,"")</f>
        <v>4</v>
      </c>
      <c r="D21" s="24"/>
      <c r="E21" s="462" t="s">
        <v>359</v>
      </c>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ht="38.25">
      <c r="A22" s="4"/>
      <c r="C22" s="26">
        <f>IF(AND(ISBLANK(D22),ISBLANK(E22)=FALSE),MAX(C$15:C21)+1,"")</f>
        <v>5</v>
      </c>
      <c r="D22" s="24"/>
      <c r="E22" s="462" t="s">
        <v>364</v>
      </c>
      <c r="G22" s="406"/>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c r="A23" s="4"/>
      <c r="C23" s="26" t="str">
        <f>IF(AND(ISBLANK(D23),ISBLANK(E23)=FALSE),MAX(C$15:C22)+1,"")</f>
        <v/>
      </c>
      <c r="D23" s="25"/>
      <c r="E23" s="328"/>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c r="A24" s="4"/>
      <c r="C24" s="26" t="str">
        <f>IF(AND(ISBLANK(D24),ISBLANK(E24)=FALSE),MAX(C$15:C23)+1,"")</f>
        <v/>
      </c>
      <c r="D24" s="3" t="s">
        <v>35</v>
      </c>
      <c r="E24" s="328"/>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ht="38.25">
      <c r="A25" s="4"/>
      <c r="C25" s="26">
        <f>IF(AND(ISBLANK(D25),ISBLANK(E25)=FALSE),MAX(C$15:C24)+1,"")</f>
        <v>6</v>
      </c>
      <c r="D25" s="24"/>
      <c r="E25" s="329" t="s">
        <v>363</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ht="38.25">
      <c r="A26" s="4"/>
      <c r="C26" s="26">
        <f>IF(AND(ISBLANK(D26),ISBLANK(E26)=FALSE),MAX(C$15:C25)+1,"")</f>
        <v>7</v>
      </c>
      <c r="D26" s="24"/>
      <c r="E26" s="329" t="s">
        <v>365</v>
      </c>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ht="76.5">
      <c r="A27" s="4"/>
      <c r="C27" s="26">
        <f>IF(AND(ISBLANK(D27),ISBLANK(E27)=FALSE),MAX(C$15:C26)+1,"")</f>
        <v>8</v>
      </c>
      <c r="D27" s="24"/>
      <c r="E27" s="329" t="s">
        <v>366</v>
      </c>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ht="38.25">
      <c r="A28" s="4"/>
      <c r="C28" s="26">
        <f>IF(AND(ISBLANK(D28),ISBLANK(E28)=FALSE),MAX(C$15:C27)+1,"")</f>
        <v>9</v>
      </c>
      <c r="D28" s="25"/>
      <c r="E28" s="329" t="s">
        <v>349</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c r="A29" s="4"/>
      <c r="C29" s="26" t="str">
        <f>IF(AND(ISBLANK(D29),ISBLANK(E29)=FALSE),MAX(C$15:C28)+1,"")</f>
        <v/>
      </c>
      <c r="D29" s="25"/>
      <c r="E29" s="328"/>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c r="A30" s="4"/>
      <c r="C30" s="26" t="str">
        <f>IF(AND(ISBLANK(D30),ISBLANK(E30)=FALSE),MAX(C$15:C29)+1,"")</f>
        <v/>
      </c>
      <c r="D30" s="3" t="s">
        <v>22</v>
      </c>
      <c r="E30" s="328"/>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ht="25.5">
      <c r="A31" s="4"/>
      <c r="C31" s="26">
        <f>IF(AND(ISBLANK(D31),ISBLANK(E31)=FALSE),MAX(C$15:C30)+1,"")</f>
        <v>10</v>
      </c>
      <c r="D31" s="24"/>
      <c r="E31" s="329" t="s">
        <v>30</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ht="51">
      <c r="A32" s="4"/>
      <c r="C32" s="26">
        <f>IF(AND(ISBLANK(D32),ISBLANK(E32)=FALSE),MAX(C$15:C31)+1,"")</f>
        <v>11</v>
      </c>
      <c r="D32" s="24"/>
      <c r="E32" s="329" t="s">
        <v>329</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ht="38.25">
      <c r="A33" s="4"/>
      <c r="C33" s="26">
        <f>IF(AND(ISBLANK(D33),ISBLANK(E33)=FALSE),MAX(C$15:C32)+1,"")</f>
        <v>12</v>
      </c>
      <c r="D33" s="24"/>
      <c r="E33" s="329" t="s">
        <v>332</v>
      </c>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ht="25.5">
      <c r="A34" s="4"/>
      <c r="C34" s="26">
        <f>IF(AND(ISBLANK(D34),ISBLANK(E34)=FALSE),MAX(C$15:C33)+1,"")</f>
        <v>13</v>
      </c>
      <c r="D34" s="24"/>
      <c r="E34" s="329" t="s">
        <v>305</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ht="25.5">
      <c r="A35" s="4"/>
      <c r="C35" s="26">
        <f>IF(AND(ISBLANK(D35),ISBLANK(E35)=FALSE),MAX(C$15:C34)+1,"")</f>
        <v>14</v>
      </c>
      <c r="D35" s="24"/>
      <c r="E35" s="329" t="s">
        <v>37</v>
      </c>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ht="25.5">
      <c r="A36" s="4"/>
      <c r="C36" s="26">
        <f>IF(AND(ISBLANK(D36),ISBLANK(E36)=FALSE),MAX(C$15:C35)+1,"")</f>
        <v>15</v>
      </c>
      <c r="D36" s="24"/>
      <c r="E36" s="329" t="s">
        <v>360</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ht="25.5">
      <c r="A37" s="4"/>
      <c r="C37" s="26">
        <f>IF(AND(ISBLANK(D37),ISBLANK(E37)=FALSE),MAX(C$15:C36)+1,"")</f>
        <v>16</v>
      </c>
      <c r="D37" s="24"/>
      <c r="E37" s="329" t="s">
        <v>334</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ht="25.5">
      <c r="A38" s="4"/>
      <c r="C38" s="26">
        <f>IF(AND(ISBLANK(D38),ISBLANK(E38)=FALSE),MAX(C$15:C37)+1,"")</f>
        <v>17</v>
      </c>
      <c r="D38" s="24"/>
      <c r="E38" s="329" t="s">
        <v>333</v>
      </c>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c r="A39" s="4"/>
      <c r="C39" s="26" t="str">
        <f>IF(AND(ISBLANK(D39),ISBLANK(E39)=FALSE),MAX(C$15:C38)+1,"")</f>
        <v/>
      </c>
      <c r="D39" s="25"/>
      <c r="E39" s="328"/>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c r="A40" s="4"/>
      <c r="C40" s="26" t="str">
        <f>IF(AND(ISBLANK(D40),ISBLANK(E40)=FALSE),MAX(C$15:C39)+1,"")</f>
        <v/>
      </c>
      <c r="D40" s="3" t="s">
        <v>118</v>
      </c>
      <c r="E40" s="328"/>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ht="25.5">
      <c r="A41" s="4"/>
      <c r="C41" s="26">
        <f>IF(AND(ISBLANK(D41),ISBLANK(E41)=FALSE),MAX(C$15:C40)+1,"")</f>
        <v>18</v>
      </c>
      <c r="D41" s="24"/>
      <c r="E41" s="329" t="s">
        <v>23</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ht="25.5">
      <c r="A42" s="4"/>
      <c r="C42" s="26">
        <f>IF(AND(ISBLANK(D42),ISBLANK(E42)=FALSE),MAX(C$15:C41)+1,"")</f>
        <v>19</v>
      </c>
      <c r="D42" s="24"/>
      <c r="E42" s="330" t="s">
        <v>302</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ht="25.5">
      <c r="A43" s="4"/>
      <c r="C43" s="26">
        <f>IF(AND(ISBLANK(D43),ISBLANK(E43)=FALSE),MAX(C$15:C42)+1,"")</f>
        <v>20</v>
      </c>
      <c r="D43" s="24"/>
      <c r="E43" s="330" t="s">
        <v>306</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ht="25.5">
      <c r="A44" s="4"/>
      <c r="C44" s="26">
        <f>IF(AND(ISBLANK(D44),ISBLANK(E44)=FALSE),MAX(C$15:C43)+1,"")</f>
        <v>21</v>
      </c>
      <c r="D44" s="24"/>
      <c r="E44" s="329" t="s">
        <v>367</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ht="38.25">
      <c r="A45" s="4"/>
      <c r="C45" s="26">
        <f>IF(AND(ISBLANK(D45),ISBLANK(E45)=FALSE),MAX(C$15:C44)+1,"")</f>
        <v>22</v>
      </c>
      <c r="D45" s="24"/>
      <c r="E45" s="329" t="s">
        <v>330</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ht="51">
      <c r="A46" s="4"/>
      <c r="C46" s="26">
        <f>IF(AND(ISBLANK(D46),ISBLANK(E46)=FALSE),MAX(C$15:C45)+1,"")</f>
        <v>23</v>
      </c>
      <c r="D46" s="24"/>
      <c r="E46" s="470" t="s">
        <v>361</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c r="A47" s="4"/>
      <c r="C47" s="26" t="str">
        <f>IF(AND(ISBLANK(D47),ISBLANK(E47)=FALSE),MAX(C$15:C46)+1,"")</f>
        <v/>
      </c>
      <c r="D47" s="25"/>
      <c r="E47" s="331"/>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c r="A48" s="4"/>
      <c r="C48" s="26" t="str">
        <f>IF(AND(ISBLANK(D48),ISBLANK(E48)=FALSE),MAX(C$15:C47)+1,"")</f>
        <v/>
      </c>
      <c r="D48" s="3" t="s">
        <v>24</v>
      </c>
      <c r="E48" s="331"/>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c r="A49" s="4"/>
      <c r="C49" s="26">
        <f>IF(AND(ISBLANK(D49),ISBLANK(E49)=FALSE),MAX(C$15:C48)+1,"")</f>
        <v>24</v>
      </c>
      <c r="D49" s="24"/>
      <c r="E49" s="329" t="s">
        <v>350</v>
      </c>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ht="38.25">
      <c r="A50" s="4"/>
      <c r="C50" s="26">
        <f>IF(AND(ISBLANK(D50),ISBLANK(E50)=FALSE),MAX(C$15:C49)+1,"")</f>
        <v>25</v>
      </c>
      <c r="D50" s="24"/>
      <c r="E50" s="330" t="s">
        <v>368</v>
      </c>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ht="38.25">
      <c r="A51" s="4"/>
      <c r="C51" s="26">
        <f>IF(AND(ISBLANK(D51),ISBLANK(E51)=FALSE),MAX(C$15:C50)+1,"")</f>
        <v>26</v>
      </c>
      <c r="D51" s="24"/>
      <c r="E51" s="329" t="s">
        <v>346</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ht="25.5">
      <c r="A52" s="4"/>
      <c r="C52" s="26">
        <f>IF(AND(ISBLANK(D52),ISBLANK(E52)=FALSE),MAX(C$15:C51)+1,"")</f>
        <v>27</v>
      </c>
      <c r="D52" s="24"/>
      <c r="E52" s="332" t="s">
        <v>146</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c r="A53" s="4"/>
      <c r="C53" s="26" t="str">
        <f>IF(AND(ISBLANK(D53),ISBLANK(E53)=FALSE),MAX(C$15:C52)+1,"")</f>
        <v/>
      </c>
      <c r="E53" s="331"/>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c r="A54" s="4"/>
      <c r="C54" s="26" t="str">
        <f>IF(AND(ISBLANK(D54),ISBLANK(E54)=FALSE),MAX(C$15:C53)+1,"")</f>
        <v/>
      </c>
      <c r="D54" s="3" t="s">
        <v>164</v>
      </c>
      <c r="E54" s="331"/>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ht="54" customHeight="1">
      <c r="A55" s="4"/>
      <c r="C55" s="26">
        <f>IF(AND(ISBLANK(D55),ISBLANK(E55)=FALSE),MAX(C$15:C54)+1,"")</f>
        <v>28</v>
      </c>
      <c r="E55" s="329" t="s">
        <v>331</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ht="25.5">
      <c r="A56" s="4"/>
      <c r="C56" s="26">
        <f>IF(AND(ISBLANK(D56),ISBLANK(E56)=FALSE),MAX(C$15:C55)+1,"")</f>
        <v>29</v>
      </c>
      <c r="E56" s="332" t="s">
        <v>169</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ht="25.5">
      <c r="A57" s="4"/>
      <c r="C57" s="26">
        <f>IF(AND(ISBLANK(D57),ISBLANK(E57)=FALSE),MAX(C$15:C56)+1,"")</f>
        <v>30</v>
      </c>
      <c r="E57" s="332" t="s">
        <v>166</v>
      </c>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c r="A58" s="4"/>
      <c r="C58" s="26"/>
      <c r="E58" s="332"/>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1:35">
      <c r="A59" s="4"/>
      <c r="C59" s="26" t="str">
        <f>IF(AND(ISBLANK(D59),ISBLANK(E59)=FALSE),MAX(C$15:C53)+1,"")</f>
        <v/>
      </c>
      <c r="D59" s="29"/>
      <c r="E59" s="333"/>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row r="60" spans="1:35">
      <c r="A60" s="4"/>
      <c r="D60" s="3" t="s">
        <v>147</v>
      </c>
      <c r="E60" s="33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row>
    <row r="61" spans="1:35">
      <c r="A61" s="4"/>
      <c r="D61" s="3" t="s">
        <v>373</v>
      </c>
      <c r="E61" s="33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row>
    <row r="62" spans="1:35" ht="25.5">
      <c r="A62" s="4"/>
      <c r="D62" s="471" t="s">
        <v>150</v>
      </c>
      <c r="E62" s="472" t="s">
        <v>377</v>
      </c>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row r="63" spans="1:35">
      <c r="A63" s="4"/>
      <c r="D63" s="3"/>
      <c r="E63" s="33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row>
    <row r="64" spans="1:35">
      <c r="A64" s="4"/>
      <c r="D64" s="3" t="s">
        <v>362</v>
      </c>
      <c r="E64" s="3"/>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row>
    <row r="65" spans="1:35" ht="25.5">
      <c r="A65" s="4"/>
      <c r="C65" s="25"/>
      <c r="D65" s="471" t="s">
        <v>150</v>
      </c>
      <c r="E65" s="472" t="s">
        <v>358</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row>
    <row r="66" spans="1:35">
      <c r="A66" s="4"/>
      <c r="D66" s="473" t="s">
        <v>150</v>
      </c>
      <c r="E66" s="328" t="s">
        <v>317</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row>
    <row r="67" spans="1:35">
      <c r="A67" s="4"/>
      <c r="D67" s="473" t="s">
        <v>150</v>
      </c>
      <c r="E67" s="328" t="s">
        <v>348</v>
      </c>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row>
    <row r="68" spans="1:35">
      <c r="A68" s="4"/>
      <c r="D68" s="3"/>
      <c r="E68" s="33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row>
    <row r="69" spans="1:35">
      <c r="A69" s="4"/>
      <c r="D69" s="328" t="s">
        <v>315</v>
      </c>
      <c r="E69" s="33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row>
    <row r="70" spans="1:35">
      <c r="A70" s="4"/>
      <c r="D70" s="141" t="s">
        <v>150</v>
      </c>
      <c r="E70" s="328" t="s">
        <v>316</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row>
    <row r="71" spans="1:35">
      <c r="A71" s="4"/>
      <c r="D71" s="3"/>
      <c r="E71" s="33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row>
    <row r="72" spans="1:35">
      <c r="A72" s="4"/>
      <c r="D72" s="328" t="s">
        <v>312</v>
      </c>
      <c r="E72" s="33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spans="1:35">
      <c r="A73" s="4"/>
      <c r="D73" s="141" t="s">
        <v>150</v>
      </c>
      <c r="E73" s="328" t="s">
        <v>313</v>
      </c>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row>
    <row r="74" spans="1:35">
      <c r="A74" s="4"/>
      <c r="D74" s="141"/>
      <c r="E74" s="369" t="s">
        <v>314</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row>
    <row r="75" spans="1:35">
      <c r="A75" s="4"/>
      <c r="D75" s="141"/>
      <c r="E75" s="331"/>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row>
    <row r="76" spans="1:35">
      <c r="A76" s="4"/>
      <c r="D76" s="328" t="s">
        <v>300</v>
      </c>
      <c r="E76" s="33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row>
    <row r="77" spans="1:35">
      <c r="A77" s="4"/>
      <c r="D77" s="141" t="s">
        <v>150</v>
      </c>
      <c r="E77" s="331" t="s">
        <v>301</v>
      </c>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row>
    <row r="78" spans="1:35">
      <c r="A78" s="4"/>
      <c r="D78" s="3"/>
      <c r="E78" s="33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row>
    <row r="79" spans="1:35">
      <c r="A79" s="4"/>
      <c r="D79" s="328" t="s">
        <v>309</v>
      </c>
      <c r="E79" s="33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row>
    <row r="80" spans="1:35">
      <c r="A80" s="4"/>
      <c r="D80" s="141" t="s">
        <v>150</v>
      </c>
      <c r="E80" s="328" t="s">
        <v>310</v>
      </c>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row>
    <row r="81" spans="1:35">
      <c r="A81" s="4"/>
      <c r="C81" s="3"/>
      <c r="D81" s="141" t="s">
        <v>150</v>
      </c>
      <c r="E81" s="328" t="s">
        <v>311</v>
      </c>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row>
    <row r="82" spans="1:35">
      <c r="A82" s="4"/>
      <c r="D82" s="3"/>
      <c r="E82" s="33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spans="1:35">
      <c r="A83" s="4"/>
      <c r="D83" s="317" t="s">
        <v>156</v>
      </c>
      <c r="E83" s="33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row>
    <row r="84" spans="1:35">
      <c r="A84" s="4"/>
      <c r="D84" s="141" t="s">
        <v>150</v>
      </c>
      <c r="E84" s="331" t="s">
        <v>163</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row>
    <row r="85" spans="1:35">
      <c r="A85" s="4"/>
      <c r="D85" s="141" t="s">
        <v>150</v>
      </c>
      <c r="E85" s="331" t="s">
        <v>158</v>
      </c>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row>
    <row r="86" spans="1:35">
      <c r="A86" s="4"/>
      <c r="D86" s="141" t="s">
        <v>150</v>
      </c>
      <c r="E86" s="331" t="s">
        <v>157</v>
      </c>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row>
    <row r="87" spans="1:35">
      <c r="A87" s="4"/>
      <c r="D87" s="141" t="s">
        <v>150</v>
      </c>
      <c r="E87" s="331" t="s">
        <v>159</v>
      </c>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row>
    <row r="88" spans="1:35">
      <c r="A88" s="4"/>
      <c r="D88" s="141" t="s">
        <v>150</v>
      </c>
      <c r="E88" s="331" t="s">
        <v>168</v>
      </c>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row>
    <row r="89" spans="1:35">
      <c r="A89" s="4"/>
      <c r="D89" s="141" t="s">
        <v>150</v>
      </c>
      <c r="E89" s="331" t="s">
        <v>165</v>
      </c>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row>
    <row r="90" spans="1:35">
      <c r="A90" s="4"/>
      <c r="D90" s="141"/>
      <c r="E90" s="331"/>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row>
    <row r="91" spans="1:35">
      <c r="A91" s="4"/>
      <c r="D91" s="317" t="s">
        <v>148</v>
      </c>
      <c r="E91" s="33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row>
    <row r="92" spans="1:35">
      <c r="A92" s="4"/>
      <c r="D92" s="318" t="s">
        <v>150</v>
      </c>
      <c r="E92" s="331" t="s">
        <v>154</v>
      </c>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spans="1:35">
      <c r="A93" s="4"/>
      <c r="D93" s="318" t="s">
        <v>150</v>
      </c>
      <c r="E93" s="331" t="s">
        <v>153</v>
      </c>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row>
    <row r="94" spans="1:35">
      <c r="A94" s="4"/>
      <c r="D94" s="318" t="s">
        <v>150</v>
      </c>
      <c r="E94" s="331" t="s">
        <v>151</v>
      </c>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row>
    <row r="95" spans="1:35">
      <c r="A95" s="4"/>
      <c r="D95" s="317"/>
      <c r="E95" s="331"/>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row>
    <row r="96" spans="1:35">
      <c r="A96" s="4"/>
      <c r="D96" s="317" t="s">
        <v>149</v>
      </c>
      <c r="E96" s="331"/>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row>
    <row r="97" spans="1:35">
      <c r="A97" s="4"/>
      <c r="D97" s="141" t="s">
        <v>150</v>
      </c>
      <c r="E97" s="331" t="s">
        <v>152</v>
      </c>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row>
    <row r="98" spans="1:35">
      <c r="A98" s="4"/>
      <c r="E98" s="331"/>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row>
    <row r="99" spans="1:35">
      <c r="A99" s="4"/>
      <c r="C99" s="26" t="str">
        <f>IF(AND(ISBLANK(D99),ISBLANK(E99)=FALSE),MAX(C$15:C98)+1,"")</f>
        <v/>
      </c>
      <c r="D99" s="29"/>
      <c r="E99" s="333"/>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row>
    <row r="100" spans="1:35">
      <c r="A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row>
    <row r="101" spans="1:3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row>
    <row r="102" spans="1:3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row>
    <row r="103" spans="1:3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row>
    <row r="104" spans="1:3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row>
    <row r="105" spans="1:3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row>
    <row r="106" spans="1:3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row>
    <row r="107" spans="1:3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row>
    <row r="108" spans="1:3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row>
    <row r="109" spans="1:3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row>
    <row r="110" spans="1:3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row>
    <row r="111" spans="1:3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row>
    <row r="112" spans="1:3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row>
    <row r="113" spans="1:3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row>
    <row r="114" spans="1:3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row>
    <row r="115" spans="1:3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row>
    <row r="116" spans="1:3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row>
    <row r="117" spans="1:3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row>
    <row r="118" spans="1:3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row>
    <row r="119" spans="1:3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row>
    <row r="120" spans="1:3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row>
    <row r="121" spans="1:3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row>
    <row r="122" spans="1:3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row>
    <row r="123" spans="1:3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row>
    <row r="124" spans="1:35">
      <c r="A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row>
  </sheetData>
  <sheetProtection password="EFF1" sheet="1" objects="1" scenarios="1" selectLockedCells="1" selectUnlockedCells="1"/>
  <phoneticPr fontId="2"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oddHeader>&amp;L&amp;"Arial,Italic"ABCB Glazing Calculator • Help sheet&amp;R&amp;"Arial,Italic"printed &amp;D</oddHeader>
    <oddFooter>&amp;L&amp;"Arial,Italic"&amp;F&amp;R&amp;"Arial,Italic"page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autoPageBreaks="0"/>
  </sheetPr>
  <dimension ref="A1:AI210"/>
  <sheetViews>
    <sheetView showGridLines="0" showRowColHeaders="0" showOutlineSymbols="0" topLeftCell="A4" zoomScaleNormal="100" workbookViewId="0">
      <selection activeCell="C20" sqref="C20"/>
    </sheetView>
  </sheetViews>
  <sheetFormatPr defaultRowHeight="12.75" outlineLevelRow="1" outlineLevelCol="1"/>
  <cols>
    <col min="1" max="1" width="1.7109375" customWidth="1"/>
    <col min="2" max="2" width="5.5703125" customWidth="1"/>
    <col min="17" max="17" width="4.7109375" customWidth="1"/>
    <col min="18" max="18" width="1.7109375" customWidth="1"/>
    <col min="21" max="21" width="0" hidden="1" customWidth="1" outlineLevel="1"/>
    <col min="22" max="22" width="9.140625" collapsed="1"/>
  </cols>
  <sheetData>
    <row r="1" spans="1:35" hidden="1" outlineLevel="1">
      <c r="B1" s="1" t="s">
        <v>19</v>
      </c>
      <c r="D1" s="1"/>
    </row>
    <row r="2" spans="1:35" hidden="1" outlineLevel="1">
      <c r="B2" s="2" t="s">
        <v>39</v>
      </c>
      <c r="D2" s="2"/>
    </row>
    <row r="3" spans="1:35" hidden="1" outlineLevel="1">
      <c r="B3" s="2" t="s">
        <v>40</v>
      </c>
      <c r="D3" s="2"/>
    </row>
    <row r="4" spans="1:35" collapsed="1">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row>
    <row r="5" spans="1:35" ht="30">
      <c r="A5" s="420"/>
      <c r="B5" s="421" t="s">
        <v>41</v>
      </c>
      <c r="C5" s="426" t="str">
        <f>Help!D24</f>
        <v>Displaying the Calculator form:</v>
      </c>
      <c r="D5" s="427"/>
      <c r="E5" s="428"/>
      <c r="F5" s="428"/>
      <c r="G5" s="428"/>
      <c r="H5" s="428"/>
      <c r="I5" s="428"/>
      <c r="J5" s="428"/>
      <c r="K5" s="428"/>
      <c r="L5" s="428"/>
      <c r="M5" s="428"/>
      <c r="N5" s="428"/>
      <c r="O5" s="428"/>
      <c r="P5" s="428"/>
      <c r="Q5" s="428"/>
      <c r="R5" s="422"/>
      <c r="S5" s="422"/>
      <c r="T5" s="420"/>
      <c r="U5" s="423" t="s">
        <v>43</v>
      </c>
      <c r="V5" s="420"/>
      <c r="W5" s="420"/>
      <c r="X5" s="420"/>
      <c r="Y5" s="420"/>
      <c r="Z5" s="420"/>
      <c r="AA5" s="420"/>
      <c r="AB5" s="420"/>
      <c r="AC5" s="420"/>
      <c r="AD5" s="420"/>
      <c r="AE5" s="420"/>
      <c r="AF5" s="420"/>
      <c r="AG5" s="420"/>
      <c r="AH5" s="420"/>
      <c r="AI5" s="420"/>
    </row>
    <row r="6" spans="1:35">
      <c r="A6" s="420"/>
      <c r="B6" s="420"/>
      <c r="C6" s="420"/>
      <c r="D6" s="420"/>
      <c r="E6" s="420"/>
      <c r="F6" s="420"/>
      <c r="G6" s="420"/>
      <c r="H6" s="420"/>
      <c r="I6" s="420"/>
      <c r="J6" s="420"/>
      <c r="K6" s="420"/>
      <c r="L6" s="420"/>
      <c r="M6" s="420"/>
      <c r="N6" s="420"/>
      <c r="O6" s="420"/>
      <c r="P6" s="420"/>
      <c r="Q6" s="420"/>
      <c r="R6" s="420"/>
      <c r="S6" s="422"/>
      <c r="T6" s="420"/>
      <c r="U6" s="420"/>
      <c r="V6" s="420"/>
      <c r="W6" s="420"/>
      <c r="X6" s="420"/>
      <c r="Y6" s="420"/>
      <c r="Z6" s="420"/>
      <c r="AA6" s="420"/>
      <c r="AB6" s="420"/>
      <c r="AC6" s="420"/>
      <c r="AD6" s="420"/>
      <c r="AE6" s="420"/>
      <c r="AF6" s="420"/>
      <c r="AG6" s="420"/>
      <c r="AH6" s="420"/>
      <c r="AI6" s="420"/>
    </row>
    <row r="7" spans="1:35">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row>
    <row r="8" spans="1:35">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row>
    <row r="9" spans="1:35">
      <c r="A9" s="420"/>
      <c r="B9" s="420"/>
      <c r="C9" s="424"/>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row>
    <row r="10" spans="1:35">
      <c r="A10" s="420"/>
      <c r="B10" s="420"/>
      <c r="C10" s="424"/>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row>
    <row r="11" spans="1:35">
      <c r="A11" s="420"/>
      <c r="B11" s="420"/>
      <c r="C11" s="424"/>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c r="AF11" s="420"/>
      <c r="AG11" s="420"/>
      <c r="AH11" s="420"/>
      <c r="AI11" s="420"/>
    </row>
    <row r="12" spans="1:35">
      <c r="A12" s="420"/>
      <c r="B12" s="420"/>
      <c r="C12" s="424"/>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row>
    <row r="13" spans="1:35">
      <c r="A13" s="420"/>
      <c r="B13" s="420"/>
      <c r="C13" s="424"/>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row>
    <row r="14" spans="1:35">
      <c r="A14" s="420"/>
      <c r="B14" s="420"/>
      <c r="C14" s="424"/>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row>
    <row r="15" spans="1:35">
      <c r="A15" s="420"/>
      <c r="B15" s="420"/>
      <c r="C15" s="424"/>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row>
    <row r="16" spans="1:35">
      <c r="A16" s="420"/>
      <c r="B16" s="420"/>
      <c r="C16" s="424"/>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row>
    <row r="17" spans="1:35">
      <c r="A17" s="420"/>
      <c r="B17" s="420"/>
      <c r="C17" s="424"/>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row>
    <row r="18" spans="1:35">
      <c r="A18" s="420"/>
      <c r="B18" s="420"/>
      <c r="C18" s="424"/>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row>
    <row r="19" spans="1:35">
      <c r="A19" s="420"/>
      <c r="B19" s="420"/>
      <c r="C19" s="424"/>
      <c r="D19" s="420"/>
      <c r="E19" s="420"/>
      <c r="F19" s="420"/>
      <c r="G19" s="420"/>
      <c r="H19" s="420"/>
      <c r="I19" s="420"/>
      <c r="J19" s="420"/>
      <c r="K19" s="420"/>
      <c r="L19" s="420"/>
      <c r="M19" s="420"/>
      <c r="N19" s="420"/>
      <c r="O19" s="420"/>
      <c r="P19" s="420"/>
      <c r="Q19" s="420"/>
      <c r="R19" s="420"/>
      <c r="S19" s="420"/>
      <c r="T19" s="420"/>
      <c r="U19" s="420"/>
      <c r="V19" s="420"/>
      <c r="W19" s="420"/>
      <c r="X19" s="420"/>
      <c r="Y19" s="420"/>
      <c r="Z19" s="420"/>
      <c r="AA19" s="420"/>
      <c r="AB19" s="420"/>
      <c r="AC19" s="420"/>
      <c r="AD19" s="420"/>
      <c r="AE19" s="420"/>
      <c r="AF19" s="420"/>
      <c r="AG19" s="420"/>
      <c r="AH19" s="420"/>
      <c r="AI19" s="420"/>
    </row>
    <row r="20" spans="1:35">
      <c r="A20" s="420"/>
      <c r="B20" s="420"/>
      <c r="C20" s="424"/>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c r="AB20" s="420"/>
      <c r="AC20" s="420"/>
      <c r="AD20" s="420"/>
      <c r="AE20" s="420"/>
      <c r="AF20" s="420"/>
      <c r="AG20" s="420"/>
      <c r="AH20" s="420"/>
      <c r="AI20" s="420"/>
    </row>
    <row r="21" spans="1:35">
      <c r="A21" s="420"/>
      <c r="B21" s="420"/>
      <c r="C21" s="424"/>
      <c r="D21" s="420"/>
      <c r="E21" s="420"/>
      <c r="F21" s="420"/>
      <c r="G21" s="420"/>
      <c r="H21" s="420"/>
      <c r="I21" s="420"/>
      <c r="J21" s="420"/>
      <c r="K21" s="420"/>
      <c r="L21" s="420"/>
      <c r="M21" s="420"/>
      <c r="N21" s="420"/>
      <c r="O21" s="420"/>
      <c r="P21" s="420"/>
      <c r="Q21" s="420"/>
      <c r="R21" s="420"/>
      <c r="S21" s="420"/>
      <c r="T21" s="420"/>
      <c r="U21" s="420"/>
      <c r="V21" s="420"/>
      <c r="W21" s="420"/>
      <c r="X21" s="420"/>
      <c r="Y21" s="420"/>
      <c r="Z21" s="420"/>
      <c r="AA21" s="420"/>
      <c r="AB21" s="420"/>
      <c r="AC21" s="420"/>
      <c r="AD21" s="420"/>
      <c r="AE21" s="420"/>
      <c r="AF21" s="420"/>
      <c r="AG21" s="420"/>
      <c r="AH21" s="420"/>
      <c r="AI21" s="420"/>
    </row>
    <row r="22" spans="1:35">
      <c r="A22" s="420"/>
      <c r="B22" s="420"/>
      <c r="C22" s="424"/>
      <c r="D22" s="420"/>
      <c r="E22" s="425"/>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row>
    <row r="23" spans="1:35">
      <c r="A23" s="420"/>
      <c r="B23" s="420"/>
      <c r="C23" s="424"/>
      <c r="D23" s="420"/>
      <c r="E23" s="420"/>
      <c r="F23" s="420"/>
      <c r="G23" s="420"/>
      <c r="H23" s="420"/>
      <c r="I23" s="420"/>
      <c r="J23" s="420"/>
      <c r="K23" s="420"/>
      <c r="L23" s="420"/>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row>
    <row r="24" spans="1:35">
      <c r="A24" s="420"/>
      <c r="B24" s="420"/>
      <c r="C24" s="424"/>
      <c r="D24" s="420"/>
      <c r="E24" s="420"/>
      <c r="F24" s="420"/>
      <c r="G24" s="420"/>
      <c r="H24" s="420"/>
      <c r="I24" s="420"/>
      <c r="J24" s="420"/>
      <c r="K24" s="420"/>
      <c r="L24" s="420"/>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row>
    <row r="25" spans="1:35">
      <c r="A25" s="420"/>
      <c r="B25" s="420"/>
      <c r="C25" s="424"/>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row>
    <row r="26" spans="1:35">
      <c r="A26" s="420"/>
      <c r="B26" s="420"/>
      <c r="C26" s="424"/>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row>
    <row r="27" spans="1:35">
      <c r="A27" s="420"/>
      <c r="B27" s="420"/>
      <c r="C27" s="424"/>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row>
    <row r="28" spans="1:35">
      <c r="A28" s="420"/>
      <c r="B28" s="420"/>
      <c r="C28" s="424"/>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row>
    <row r="29" spans="1:35">
      <c r="A29" s="420"/>
      <c r="B29" s="420"/>
      <c r="C29" s="424"/>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c r="AH29" s="420"/>
      <c r="AI29" s="420"/>
    </row>
    <row r="30" spans="1:35">
      <c r="A30" s="420"/>
      <c r="B30" s="420"/>
      <c r="C30" s="424"/>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row>
    <row r="31" spans="1:35">
      <c r="A31" s="420"/>
      <c r="B31" s="420"/>
      <c r="C31" s="424"/>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0"/>
      <c r="AF31" s="420"/>
      <c r="AG31" s="420"/>
      <c r="AH31" s="420"/>
      <c r="AI31" s="420"/>
    </row>
    <row r="32" spans="1:35">
      <c r="A32" s="420"/>
      <c r="B32" s="420"/>
      <c r="C32" s="424"/>
      <c r="D32" s="420"/>
      <c r="E32" s="420"/>
      <c r="F32" s="420"/>
      <c r="G32" s="420"/>
      <c r="H32" s="420"/>
      <c r="I32" s="420"/>
      <c r="J32" s="420"/>
      <c r="K32" s="420"/>
      <c r="L32" s="420"/>
      <c r="M32" s="420"/>
      <c r="N32" s="420"/>
      <c r="O32" s="420"/>
      <c r="P32" s="420"/>
      <c r="Q32" s="420"/>
      <c r="R32" s="420"/>
      <c r="S32" s="420"/>
      <c r="T32" s="420"/>
      <c r="U32" s="420"/>
      <c r="V32" s="420"/>
      <c r="W32" s="420"/>
      <c r="X32" s="420"/>
      <c r="Y32" s="420"/>
      <c r="Z32" s="420"/>
      <c r="AA32" s="420"/>
      <c r="AB32" s="420"/>
      <c r="AC32" s="420"/>
      <c r="AD32" s="420"/>
      <c r="AE32" s="420"/>
      <c r="AF32" s="420"/>
      <c r="AG32" s="420"/>
      <c r="AH32" s="420"/>
      <c r="AI32" s="420"/>
    </row>
    <row r="33" spans="1:35">
      <c r="A33" s="420"/>
      <c r="B33" s="420"/>
      <c r="C33" s="424"/>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c r="AI33" s="420"/>
    </row>
    <row r="34" spans="1:35">
      <c r="A34" s="420"/>
      <c r="B34" s="420"/>
      <c r="C34" s="424"/>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row>
    <row r="35" spans="1:35">
      <c r="A35" s="420"/>
      <c r="B35" s="420"/>
      <c r="C35" s="424"/>
      <c r="D35" s="420"/>
      <c r="E35" s="420"/>
      <c r="F35" s="420"/>
      <c r="G35" s="420"/>
      <c r="H35" s="420"/>
      <c r="I35" s="420"/>
      <c r="J35" s="420"/>
      <c r="K35" s="420"/>
      <c r="L35" s="420"/>
      <c r="M35" s="420"/>
      <c r="N35" s="420"/>
      <c r="O35" s="420"/>
      <c r="P35" s="420"/>
      <c r="Q35" s="420"/>
      <c r="R35" s="420"/>
      <c r="S35" s="420"/>
      <c r="T35" s="420"/>
      <c r="U35" s="420"/>
      <c r="V35" s="420"/>
      <c r="W35" s="420"/>
      <c r="X35" s="420"/>
      <c r="Y35" s="420"/>
      <c r="Z35" s="420"/>
      <c r="AA35" s="420"/>
      <c r="AB35" s="420"/>
      <c r="AC35" s="420"/>
      <c r="AD35" s="420"/>
      <c r="AE35" s="420"/>
      <c r="AF35" s="420"/>
      <c r="AG35" s="420"/>
      <c r="AH35" s="420"/>
      <c r="AI35" s="420"/>
    </row>
    <row r="36" spans="1:35">
      <c r="A36" s="420"/>
      <c r="B36" s="420"/>
      <c r="C36" s="424"/>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c r="AB36" s="420"/>
      <c r="AC36" s="420"/>
      <c r="AD36" s="420"/>
      <c r="AE36" s="420"/>
      <c r="AF36" s="420"/>
      <c r="AG36" s="420"/>
      <c r="AH36" s="420"/>
      <c r="AI36" s="420"/>
    </row>
    <row r="37" spans="1:35">
      <c r="A37" s="420"/>
      <c r="B37" s="420"/>
      <c r="C37" s="424"/>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c r="AB37" s="420"/>
      <c r="AC37" s="420"/>
      <c r="AD37" s="420"/>
      <c r="AE37" s="420"/>
      <c r="AF37" s="420"/>
      <c r="AG37" s="420"/>
      <c r="AH37" s="420"/>
      <c r="AI37" s="420"/>
    </row>
    <row r="38" spans="1:35">
      <c r="A38" s="420"/>
      <c r="B38" s="420"/>
      <c r="C38" s="424"/>
      <c r="D38" s="420"/>
      <c r="E38" s="420"/>
      <c r="F38" s="420"/>
      <c r="G38" s="420"/>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row>
    <row r="39" spans="1:35">
      <c r="A39" s="420"/>
      <c r="B39" s="420"/>
      <c r="C39" s="424"/>
      <c r="D39" s="420"/>
      <c r="E39" s="420"/>
      <c r="F39" s="420"/>
      <c r="G39" s="420"/>
      <c r="H39" s="420"/>
      <c r="I39" s="420"/>
      <c r="J39" s="420"/>
      <c r="K39" s="420"/>
      <c r="L39" s="420"/>
      <c r="M39" s="420"/>
      <c r="N39" s="420"/>
      <c r="O39" s="420"/>
      <c r="P39" s="420"/>
      <c r="Q39" s="420"/>
      <c r="R39" s="420"/>
      <c r="S39" s="420"/>
      <c r="T39" s="420"/>
      <c r="U39" s="420"/>
      <c r="V39" s="420"/>
      <c r="W39" s="420"/>
      <c r="X39" s="420"/>
      <c r="Y39" s="420"/>
      <c r="Z39" s="420"/>
      <c r="AA39" s="420"/>
      <c r="AB39" s="420"/>
      <c r="AC39" s="420"/>
      <c r="AD39" s="420"/>
      <c r="AE39" s="420"/>
      <c r="AF39" s="420"/>
      <c r="AG39" s="420"/>
      <c r="AH39" s="420"/>
      <c r="AI39" s="420"/>
    </row>
    <row r="40" spans="1:35">
      <c r="A40" s="420"/>
      <c r="B40" s="420"/>
      <c r="C40" s="424"/>
      <c r="D40" s="420"/>
      <c r="E40" s="420"/>
      <c r="F40" s="420"/>
      <c r="G40" s="420"/>
      <c r="H40" s="420"/>
      <c r="I40" s="420"/>
      <c r="J40" s="420"/>
      <c r="K40" s="420"/>
      <c r="L40" s="420"/>
      <c r="M40" s="420"/>
      <c r="N40" s="420"/>
      <c r="O40" s="420"/>
      <c r="P40" s="420"/>
      <c r="Q40" s="420"/>
      <c r="R40" s="420"/>
      <c r="S40" s="420"/>
      <c r="T40" s="420"/>
      <c r="U40" s="420"/>
      <c r="V40" s="420"/>
      <c r="W40" s="420"/>
      <c r="X40" s="420"/>
      <c r="Y40" s="420"/>
      <c r="Z40" s="420"/>
      <c r="AA40" s="420"/>
      <c r="AB40" s="420"/>
      <c r="AC40" s="420"/>
      <c r="AD40" s="420"/>
      <c r="AE40" s="420"/>
      <c r="AF40" s="420"/>
      <c r="AG40" s="420"/>
      <c r="AH40" s="420"/>
      <c r="AI40" s="420"/>
    </row>
    <row r="41" spans="1:35">
      <c r="A41" s="420"/>
      <c r="B41" s="420"/>
      <c r="C41" s="424"/>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row>
    <row r="42" spans="1:35">
      <c r="A42" s="420"/>
      <c r="B42" s="420"/>
      <c r="C42" s="424"/>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row>
    <row r="43" spans="1:35">
      <c r="A43" s="420"/>
      <c r="B43" s="420"/>
      <c r="C43" s="424"/>
      <c r="D43" s="420"/>
      <c r="E43" s="420"/>
      <c r="F43" s="420"/>
      <c r="G43" s="420"/>
      <c r="H43" s="420"/>
      <c r="I43" s="420"/>
      <c r="J43" s="420"/>
      <c r="K43" s="420"/>
      <c r="L43" s="420"/>
      <c r="M43" s="420"/>
      <c r="N43" s="420"/>
      <c r="O43" s="420"/>
      <c r="P43" s="420"/>
      <c r="Q43" s="420"/>
      <c r="R43" s="420"/>
      <c r="S43" s="420"/>
      <c r="T43" s="420"/>
      <c r="U43" s="420"/>
      <c r="V43" s="420"/>
      <c r="W43" s="420"/>
      <c r="X43" s="420"/>
      <c r="Y43" s="420"/>
      <c r="Z43" s="420"/>
      <c r="AA43" s="420"/>
      <c r="AB43" s="420"/>
      <c r="AC43" s="420"/>
      <c r="AD43" s="420"/>
      <c r="AE43" s="420"/>
      <c r="AF43" s="420"/>
      <c r="AG43" s="420"/>
      <c r="AH43" s="420"/>
      <c r="AI43" s="420"/>
    </row>
    <row r="44" spans="1:35">
      <c r="A44" s="420"/>
      <c r="B44" s="420"/>
      <c r="C44" s="424"/>
      <c r="D44" s="420"/>
      <c r="E44" s="420"/>
      <c r="F44" s="420"/>
      <c r="G44" s="420"/>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row>
    <row r="45" spans="1:35">
      <c r="A45" s="420"/>
      <c r="B45" s="420"/>
      <c r="C45" s="420"/>
      <c r="D45" s="420"/>
      <c r="E45" s="420"/>
      <c r="F45" s="420"/>
      <c r="G45" s="420"/>
      <c r="H45" s="420"/>
      <c r="I45" s="420"/>
      <c r="J45" s="420"/>
      <c r="K45" s="420"/>
      <c r="L45" s="420"/>
      <c r="M45" s="420"/>
      <c r="N45" s="420"/>
      <c r="O45" s="420"/>
      <c r="P45" s="420"/>
      <c r="Q45" s="420"/>
      <c r="R45" s="420"/>
      <c r="S45" s="420"/>
      <c r="T45" s="420"/>
      <c r="U45" s="420"/>
      <c r="V45" s="420"/>
      <c r="W45" s="420"/>
      <c r="X45" s="420"/>
      <c r="Y45" s="420"/>
      <c r="Z45" s="420"/>
      <c r="AA45" s="420"/>
      <c r="AB45" s="420"/>
      <c r="AC45" s="420"/>
      <c r="AD45" s="420"/>
      <c r="AE45" s="420"/>
      <c r="AF45" s="420"/>
      <c r="AG45" s="420"/>
      <c r="AH45" s="420"/>
      <c r="AI45" s="420"/>
    </row>
    <row r="46" spans="1:35">
      <c r="A46" s="420"/>
      <c r="B46" s="420"/>
      <c r="C46" s="420"/>
      <c r="D46" s="420"/>
      <c r="E46" s="420"/>
      <c r="F46" s="420"/>
      <c r="G46" s="420"/>
      <c r="H46" s="420"/>
      <c r="I46" s="420"/>
      <c r="J46" s="420"/>
      <c r="K46" s="420"/>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row>
    <row r="47" spans="1:35">
      <c r="A47" s="420"/>
      <c r="B47" s="420"/>
      <c r="C47" s="420"/>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row>
    <row r="48" spans="1:35">
      <c r="A48" s="420"/>
      <c r="B48" s="420"/>
      <c r="C48" s="420"/>
      <c r="D48" s="420"/>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row>
    <row r="49" spans="1:35">
      <c r="A49" s="420"/>
      <c r="B49" s="420"/>
      <c r="C49" s="420"/>
      <c r="D49" s="420"/>
      <c r="E49" s="420"/>
      <c r="F49" s="420"/>
      <c r="G49" s="420"/>
      <c r="H49" s="420"/>
      <c r="I49" s="420"/>
      <c r="J49" s="420"/>
      <c r="K49" s="420"/>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row>
    <row r="50" spans="1:35">
      <c r="A50" s="420"/>
      <c r="B50" s="420"/>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c r="AB50" s="420"/>
      <c r="AC50" s="420"/>
      <c r="AD50" s="420"/>
      <c r="AE50" s="420"/>
      <c r="AF50" s="420"/>
      <c r="AG50" s="420"/>
      <c r="AH50" s="420"/>
      <c r="AI50" s="420"/>
    </row>
    <row r="51" spans="1:35">
      <c r="A51" s="420"/>
      <c r="B51" s="420"/>
      <c r="C51" s="420"/>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c r="AF51" s="420"/>
      <c r="AG51" s="420"/>
      <c r="AH51" s="420"/>
      <c r="AI51" s="420"/>
    </row>
    <row r="52" spans="1:35">
      <c r="A52" s="420"/>
      <c r="B52" s="420"/>
      <c r="C52" s="420"/>
      <c r="D52" s="420"/>
      <c r="E52" s="420"/>
      <c r="F52" s="420"/>
      <c r="G52" s="420"/>
      <c r="H52" s="420"/>
      <c r="I52" s="420"/>
      <c r="J52" s="420"/>
      <c r="K52" s="420"/>
      <c r="L52" s="420"/>
      <c r="M52" s="420"/>
      <c r="N52" s="420"/>
      <c r="O52" s="420"/>
      <c r="P52" s="420"/>
      <c r="Q52" s="420"/>
      <c r="R52" s="420"/>
      <c r="S52" s="420"/>
      <c r="T52" s="420"/>
      <c r="U52" s="420"/>
      <c r="V52" s="420"/>
      <c r="W52" s="420"/>
      <c r="X52" s="420"/>
      <c r="Y52" s="420"/>
      <c r="Z52" s="420"/>
      <c r="AA52" s="420"/>
      <c r="AB52" s="420"/>
      <c r="AC52" s="420"/>
      <c r="AD52" s="420"/>
      <c r="AE52" s="420"/>
      <c r="AF52" s="420"/>
      <c r="AG52" s="420"/>
      <c r="AH52" s="420"/>
      <c r="AI52" s="420"/>
    </row>
    <row r="53" spans="1:35">
      <c r="A53" s="420"/>
      <c r="B53" s="420"/>
      <c r="C53" s="420"/>
      <c r="D53" s="420"/>
      <c r="E53" s="420"/>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20"/>
      <c r="AE53" s="420"/>
      <c r="AF53" s="420"/>
      <c r="AG53" s="420"/>
      <c r="AH53" s="420"/>
      <c r="AI53" s="420"/>
    </row>
    <row r="54" spans="1:35">
      <c r="A54" s="420"/>
      <c r="B54" s="420"/>
      <c r="C54" s="420"/>
      <c r="D54" s="420"/>
      <c r="E54" s="420"/>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20"/>
      <c r="AE54" s="420"/>
      <c r="AF54" s="420"/>
      <c r="AG54" s="420"/>
      <c r="AH54" s="420"/>
      <c r="AI54" s="420"/>
    </row>
    <row r="55" spans="1:35">
      <c r="A55" s="420"/>
      <c r="B55" s="420"/>
      <c r="C55" s="420"/>
      <c r="D55" s="420"/>
      <c r="E55" s="420"/>
      <c r="F55" s="420"/>
      <c r="G55" s="420"/>
      <c r="H55" s="420"/>
      <c r="I55" s="420"/>
      <c r="J55" s="420"/>
      <c r="K55" s="420"/>
      <c r="L55" s="420"/>
      <c r="M55" s="420"/>
      <c r="N55" s="420"/>
      <c r="O55" s="420"/>
      <c r="P55" s="420"/>
      <c r="Q55" s="420"/>
      <c r="R55" s="420"/>
      <c r="S55" s="420"/>
      <c r="T55" s="420"/>
      <c r="U55" s="420"/>
      <c r="V55" s="420"/>
      <c r="W55" s="420"/>
      <c r="X55" s="420"/>
      <c r="Y55" s="420"/>
      <c r="Z55" s="420"/>
      <c r="AA55" s="420"/>
      <c r="AB55" s="420"/>
      <c r="AC55" s="420"/>
      <c r="AD55" s="420"/>
      <c r="AE55" s="420"/>
      <c r="AF55" s="420"/>
      <c r="AG55" s="420"/>
      <c r="AH55" s="420"/>
      <c r="AI55" s="420"/>
    </row>
    <row r="56" spans="1:35">
      <c r="A56" s="420"/>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0"/>
      <c r="Z56" s="420"/>
      <c r="AA56" s="420"/>
      <c r="AB56" s="420"/>
      <c r="AC56" s="420"/>
      <c r="AD56" s="420"/>
      <c r="AE56" s="420"/>
      <c r="AF56" s="420"/>
      <c r="AG56" s="420"/>
      <c r="AH56" s="420"/>
      <c r="AI56" s="420"/>
    </row>
    <row r="57" spans="1:35">
      <c r="A57" s="420"/>
      <c r="B57" s="420"/>
      <c r="C57" s="420"/>
      <c r="D57" s="420"/>
      <c r="E57" s="420"/>
      <c r="F57" s="420"/>
      <c r="G57" s="420"/>
      <c r="H57" s="420"/>
      <c r="I57" s="420"/>
      <c r="J57" s="420"/>
      <c r="K57" s="420"/>
      <c r="L57" s="420"/>
      <c r="M57" s="420"/>
      <c r="N57" s="420"/>
      <c r="O57" s="420"/>
      <c r="P57" s="420"/>
      <c r="Q57" s="420"/>
      <c r="R57" s="420"/>
      <c r="S57" s="420"/>
      <c r="T57" s="420"/>
      <c r="U57" s="420"/>
      <c r="V57" s="420"/>
      <c r="W57" s="420"/>
      <c r="X57" s="420"/>
      <c r="Y57" s="420"/>
      <c r="Z57" s="420"/>
      <c r="AA57" s="420"/>
      <c r="AB57" s="420"/>
      <c r="AC57" s="420"/>
      <c r="AD57" s="420"/>
      <c r="AE57" s="420"/>
      <c r="AF57" s="420"/>
      <c r="AG57" s="420"/>
      <c r="AH57" s="420"/>
      <c r="AI57" s="420"/>
    </row>
    <row r="58" spans="1:35">
      <c r="A58" s="420"/>
      <c r="B58" s="420"/>
      <c r="C58" s="420"/>
      <c r="D58" s="420"/>
      <c r="E58" s="420"/>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420"/>
      <c r="AE58" s="420"/>
      <c r="AF58" s="420"/>
      <c r="AG58" s="420"/>
      <c r="AH58" s="420"/>
      <c r="AI58" s="420"/>
    </row>
    <row r="59" spans="1:35">
      <c r="A59" s="420"/>
      <c r="B59" s="420"/>
      <c r="C59" s="420"/>
      <c r="D59" s="420"/>
      <c r="E59" s="420"/>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c r="AF59" s="420"/>
      <c r="AG59" s="420"/>
      <c r="AH59" s="420"/>
      <c r="AI59" s="420"/>
    </row>
    <row r="60" spans="1:35">
      <c r="A60" s="420"/>
      <c r="B60" s="420"/>
      <c r="C60" s="420"/>
      <c r="D60" s="420"/>
      <c r="E60" s="420"/>
      <c r="F60" s="420"/>
      <c r="G60" s="420"/>
      <c r="H60" s="420"/>
      <c r="I60" s="420"/>
      <c r="J60" s="420"/>
      <c r="K60" s="420"/>
      <c r="L60" s="420"/>
      <c r="M60" s="420"/>
      <c r="N60" s="420"/>
      <c r="O60" s="420"/>
      <c r="P60" s="420"/>
      <c r="Q60" s="420"/>
      <c r="R60" s="420"/>
      <c r="S60" s="420"/>
      <c r="T60" s="420"/>
      <c r="U60" s="420"/>
      <c r="V60" s="420"/>
      <c r="W60" s="420"/>
      <c r="X60" s="420"/>
      <c r="Y60" s="420"/>
      <c r="Z60" s="420"/>
      <c r="AA60" s="420"/>
      <c r="AB60" s="420"/>
      <c r="AC60" s="420"/>
      <c r="AD60" s="420"/>
      <c r="AE60" s="420"/>
      <c r="AF60" s="420"/>
      <c r="AG60" s="420"/>
      <c r="AH60" s="420"/>
      <c r="AI60" s="420"/>
    </row>
    <row r="61" spans="1:35">
      <c r="A61" s="420"/>
      <c r="B61" s="420"/>
      <c r="C61" s="420"/>
      <c r="D61" s="420"/>
      <c r="E61" s="420"/>
      <c r="F61" s="420"/>
      <c r="G61" s="420"/>
      <c r="H61" s="420"/>
      <c r="I61" s="420"/>
      <c r="J61" s="420"/>
      <c r="K61" s="420"/>
      <c r="L61" s="420"/>
      <c r="M61" s="420"/>
      <c r="N61" s="420"/>
      <c r="O61" s="420"/>
      <c r="P61" s="420"/>
      <c r="Q61" s="420"/>
      <c r="R61" s="420"/>
      <c r="S61" s="420"/>
      <c r="T61" s="420"/>
      <c r="U61" s="420"/>
      <c r="V61" s="420"/>
      <c r="W61" s="420"/>
      <c r="X61" s="420"/>
      <c r="Y61" s="420"/>
      <c r="Z61" s="420"/>
      <c r="AA61" s="420"/>
      <c r="AB61" s="420"/>
      <c r="AC61" s="420"/>
      <c r="AD61" s="420"/>
      <c r="AE61" s="420"/>
      <c r="AF61" s="420"/>
      <c r="AG61" s="420"/>
      <c r="AH61" s="420"/>
      <c r="AI61" s="420"/>
    </row>
    <row r="62" spans="1:35">
      <c r="A62" s="420"/>
      <c r="B62" s="420"/>
      <c r="C62" s="420"/>
      <c r="D62" s="420"/>
      <c r="E62" s="420"/>
      <c r="F62" s="420"/>
      <c r="G62" s="420"/>
      <c r="H62" s="420"/>
      <c r="I62" s="420"/>
      <c r="J62" s="420"/>
      <c r="K62" s="420"/>
      <c r="L62" s="420"/>
      <c r="M62" s="420"/>
      <c r="N62" s="420"/>
      <c r="O62" s="420"/>
      <c r="P62" s="420"/>
      <c r="Q62" s="420"/>
      <c r="R62" s="420"/>
      <c r="S62" s="420"/>
      <c r="T62" s="420"/>
      <c r="U62" s="420"/>
      <c r="V62" s="420"/>
      <c r="W62" s="420"/>
      <c r="X62" s="420"/>
      <c r="Y62" s="420"/>
      <c r="Z62" s="420"/>
      <c r="AA62" s="420"/>
      <c r="AB62" s="420"/>
      <c r="AC62" s="420"/>
      <c r="AD62" s="420"/>
      <c r="AE62" s="420"/>
      <c r="AF62" s="420"/>
      <c r="AG62" s="420"/>
      <c r="AH62" s="420"/>
      <c r="AI62" s="420"/>
    </row>
    <row r="63" spans="1:35">
      <c r="A63" s="420"/>
      <c r="B63" s="420"/>
      <c r="C63" s="420"/>
      <c r="D63" s="420"/>
      <c r="E63" s="420"/>
      <c r="F63" s="420"/>
      <c r="G63" s="420"/>
      <c r="H63" s="420"/>
      <c r="I63" s="420"/>
      <c r="J63" s="420"/>
      <c r="K63" s="420"/>
      <c r="L63" s="420"/>
      <c r="M63" s="420"/>
      <c r="N63" s="420"/>
      <c r="O63" s="420"/>
      <c r="P63" s="420"/>
      <c r="Q63" s="420"/>
      <c r="R63" s="420"/>
      <c r="S63" s="420"/>
      <c r="T63" s="420"/>
      <c r="U63" s="420"/>
      <c r="V63" s="420"/>
      <c r="W63" s="420"/>
      <c r="X63" s="420"/>
      <c r="Y63" s="420"/>
      <c r="Z63" s="420"/>
      <c r="AA63" s="420"/>
      <c r="AB63" s="420"/>
      <c r="AC63" s="420"/>
      <c r="AD63" s="420"/>
      <c r="AE63" s="420"/>
      <c r="AF63" s="420"/>
      <c r="AG63" s="420"/>
      <c r="AH63" s="420"/>
      <c r="AI63" s="420"/>
    </row>
    <row r="64" spans="1:35" ht="30">
      <c r="A64" s="420"/>
      <c r="B64" s="421" t="s">
        <v>42</v>
      </c>
      <c r="C64" s="426" t="str">
        <f>Help!D30</f>
        <v>Adding and changing glazing details:</v>
      </c>
      <c r="D64" s="427"/>
      <c r="E64" s="428"/>
      <c r="F64" s="428"/>
      <c r="G64" s="428"/>
      <c r="H64" s="428"/>
      <c r="I64" s="428"/>
      <c r="J64" s="428"/>
      <c r="K64" s="428"/>
      <c r="L64" s="428"/>
      <c r="M64" s="428"/>
      <c r="N64" s="428"/>
      <c r="O64" s="428"/>
      <c r="P64" s="428"/>
      <c r="Q64" s="428"/>
      <c r="R64" s="420"/>
      <c r="S64" s="420"/>
      <c r="T64" s="420"/>
      <c r="U64" s="420"/>
      <c r="V64" s="420"/>
      <c r="W64" s="420"/>
      <c r="X64" s="420"/>
      <c r="Y64" s="420"/>
      <c r="Z64" s="420"/>
      <c r="AA64" s="420"/>
      <c r="AB64" s="420"/>
      <c r="AC64" s="420"/>
      <c r="AD64" s="420"/>
      <c r="AE64" s="420"/>
      <c r="AF64" s="420"/>
      <c r="AG64" s="420"/>
      <c r="AH64" s="420"/>
      <c r="AI64" s="420"/>
    </row>
    <row r="65" spans="1:35">
      <c r="A65" s="420"/>
      <c r="B65" s="420"/>
      <c r="C65" s="420"/>
      <c r="D65" s="420"/>
      <c r="E65" s="420"/>
      <c r="F65" s="420"/>
      <c r="G65" s="420"/>
      <c r="H65" s="420"/>
      <c r="I65" s="420"/>
      <c r="J65" s="420"/>
      <c r="K65" s="420"/>
      <c r="L65" s="420"/>
      <c r="M65" s="420"/>
      <c r="N65" s="420"/>
      <c r="O65" s="420"/>
      <c r="P65" s="420"/>
      <c r="Q65" s="420"/>
      <c r="R65" s="420"/>
      <c r="S65" s="420"/>
      <c r="T65" s="420"/>
      <c r="U65" s="420"/>
      <c r="V65" s="420"/>
      <c r="W65" s="420"/>
      <c r="X65" s="420"/>
      <c r="Y65" s="420"/>
      <c r="Z65" s="420"/>
      <c r="AA65" s="420"/>
      <c r="AB65" s="420"/>
      <c r="AC65" s="420"/>
      <c r="AD65" s="420"/>
      <c r="AE65" s="420"/>
      <c r="AF65" s="420"/>
      <c r="AG65" s="420"/>
      <c r="AH65" s="420"/>
      <c r="AI65" s="420"/>
    </row>
    <row r="66" spans="1:35">
      <c r="A66" s="420"/>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row>
    <row r="67" spans="1:35">
      <c r="A67" s="420"/>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row>
    <row r="68" spans="1:35">
      <c r="A68" s="420"/>
      <c r="B68" s="420"/>
      <c r="C68" s="424"/>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row>
    <row r="69" spans="1:35">
      <c r="A69" s="420"/>
      <c r="B69" s="420"/>
      <c r="C69" s="424"/>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row>
    <row r="70" spans="1:35">
      <c r="A70" s="420"/>
      <c r="B70" s="420"/>
      <c r="C70" s="424"/>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row>
    <row r="71" spans="1:35">
      <c r="A71" s="420"/>
      <c r="B71" s="420"/>
      <c r="C71" s="424"/>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c r="AF71" s="420"/>
      <c r="AG71" s="420"/>
      <c r="AH71" s="420"/>
      <c r="AI71" s="420"/>
    </row>
    <row r="72" spans="1:35">
      <c r="A72" s="420"/>
      <c r="B72" s="420"/>
      <c r="C72" s="424"/>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row>
    <row r="73" spans="1:35">
      <c r="A73" s="420"/>
      <c r="B73" s="420"/>
      <c r="C73" s="424"/>
      <c r="D73" s="420"/>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row>
    <row r="74" spans="1:35">
      <c r="A74" s="420"/>
      <c r="B74" s="420"/>
      <c r="C74" s="424"/>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row>
    <row r="75" spans="1:35">
      <c r="A75" s="420"/>
      <c r="B75" s="420"/>
      <c r="C75" s="424"/>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row>
    <row r="76" spans="1:35">
      <c r="A76" s="420"/>
      <c r="B76" s="420"/>
      <c r="C76" s="424"/>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row>
    <row r="77" spans="1:35">
      <c r="A77" s="420"/>
      <c r="B77" s="420"/>
      <c r="C77" s="424"/>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row>
    <row r="78" spans="1:35">
      <c r="A78" s="420"/>
      <c r="B78" s="420"/>
      <c r="C78" s="424"/>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row>
    <row r="79" spans="1:35">
      <c r="A79" s="420"/>
      <c r="B79" s="420"/>
      <c r="C79" s="424"/>
      <c r="D79" s="420"/>
      <c r="E79" s="420"/>
      <c r="F79" s="420"/>
      <c r="G79" s="420"/>
      <c r="H79" s="420"/>
      <c r="I79" s="420"/>
      <c r="J79" s="420"/>
      <c r="K79" s="420"/>
      <c r="L79" s="420"/>
      <c r="M79" s="420"/>
      <c r="N79" s="420"/>
      <c r="O79" s="420"/>
      <c r="P79" s="420"/>
      <c r="Q79" s="420"/>
      <c r="R79" s="420"/>
      <c r="S79" s="420"/>
      <c r="T79" s="420"/>
      <c r="U79" s="420"/>
      <c r="V79" s="420"/>
      <c r="W79" s="420"/>
      <c r="X79" s="420"/>
      <c r="Y79" s="420"/>
      <c r="Z79" s="420"/>
      <c r="AA79" s="420"/>
      <c r="AB79" s="420"/>
      <c r="AC79" s="420"/>
      <c r="AD79" s="420"/>
      <c r="AE79" s="420"/>
      <c r="AF79" s="420"/>
      <c r="AG79" s="420"/>
      <c r="AH79" s="420"/>
      <c r="AI79" s="420"/>
    </row>
    <row r="80" spans="1:35">
      <c r="A80" s="420"/>
      <c r="B80" s="420"/>
      <c r="C80" s="424"/>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c r="AI80" s="420"/>
    </row>
    <row r="81" spans="1:35">
      <c r="A81" s="420"/>
      <c r="B81" s="420"/>
      <c r="C81" s="424"/>
      <c r="D81" s="420"/>
      <c r="E81" s="420"/>
      <c r="F81" s="420"/>
      <c r="G81" s="420"/>
      <c r="H81" s="420"/>
      <c r="I81" s="420"/>
      <c r="J81" s="420"/>
      <c r="K81" s="420"/>
      <c r="L81" s="420"/>
      <c r="M81" s="420"/>
      <c r="N81" s="420"/>
      <c r="O81" s="420"/>
      <c r="P81" s="420"/>
      <c r="Q81" s="420"/>
      <c r="R81" s="420"/>
      <c r="S81" s="420"/>
      <c r="T81" s="420"/>
      <c r="U81" s="420"/>
      <c r="V81" s="420"/>
      <c r="W81" s="420"/>
      <c r="X81" s="420"/>
      <c r="Y81" s="420"/>
      <c r="Z81" s="420"/>
      <c r="AA81" s="420"/>
      <c r="AB81" s="420"/>
      <c r="AC81" s="420"/>
      <c r="AD81" s="420"/>
      <c r="AE81" s="420"/>
      <c r="AF81" s="420"/>
      <c r="AG81" s="420"/>
      <c r="AH81" s="420"/>
      <c r="AI81" s="420"/>
    </row>
    <row r="82" spans="1:35">
      <c r="A82" s="420"/>
      <c r="B82" s="420"/>
      <c r="C82" s="424"/>
      <c r="D82" s="420"/>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0"/>
      <c r="AD82" s="420"/>
      <c r="AE82" s="420"/>
      <c r="AF82" s="420"/>
      <c r="AG82" s="420"/>
      <c r="AH82" s="420"/>
      <c r="AI82" s="420"/>
    </row>
    <row r="83" spans="1:35">
      <c r="A83" s="420"/>
      <c r="B83" s="420"/>
      <c r="C83" s="424"/>
      <c r="D83" s="420"/>
      <c r="E83" s="420"/>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row>
    <row r="84" spans="1:35">
      <c r="A84" s="420"/>
      <c r="B84" s="420"/>
      <c r="C84" s="424"/>
      <c r="D84" s="420"/>
      <c r="E84" s="420"/>
      <c r="F84" s="420"/>
      <c r="G84" s="420"/>
      <c r="H84" s="420"/>
      <c r="I84" s="420"/>
      <c r="J84" s="420"/>
      <c r="K84" s="420"/>
      <c r="L84" s="420"/>
      <c r="M84" s="420"/>
      <c r="N84" s="420"/>
      <c r="O84" s="420"/>
      <c r="P84" s="420"/>
      <c r="Q84" s="420"/>
      <c r="R84" s="420"/>
      <c r="S84" s="420"/>
      <c r="T84" s="420"/>
      <c r="U84" s="420"/>
      <c r="V84" s="420"/>
      <c r="W84" s="420"/>
      <c r="X84" s="420"/>
      <c r="Y84" s="420"/>
      <c r="Z84" s="420"/>
      <c r="AA84" s="420"/>
      <c r="AB84" s="420"/>
      <c r="AC84" s="420"/>
      <c r="AD84" s="420"/>
      <c r="AE84" s="420"/>
      <c r="AF84" s="420"/>
      <c r="AG84" s="420"/>
      <c r="AH84" s="420"/>
      <c r="AI84" s="420"/>
    </row>
    <row r="85" spans="1:35">
      <c r="A85" s="420"/>
      <c r="B85" s="420"/>
      <c r="C85" s="424"/>
      <c r="D85" s="420"/>
      <c r="E85" s="420"/>
      <c r="F85" s="420"/>
      <c r="G85" s="420"/>
      <c r="H85" s="420"/>
      <c r="I85" s="420"/>
      <c r="J85" s="420"/>
      <c r="K85" s="420"/>
      <c r="L85" s="420"/>
      <c r="M85" s="420"/>
      <c r="N85" s="420"/>
      <c r="O85" s="420"/>
      <c r="P85" s="420"/>
      <c r="Q85" s="420"/>
      <c r="R85" s="420"/>
      <c r="S85" s="420"/>
      <c r="T85" s="420"/>
      <c r="U85" s="420"/>
      <c r="V85" s="420"/>
      <c r="W85" s="420"/>
      <c r="X85" s="420"/>
      <c r="Y85" s="420"/>
      <c r="Z85" s="420"/>
      <c r="AA85" s="420"/>
      <c r="AB85" s="420"/>
      <c r="AC85" s="420"/>
      <c r="AD85" s="420"/>
      <c r="AE85" s="420"/>
      <c r="AF85" s="420"/>
      <c r="AG85" s="420"/>
      <c r="AH85" s="420"/>
      <c r="AI85" s="420"/>
    </row>
    <row r="86" spans="1:35">
      <c r="A86" s="420"/>
      <c r="B86" s="420"/>
      <c r="C86" s="424"/>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row>
    <row r="87" spans="1:35">
      <c r="A87" s="420"/>
      <c r="B87" s="420"/>
      <c r="C87" s="424"/>
      <c r="D87" s="420"/>
      <c r="E87" s="420"/>
      <c r="F87" s="420"/>
      <c r="G87" s="420"/>
      <c r="H87" s="420"/>
      <c r="I87" s="420"/>
      <c r="J87" s="420"/>
      <c r="K87" s="420"/>
      <c r="L87" s="420"/>
      <c r="M87" s="420"/>
      <c r="N87" s="420"/>
      <c r="O87" s="420"/>
      <c r="P87" s="420"/>
      <c r="Q87" s="420"/>
      <c r="R87" s="420"/>
      <c r="S87" s="420"/>
      <c r="T87" s="420"/>
      <c r="U87" s="420"/>
      <c r="V87" s="420"/>
      <c r="W87" s="420"/>
      <c r="X87" s="420"/>
      <c r="Y87" s="420"/>
      <c r="Z87" s="420"/>
      <c r="AA87" s="420"/>
      <c r="AB87" s="420"/>
      <c r="AC87" s="420"/>
      <c r="AD87" s="420"/>
      <c r="AE87" s="420"/>
      <c r="AF87" s="420"/>
      <c r="AG87" s="420"/>
      <c r="AH87" s="420"/>
      <c r="AI87" s="420"/>
    </row>
    <row r="88" spans="1:35">
      <c r="A88" s="420"/>
      <c r="B88" s="420"/>
      <c r="C88" s="424"/>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row>
    <row r="89" spans="1:35">
      <c r="A89" s="420"/>
      <c r="B89" s="420"/>
      <c r="C89" s="424"/>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row>
    <row r="90" spans="1:35">
      <c r="A90" s="420"/>
      <c r="B90" s="420"/>
      <c r="C90" s="424"/>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c r="AC90" s="420"/>
      <c r="AD90" s="420"/>
      <c r="AE90" s="420"/>
      <c r="AF90" s="420"/>
      <c r="AG90" s="420"/>
      <c r="AH90" s="420"/>
      <c r="AI90" s="420"/>
    </row>
    <row r="91" spans="1:35">
      <c r="A91" s="420"/>
      <c r="B91" s="420"/>
      <c r="C91" s="424"/>
      <c r="D91" s="420"/>
      <c r="E91" s="420"/>
      <c r="F91" s="420"/>
      <c r="G91" s="420"/>
      <c r="H91" s="420"/>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420"/>
      <c r="AI91" s="420"/>
    </row>
    <row r="92" spans="1:35">
      <c r="A92" s="420"/>
      <c r="B92" s="420"/>
      <c r="C92" s="424"/>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row>
    <row r="93" spans="1:35">
      <c r="A93" s="420"/>
      <c r="B93" s="420"/>
      <c r="C93" s="424"/>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row>
    <row r="94" spans="1:35">
      <c r="A94" s="420"/>
      <c r="B94" s="420"/>
      <c r="C94" s="424"/>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row>
    <row r="95" spans="1:35">
      <c r="A95" s="420"/>
      <c r="B95" s="420"/>
      <c r="C95" s="424"/>
      <c r="D95" s="420"/>
      <c r="E95" s="420"/>
      <c r="F95" s="420"/>
      <c r="G95" s="420"/>
      <c r="H95" s="420"/>
      <c r="I95" s="420"/>
      <c r="J95" s="420"/>
      <c r="K95" s="420"/>
      <c r="L95" s="420"/>
      <c r="M95" s="420"/>
      <c r="N95" s="420"/>
      <c r="O95" s="420"/>
      <c r="P95" s="420"/>
      <c r="Q95" s="420"/>
      <c r="R95" s="420"/>
      <c r="S95" s="420"/>
      <c r="T95" s="420"/>
      <c r="U95" s="420"/>
      <c r="V95" s="420"/>
      <c r="W95" s="420"/>
      <c r="X95" s="420"/>
      <c r="Y95" s="420"/>
      <c r="Z95" s="420"/>
      <c r="AA95" s="420"/>
      <c r="AB95" s="420"/>
      <c r="AC95" s="420"/>
      <c r="AD95" s="420"/>
      <c r="AE95" s="420"/>
      <c r="AF95" s="420"/>
      <c r="AG95" s="420"/>
      <c r="AH95" s="420"/>
      <c r="AI95" s="420"/>
    </row>
    <row r="96" spans="1:35">
      <c r="A96" s="420"/>
      <c r="B96" s="420"/>
      <c r="C96" s="424"/>
      <c r="D96" s="420"/>
      <c r="E96" s="420"/>
      <c r="F96" s="420"/>
      <c r="G96" s="420"/>
      <c r="H96" s="420"/>
      <c r="I96" s="420"/>
      <c r="J96" s="420"/>
      <c r="K96" s="420"/>
      <c r="L96" s="420"/>
      <c r="M96" s="420"/>
      <c r="N96" s="420"/>
      <c r="O96" s="420"/>
      <c r="P96" s="420"/>
      <c r="Q96" s="420"/>
      <c r="R96" s="420"/>
      <c r="S96" s="420"/>
      <c r="T96" s="420"/>
      <c r="U96" s="420"/>
      <c r="V96" s="420"/>
      <c r="W96" s="420"/>
      <c r="X96" s="420"/>
      <c r="Y96" s="420"/>
      <c r="Z96" s="420"/>
      <c r="AA96" s="420"/>
      <c r="AB96" s="420"/>
      <c r="AC96" s="420"/>
      <c r="AD96" s="420"/>
      <c r="AE96" s="420"/>
      <c r="AF96" s="420"/>
      <c r="AG96" s="420"/>
      <c r="AH96" s="420"/>
      <c r="AI96" s="420"/>
    </row>
    <row r="97" spans="1:35">
      <c r="A97" s="420"/>
      <c r="B97" s="420"/>
      <c r="C97" s="424"/>
      <c r="D97" s="420"/>
      <c r="E97" s="420"/>
      <c r="F97" s="420"/>
      <c r="G97" s="420"/>
      <c r="H97" s="420"/>
      <c r="I97" s="420"/>
      <c r="J97" s="420"/>
      <c r="K97" s="420"/>
      <c r="L97" s="420"/>
      <c r="M97" s="420"/>
      <c r="N97" s="420"/>
      <c r="O97" s="420"/>
      <c r="P97" s="420"/>
      <c r="Q97" s="420"/>
      <c r="R97" s="420"/>
      <c r="S97" s="420"/>
      <c r="T97" s="420"/>
      <c r="U97" s="420"/>
      <c r="V97" s="420"/>
      <c r="W97" s="420"/>
      <c r="X97" s="420"/>
      <c r="Y97" s="420"/>
      <c r="Z97" s="420"/>
      <c r="AA97" s="420"/>
      <c r="AB97" s="420"/>
      <c r="AC97" s="420"/>
      <c r="AD97" s="420"/>
      <c r="AE97" s="420"/>
      <c r="AF97" s="420"/>
      <c r="AG97" s="420"/>
      <c r="AH97" s="420"/>
      <c r="AI97" s="420"/>
    </row>
    <row r="98" spans="1:35">
      <c r="A98" s="420"/>
      <c r="B98" s="420"/>
      <c r="C98" s="424"/>
      <c r="D98" s="420"/>
      <c r="E98" s="420"/>
      <c r="F98" s="420"/>
      <c r="G98" s="420"/>
      <c r="H98" s="420"/>
      <c r="I98" s="420"/>
      <c r="J98" s="420"/>
      <c r="K98" s="420"/>
      <c r="L98" s="420"/>
      <c r="M98" s="420"/>
      <c r="N98" s="420"/>
      <c r="O98" s="420"/>
      <c r="P98" s="420"/>
      <c r="Q98" s="420"/>
      <c r="R98" s="420"/>
      <c r="S98" s="420"/>
      <c r="T98" s="420"/>
      <c r="U98" s="420"/>
      <c r="V98" s="420"/>
      <c r="W98" s="420"/>
      <c r="X98" s="420"/>
      <c r="Y98" s="420"/>
      <c r="Z98" s="420"/>
      <c r="AA98" s="420"/>
      <c r="AB98" s="420"/>
      <c r="AC98" s="420"/>
      <c r="AD98" s="420"/>
      <c r="AE98" s="420"/>
      <c r="AF98" s="420"/>
      <c r="AG98" s="420"/>
      <c r="AH98" s="420"/>
      <c r="AI98" s="420"/>
    </row>
    <row r="99" spans="1:35">
      <c r="A99" s="420"/>
      <c r="B99" s="420"/>
      <c r="C99" s="424"/>
      <c r="D99" s="420"/>
      <c r="E99" s="420"/>
      <c r="F99" s="420"/>
      <c r="G99" s="420"/>
      <c r="H99" s="420"/>
      <c r="I99" s="420"/>
      <c r="J99" s="420"/>
      <c r="K99" s="420"/>
      <c r="L99" s="420"/>
      <c r="M99" s="420"/>
      <c r="N99" s="420"/>
      <c r="O99" s="420"/>
      <c r="P99" s="420"/>
      <c r="Q99" s="420"/>
      <c r="R99" s="420"/>
      <c r="S99" s="420"/>
      <c r="T99" s="420"/>
      <c r="U99" s="420"/>
      <c r="V99" s="420"/>
      <c r="W99" s="420"/>
      <c r="X99" s="420"/>
      <c r="Y99" s="420"/>
      <c r="Z99" s="420"/>
      <c r="AA99" s="420"/>
      <c r="AB99" s="420"/>
      <c r="AC99" s="420"/>
      <c r="AD99" s="420"/>
      <c r="AE99" s="420"/>
      <c r="AF99" s="420"/>
      <c r="AG99" s="420"/>
      <c r="AH99" s="420"/>
      <c r="AI99" s="420"/>
    </row>
    <row r="100" spans="1:35">
      <c r="A100" s="420"/>
      <c r="B100" s="420"/>
      <c r="C100" s="424"/>
      <c r="D100" s="420"/>
      <c r="E100" s="420"/>
      <c r="F100" s="420"/>
      <c r="G100" s="420"/>
      <c r="H100" s="420"/>
      <c r="I100" s="420"/>
      <c r="J100" s="420"/>
      <c r="K100" s="420"/>
      <c r="L100" s="420"/>
      <c r="M100" s="420"/>
      <c r="N100" s="420"/>
      <c r="O100" s="420"/>
      <c r="P100" s="420"/>
      <c r="Q100" s="420"/>
      <c r="R100" s="420"/>
      <c r="S100" s="420"/>
      <c r="T100" s="420"/>
      <c r="U100" s="420"/>
      <c r="V100" s="420"/>
      <c r="W100" s="420"/>
      <c r="X100" s="420"/>
      <c r="Y100" s="420"/>
      <c r="Z100" s="420"/>
      <c r="AA100" s="420"/>
      <c r="AB100" s="420"/>
      <c r="AC100" s="420"/>
      <c r="AD100" s="420"/>
      <c r="AE100" s="420"/>
      <c r="AF100" s="420"/>
      <c r="AG100" s="420"/>
      <c r="AH100" s="420"/>
      <c r="AI100" s="420"/>
    </row>
    <row r="101" spans="1:35">
      <c r="A101" s="420"/>
      <c r="B101" s="420"/>
      <c r="C101" s="424"/>
      <c r="D101" s="420"/>
      <c r="E101" s="420"/>
      <c r="F101" s="420"/>
      <c r="G101" s="420"/>
      <c r="H101" s="420"/>
      <c r="I101" s="420"/>
      <c r="J101" s="420"/>
      <c r="K101" s="420"/>
      <c r="L101" s="420"/>
      <c r="M101" s="420"/>
      <c r="N101" s="420"/>
      <c r="O101" s="420"/>
      <c r="P101" s="420"/>
      <c r="Q101" s="420"/>
      <c r="R101" s="420"/>
      <c r="S101" s="420"/>
      <c r="T101" s="420"/>
      <c r="U101" s="420"/>
      <c r="V101" s="420"/>
      <c r="W101" s="420"/>
      <c r="X101" s="420"/>
      <c r="Y101" s="420"/>
      <c r="Z101" s="420"/>
      <c r="AA101" s="420"/>
      <c r="AB101" s="420"/>
      <c r="AC101" s="420"/>
      <c r="AD101" s="420"/>
      <c r="AE101" s="420"/>
      <c r="AF101" s="420"/>
      <c r="AG101" s="420"/>
      <c r="AH101" s="420"/>
      <c r="AI101" s="420"/>
    </row>
    <row r="102" spans="1:35">
      <c r="A102" s="420"/>
      <c r="B102" s="420"/>
      <c r="C102" s="424"/>
      <c r="D102" s="420"/>
      <c r="E102" s="420"/>
      <c r="F102" s="420"/>
      <c r="G102" s="420"/>
      <c r="H102" s="420"/>
      <c r="I102" s="420"/>
      <c r="J102" s="420"/>
      <c r="K102" s="420"/>
      <c r="L102" s="420"/>
      <c r="M102" s="420"/>
      <c r="N102" s="420"/>
      <c r="O102" s="420"/>
      <c r="P102" s="420"/>
      <c r="Q102" s="420"/>
      <c r="R102" s="420"/>
      <c r="S102" s="420"/>
      <c r="T102" s="420"/>
      <c r="U102" s="420"/>
      <c r="V102" s="420"/>
      <c r="W102" s="420"/>
      <c r="X102" s="420"/>
      <c r="Y102" s="420"/>
      <c r="Z102" s="420"/>
      <c r="AA102" s="420"/>
      <c r="AB102" s="420"/>
      <c r="AC102" s="420"/>
      <c r="AD102" s="420"/>
      <c r="AE102" s="420"/>
      <c r="AF102" s="420"/>
      <c r="AG102" s="420"/>
      <c r="AH102" s="420"/>
      <c r="AI102" s="420"/>
    </row>
    <row r="103" spans="1:35">
      <c r="A103" s="420"/>
      <c r="B103" s="420"/>
      <c r="C103" s="424"/>
      <c r="D103" s="420"/>
      <c r="E103" s="420"/>
      <c r="F103" s="420"/>
      <c r="G103" s="420"/>
      <c r="H103" s="420"/>
      <c r="I103" s="420"/>
      <c r="J103" s="420"/>
      <c r="K103" s="420"/>
      <c r="L103" s="420"/>
      <c r="M103" s="420"/>
      <c r="N103" s="420"/>
      <c r="O103" s="420"/>
      <c r="P103" s="420"/>
      <c r="Q103" s="420"/>
      <c r="R103" s="420"/>
      <c r="S103" s="420"/>
      <c r="T103" s="420"/>
      <c r="U103" s="420"/>
      <c r="V103" s="420"/>
      <c r="W103" s="420"/>
      <c r="X103" s="420"/>
      <c r="Y103" s="420"/>
      <c r="Z103" s="420"/>
      <c r="AA103" s="420"/>
      <c r="AB103" s="420"/>
      <c r="AC103" s="420"/>
      <c r="AD103" s="420"/>
      <c r="AE103" s="420"/>
      <c r="AF103" s="420"/>
      <c r="AG103" s="420"/>
      <c r="AH103" s="420"/>
      <c r="AI103" s="420"/>
    </row>
    <row r="104" spans="1:35">
      <c r="A104" s="420"/>
      <c r="B104" s="420"/>
      <c r="C104" s="420"/>
      <c r="D104" s="420"/>
      <c r="E104" s="420"/>
      <c r="F104" s="420"/>
      <c r="G104" s="420"/>
      <c r="H104" s="420"/>
      <c r="I104" s="420"/>
      <c r="J104" s="420"/>
      <c r="K104" s="420"/>
      <c r="L104" s="420"/>
      <c r="M104" s="420"/>
      <c r="N104" s="420"/>
      <c r="O104" s="420"/>
      <c r="P104" s="420"/>
      <c r="Q104" s="420"/>
      <c r="R104" s="420"/>
      <c r="S104" s="420"/>
      <c r="T104" s="420"/>
      <c r="U104" s="420"/>
      <c r="V104" s="420"/>
      <c r="W104" s="420"/>
      <c r="X104" s="420"/>
      <c r="Y104" s="420"/>
      <c r="Z104" s="420"/>
      <c r="AA104" s="420"/>
      <c r="AB104" s="420"/>
      <c r="AC104" s="420"/>
      <c r="AD104" s="420"/>
      <c r="AE104" s="420"/>
      <c r="AF104" s="420"/>
      <c r="AG104" s="420"/>
      <c r="AH104" s="420"/>
      <c r="AI104" s="420"/>
    </row>
    <row r="105" spans="1:35">
      <c r="A105" s="420"/>
      <c r="B105" s="420"/>
      <c r="C105" s="420"/>
      <c r="D105" s="420"/>
      <c r="E105" s="420"/>
      <c r="F105" s="420"/>
      <c r="G105" s="420"/>
      <c r="H105" s="420"/>
      <c r="I105" s="420"/>
      <c r="J105" s="420"/>
      <c r="K105" s="420"/>
      <c r="L105" s="420"/>
      <c r="M105" s="420"/>
      <c r="N105" s="420"/>
      <c r="O105" s="420"/>
      <c r="P105" s="420"/>
      <c r="Q105" s="420"/>
      <c r="R105" s="420"/>
      <c r="S105" s="420"/>
      <c r="T105" s="420"/>
      <c r="U105" s="420"/>
      <c r="V105" s="420"/>
      <c r="W105" s="420"/>
      <c r="X105" s="420"/>
      <c r="Y105" s="420"/>
      <c r="Z105" s="420"/>
      <c r="AA105" s="420"/>
      <c r="AB105" s="420"/>
      <c r="AC105" s="420"/>
      <c r="AD105" s="420"/>
      <c r="AE105" s="420"/>
      <c r="AF105" s="420"/>
      <c r="AG105" s="420"/>
      <c r="AH105" s="420"/>
      <c r="AI105" s="420"/>
    </row>
    <row r="106" spans="1:35">
      <c r="A106" s="420"/>
      <c r="B106" s="420"/>
      <c r="C106" s="420"/>
      <c r="D106" s="420"/>
      <c r="E106" s="420"/>
      <c r="F106" s="420"/>
      <c r="G106" s="420"/>
      <c r="H106" s="420"/>
      <c r="I106" s="420"/>
      <c r="J106" s="420"/>
      <c r="K106" s="420"/>
      <c r="L106" s="420"/>
      <c r="M106" s="420"/>
      <c r="N106" s="420"/>
      <c r="O106" s="420"/>
      <c r="P106" s="420"/>
      <c r="Q106" s="420"/>
      <c r="R106" s="420"/>
      <c r="S106" s="420"/>
      <c r="T106" s="420"/>
      <c r="U106" s="420"/>
      <c r="V106" s="420"/>
      <c r="W106" s="420"/>
      <c r="X106" s="420"/>
      <c r="Y106" s="420"/>
      <c r="Z106" s="420"/>
      <c r="AA106" s="420"/>
      <c r="AB106" s="420"/>
      <c r="AC106" s="420"/>
      <c r="AD106" s="420"/>
      <c r="AE106" s="420"/>
      <c r="AF106" s="420"/>
      <c r="AG106" s="420"/>
      <c r="AH106" s="420"/>
      <c r="AI106" s="420"/>
    </row>
    <row r="107" spans="1:35">
      <c r="A107" s="420"/>
      <c r="B107" s="420"/>
      <c r="C107" s="420"/>
      <c r="D107" s="420"/>
      <c r="E107" s="420"/>
      <c r="F107" s="420"/>
      <c r="G107" s="420"/>
      <c r="H107" s="420"/>
      <c r="I107" s="420"/>
      <c r="J107" s="420"/>
      <c r="K107" s="420"/>
      <c r="L107" s="420"/>
      <c r="M107" s="420"/>
      <c r="N107" s="420"/>
      <c r="O107" s="420"/>
      <c r="P107" s="420"/>
      <c r="Q107" s="420"/>
      <c r="R107" s="420"/>
      <c r="S107" s="420"/>
      <c r="T107" s="420"/>
      <c r="U107" s="420"/>
      <c r="V107" s="420"/>
      <c r="W107" s="420"/>
      <c r="X107" s="420"/>
      <c r="Y107" s="420"/>
      <c r="Z107" s="420"/>
      <c r="AA107" s="420"/>
      <c r="AB107" s="420"/>
      <c r="AC107" s="420"/>
      <c r="AD107" s="420"/>
      <c r="AE107" s="420"/>
      <c r="AF107" s="420"/>
      <c r="AG107" s="420"/>
      <c r="AH107" s="420"/>
      <c r="AI107" s="420"/>
    </row>
    <row r="108" spans="1:35">
      <c r="A108" s="420"/>
      <c r="B108" s="420"/>
      <c r="C108" s="420"/>
      <c r="D108" s="420"/>
      <c r="E108" s="420"/>
      <c r="F108" s="420"/>
      <c r="G108" s="420"/>
      <c r="H108" s="420"/>
      <c r="I108" s="420"/>
      <c r="J108" s="420"/>
      <c r="K108" s="420"/>
      <c r="L108" s="420"/>
      <c r="M108" s="420"/>
      <c r="N108" s="420"/>
      <c r="O108" s="420"/>
      <c r="P108" s="420"/>
      <c r="Q108" s="420"/>
      <c r="R108" s="420"/>
      <c r="S108" s="420"/>
      <c r="T108" s="420"/>
      <c r="U108" s="420"/>
      <c r="V108" s="420"/>
      <c r="W108" s="420"/>
      <c r="X108" s="420"/>
      <c r="Y108" s="420"/>
      <c r="Z108" s="420"/>
      <c r="AA108" s="420"/>
      <c r="AB108" s="420"/>
      <c r="AC108" s="420"/>
      <c r="AD108" s="420"/>
      <c r="AE108" s="420"/>
      <c r="AF108" s="420"/>
      <c r="AG108" s="420"/>
      <c r="AH108" s="420"/>
      <c r="AI108" s="420"/>
    </row>
    <row r="109" spans="1:35">
      <c r="A109" s="420"/>
      <c r="B109" s="420"/>
      <c r="C109" s="420"/>
      <c r="D109" s="420"/>
      <c r="E109" s="420"/>
      <c r="F109" s="420"/>
      <c r="G109" s="420"/>
      <c r="H109" s="420"/>
      <c r="I109" s="420"/>
      <c r="J109" s="420"/>
      <c r="K109" s="420"/>
      <c r="L109" s="420"/>
      <c r="M109" s="420"/>
      <c r="N109" s="420"/>
      <c r="O109" s="420"/>
      <c r="P109" s="420"/>
      <c r="Q109" s="420"/>
      <c r="R109" s="420"/>
      <c r="S109" s="420"/>
      <c r="T109" s="420"/>
      <c r="U109" s="420"/>
      <c r="V109" s="420"/>
      <c r="W109" s="420"/>
      <c r="X109" s="420"/>
      <c r="Y109" s="420"/>
      <c r="Z109" s="420"/>
      <c r="AA109" s="420"/>
      <c r="AB109" s="420"/>
      <c r="AC109" s="420"/>
      <c r="AD109" s="420"/>
      <c r="AE109" s="420"/>
      <c r="AF109" s="420"/>
      <c r="AG109" s="420"/>
      <c r="AH109" s="420"/>
      <c r="AI109" s="420"/>
    </row>
    <row r="110" spans="1:35">
      <c r="A110" s="420"/>
      <c r="B110" s="420"/>
      <c r="C110" s="420"/>
      <c r="D110" s="420"/>
      <c r="E110" s="420"/>
      <c r="F110" s="420"/>
      <c r="G110" s="420"/>
      <c r="H110" s="420"/>
      <c r="I110" s="420"/>
      <c r="J110" s="420"/>
      <c r="K110" s="420"/>
      <c r="L110" s="420"/>
      <c r="M110" s="420"/>
      <c r="N110" s="420"/>
      <c r="O110" s="420"/>
      <c r="P110" s="420"/>
      <c r="Q110" s="420"/>
      <c r="R110" s="420"/>
      <c r="S110" s="420"/>
      <c r="T110" s="420"/>
      <c r="U110" s="420"/>
      <c r="V110" s="420"/>
      <c r="W110" s="420"/>
      <c r="X110" s="420"/>
      <c r="Y110" s="420"/>
      <c r="Z110" s="420"/>
      <c r="AA110" s="420"/>
      <c r="AB110" s="420"/>
      <c r="AC110" s="420"/>
      <c r="AD110" s="420"/>
      <c r="AE110" s="420"/>
      <c r="AF110" s="420"/>
      <c r="AG110" s="420"/>
      <c r="AH110" s="420"/>
      <c r="AI110" s="420"/>
    </row>
    <row r="111" spans="1:35">
      <c r="A111" s="420"/>
      <c r="B111" s="420"/>
      <c r="C111" s="420"/>
      <c r="D111" s="420"/>
      <c r="E111" s="420"/>
      <c r="F111" s="420"/>
      <c r="G111" s="420"/>
      <c r="H111" s="420"/>
      <c r="I111" s="420"/>
      <c r="J111" s="420"/>
      <c r="K111" s="420"/>
      <c r="L111" s="420"/>
      <c r="M111" s="420"/>
      <c r="N111" s="420"/>
      <c r="O111" s="420"/>
      <c r="P111" s="420"/>
      <c r="Q111" s="420"/>
      <c r="R111" s="420"/>
      <c r="S111" s="420"/>
      <c r="T111" s="420"/>
      <c r="U111" s="420"/>
      <c r="V111" s="420"/>
      <c r="W111" s="420"/>
      <c r="X111" s="420"/>
      <c r="Y111" s="420"/>
      <c r="Z111" s="420"/>
      <c r="AA111" s="420"/>
      <c r="AB111" s="420"/>
      <c r="AC111" s="420"/>
      <c r="AD111" s="420"/>
      <c r="AE111" s="420"/>
      <c r="AF111" s="420"/>
      <c r="AG111" s="420"/>
      <c r="AH111" s="420"/>
      <c r="AI111" s="420"/>
    </row>
    <row r="112" spans="1:35">
      <c r="A112" s="420"/>
      <c r="B112" s="420"/>
      <c r="C112" s="420"/>
      <c r="D112" s="420"/>
      <c r="E112" s="420"/>
      <c r="F112" s="420"/>
      <c r="G112" s="420"/>
      <c r="H112" s="420"/>
      <c r="I112" s="420"/>
      <c r="J112" s="420"/>
      <c r="K112" s="420"/>
      <c r="L112" s="420"/>
      <c r="M112" s="420"/>
      <c r="N112" s="420"/>
      <c r="O112" s="420"/>
      <c r="P112" s="420"/>
      <c r="Q112" s="420"/>
      <c r="R112" s="420"/>
      <c r="S112" s="420"/>
      <c r="T112" s="420"/>
      <c r="U112" s="420"/>
      <c r="V112" s="420"/>
      <c r="W112" s="420"/>
      <c r="X112" s="420"/>
      <c r="Y112" s="420"/>
      <c r="Z112" s="420"/>
      <c r="AA112" s="420"/>
      <c r="AB112" s="420"/>
      <c r="AC112" s="420"/>
      <c r="AD112" s="420"/>
      <c r="AE112" s="420"/>
      <c r="AF112" s="420"/>
      <c r="AG112" s="420"/>
      <c r="AH112" s="420"/>
      <c r="AI112" s="420"/>
    </row>
    <row r="113" spans="1:35">
      <c r="A113" s="420"/>
      <c r="B113" s="420"/>
      <c r="C113" s="420"/>
      <c r="D113" s="420"/>
      <c r="E113" s="420"/>
      <c r="F113" s="420"/>
      <c r="G113" s="420"/>
      <c r="H113" s="420"/>
      <c r="I113" s="420"/>
      <c r="J113" s="420"/>
      <c r="K113" s="420"/>
      <c r="L113" s="420"/>
      <c r="M113" s="420"/>
      <c r="N113" s="420"/>
      <c r="O113" s="420"/>
      <c r="P113" s="420"/>
      <c r="Q113" s="420"/>
      <c r="R113" s="420"/>
      <c r="S113" s="420"/>
      <c r="T113" s="420"/>
      <c r="U113" s="420"/>
      <c r="V113" s="420"/>
      <c r="W113" s="420"/>
      <c r="X113" s="420"/>
      <c r="Y113" s="420"/>
      <c r="Z113" s="420"/>
      <c r="AA113" s="420"/>
      <c r="AB113" s="420"/>
      <c r="AC113" s="420"/>
      <c r="AD113" s="420"/>
      <c r="AE113" s="420"/>
      <c r="AF113" s="420"/>
      <c r="AG113" s="420"/>
      <c r="AH113" s="420"/>
      <c r="AI113" s="420"/>
    </row>
    <row r="114" spans="1:35">
      <c r="A114" s="420"/>
      <c r="B114" s="420"/>
      <c r="C114" s="420"/>
      <c r="D114" s="420"/>
      <c r="E114" s="420"/>
      <c r="F114" s="420"/>
      <c r="G114" s="420"/>
      <c r="H114" s="420"/>
      <c r="I114" s="420"/>
      <c r="J114" s="420"/>
      <c r="K114" s="420"/>
      <c r="L114" s="420"/>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row>
    <row r="115" spans="1:35">
      <c r="A115" s="420"/>
      <c r="B115" s="420"/>
      <c r="C115" s="420"/>
      <c r="D115" s="420"/>
      <c r="E115" s="420"/>
      <c r="F115" s="420"/>
      <c r="G115" s="420"/>
      <c r="H115" s="420"/>
      <c r="I115" s="420"/>
      <c r="J115" s="420"/>
      <c r="K115" s="420"/>
      <c r="L115" s="420"/>
      <c r="M115" s="420"/>
      <c r="N115" s="420"/>
      <c r="O115" s="420"/>
      <c r="P115" s="420"/>
      <c r="Q115" s="420"/>
      <c r="R115" s="420"/>
      <c r="S115" s="420"/>
      <c r="T115" s="420"/>
      <c r="U115" s="420"/>
      <c r="V115" s="420"/>
      <c r="W115" s="420"/>
      <c r="X115" s="420"/>
      <c r="Y115" s="420"/>
      <c r="Z115" s="420"/>
      <c r="AA115" s="420"/>
      <c r="AB115" s="420"/>
      <c r="AC115" s="420"/>
      <c r="AD115" s="420"/>
      <c r="AE115" s="420"/>
      <c r="AF115" s="420"/>
      <c r="AG115" s="420"/>
      <c r="AH115" s="420"/>
      <c r="AI115" s="420"/>
    </row>
    <row r="116" spans="1:35">
      <c r="A116" s="420"/>
      <c r="B116" s="420"/>
      <c r="C116" s="420"/>
      <c r="D116" s="420"/>
      <c r="E116" s="420"/>
      <c r="F116" s="420"/>
      <c r="G116" s="420"/>
      <c r="H116" s="420"/>
      <c r="I116" s="420"/>
      <c r="J116" s="420"/>
      <c r="K116" s="420"/>
      <c r="L116" s="420"/>
      <c r="M116" s="420"/>
      <c r="N116" s="420"/>
      <c r="O116" s="420"/>
      <c r="P116" s="420"/>
      <c r="Q116" s="420"/>
      <c r="R116" s="420"/>
      <c r="S116" s="420"/>
      <c r="T116" s="420"/>
      <c r="U116" s="420"/>
      <c r="V116" s="420"/>
      <c r="W116" s="420"/>
      <c r="X116" s="420"/>
      <c r="Y116" s="420"/>
      <c r="Z116" s="420"/>
      <c r="AA116" s="420"/>
      <c r="AB116" s="420"/>
      <c r="AC116" s="420"/>
      <c r="AD116" s="420"/>
      <c r="AE116" s="420"/>
      <c r="AF116" s="420"/>
      <c r="AG116" s="420"/>
      <c r="AH116" s="420"/>
      <c r="AI116" s="420"/>
    </row>
    <row r="117" spans="1:35">
      <c r="A117" s="420"/>
      <c r="B117" s="420"/>
      <c r="C117" s="420"/>
      <c r="D117" s="420"/>
      <c r="E117" s="420"/>
      <c r="F117" s="420"/>
      <c r="G117" s="420"/>
      <c r="H117" s="420"/>
      <c r="I117" s="420"/>
      <c r="J117" s="420"/>
      <c r="K117" s="420"/>
      <c r="L117" s="420"/>
      <c r="M117" s="420"/>
      <c r="N117" s="420"/>
      <c r="O117" s="420"/>
      <c r="P117" s="420"/>
      <c r="Q117" s="420"/>
      <c r="R117" s="420"/>
      <c r="S117" s="420"/>
      <c r="T117" s="420"/>
      <c r="U117" s="420"/>
      <c r="V117" s="420"/>
      <c r="W117" s="420"/>
      <c r="X117" s="420"/>
      <c r="Y117" s="420"/>
      <c r="Z117" s="420"/>
      <c r="AA117" s="420"/>
      <c r="AB117" s="420"/>
      <c r="AC117" s="420"/>
      <c r="AD117" s="420"/>
      <c r="AE117" s="420"/>
      <c r="AF117" s="420"/>
      <c r="AG117" s="420"/>
      <c r="AH117" s="420"/>
      <c r="AI117" s="420"/>
    </row>
    <row r="118" spans="1:35">
      <c r="A118" s="420"/>
      <c r="B118" s="420"/>
      <c r="C118" s="420"/>
      <c r="D118" s="420"/>
      <c r="E118" s="420"/>
      <c r="F118" s="420"/>
      <c r="G118" s="420"/>
      <c r="H118" s="420"/>
      <c r="I118" s="420"/>
      <c r="J118" s="420"/>
      <c r="K118" s="420"/>
      <c r="L118" s="420"/>
      <c r="M118" s="420"/>
      <c r="N118" s="420"/>
      <c r="O118" s="420"/>
      <c r="P118" s="420"/>
      <c r="Q118" s="420"/>
      <c r="R118" s="420"/>
      <c r="S118" s="420"/>
      <c r="T118" s="420"/>
      <c r="U118" s="420"/>
      <c r="V118" s="420"/>
      <c r="W118" s="420"/>
      <c r="X118" s="420"/>
      <c r="Y118" s="420"/>
      <c r="Z118" s="420"/>
      <c r="AA118" s="420"/>
      <c r="AB118" s="420"/>
      <c r="AC118" s="420"/>
      <c r="AD118" s="420"/>
      <c r="AE118" s="420"/>
      <c r="AF118" s="420"/>
      <c r="AG118" s="420"/>
      <c r="AH118" s="420"/>
      <c r="AI118" s="420"/>
    </row>
    <row r="119" spans="1:35">
      <c r="A119" s="420"/>
      <c r="B119" s="420"/>
      <c r="C119" s="420"/>
      <c r="D119" s="420"/>
      <c r="E119" s="420"/>
      <c r="F119" s="420"/>
      <c r="G119" s="420"/>
      <c r="H119" s="420"/>
      <c r="I119" s="420"/>
      <c r="J119" s="420"/>
      <c r="K119" s="420"/>
      <c r="L119" s="420"/>
      <c r="M119" s="420"/>
      <c r="N119" s="420"/>
      <c r="O119" s="420"/>
      <c r="P119" s="420"/>
      <c r="Q119" s="420"/>
      <c r="R119" s="420"/>
      <c r="S119" s="420"/>
      <c r="T119" s="420"/>
      <c r="U119" s="420"/>
      <c r="V119" s="420"/>
      <c r="W119" s="420"/>
      <c r="X119" s="420"/>
      <c r="Y119" s="420"/>
      <c r="Z119" s="420"/>
      <c r="AA119" s="420"/>
      <c r="AB119" s="420"/>
      <c r="AC119" s="420"/>
      <c r="AD119" s="420"/>
      <c r="AE119" s="420"/>
      <c r="AF119" s="420"/>
      <c r="AG119" s="420"/>
      <c r="AH119" s="420"/>
      <c r="AI119" s="420"/>
    </row>
    <row r="120" spans="1:35">
      <c r="A120" s="420"/>
      <c r="B120" s="420"/>
      <c r="C120" s="420"/>
      <c r="D120" s="420"/>
      <c r="E120" s="420"/>
      <c r="F120" s="420"/>
      <c r="G120" s="420"/>
      <c r="H120" s="420"/>
      <c r="I120" s="420"/>
      <c r="J120" s="420"/>
      <c r="K120" s="420"/>
      <c r="L120" s="420"/>
      <c r="M120" s="420"/>
      <c r="N120" s="420"/>
      <c r="O120" s="420"/>
      <c r="P120" s="420"/>
      <c r="Q120" s="420"/>
      <c r="R120" s="420"/>
      <c r="S120" s="420"/>
      <c r="T120" s="420"/>
      <c r="U120" s="420"/>
      <c r="V120" s="420"/>
      <c r="W120" s="420"/>
      <c r="X120" s="420"/>
      <c r="Y120" s="420"/>
      <c r="Z120" s="420"/>
      <c r="AA120" s="420"/>
      <c r="AB120" s="420"/>
      <c r="AC120" s="420"/>
      <c r="AD120" s="420"/>
      <c r="AE120" s="420"/>
      <c r="AF120" s="420"/>
      <c r="AG120" s="420"/>
      <c r="AH120" s="420"/>
      <c r="AI120" s="420"/>
    </row>
    <row r="121" spans="1:35">
      <c r="A121" s="420"/>
      <c r="B121" s="420"/>
      <c r="C121" s="420"/>
      <c r="D121" s="420"/>
      <c r="E121" s="420"/>
      <c r="F121" s="420"/>
      <c r="G121" s="420"/>
      <c r="H121" s="420"/>
      <c r="I121" s="420"/>
      <c r="J121" s="420"/>
      <c r="K121" s="420"/>
      <c r="L121" s="420"/>
      <c r="M121" s="420"/>
      <c r="N121" s="420"/>
      <c r="O121" s="420"/>
      <c r="P121" s="420"/>
      <c r="Q121" s="420"/>
      <c r="R121" s="420"/>
      <c r="S121" s="420"/>
      <c r="T121" s="420"/>
      <c r="U121" s="420"/>
      <c r="V121" s="420"/>
      <c r="W121" s="420"/>
      <c r="X121" s="420"/>
      <c r="Y121" s="420"/>
      <c r="Z121" s="420"/>
      <c r="AA121" s="420"/>
      <c r="AB121" s="420"/>
      <c r="AC121" s="420"/>
      <c r="AD121" s="420"/>
      <c r="AE121" s="420"/>
      <c r="AF121" s="420"/>
      <c r="AG121" s="420"/>
      <c r="AH121" s="420"/>
      <c r="AI121" s="420"/>
    </row>
    <row r="122" spans="1:35">
      <c r="A122" s="420"/>
      <c r="B122" s="420"/>
      <c r="C122" s="420"/>
      <c r="D122" s="420"/>
      <c r="E122" s="420"/>
      <c r="F122" s="420"/>
      <c r="G122" s="420"/>
      <c r="H122" s="420"/>
      <c r="I122" s="420"/>
      <c r="J122" s="420"/>
      <c r="K122" s="420"/>
      <c r="L122" s="420"/>
      <c r="M122" s="420"/>
      <c r="N122" s="420"/>
      <c r="O122" s="420"/>
      <c r="P122" s="420"/>
      <c r="Q122" s="420"/>
      <c r="R122" s="420"/>
      <c r="S122" s="420"/>
      <c r="T122" s="420"/>
      <c r="U122" s="420"/>
      <c r="V122" s="420"/>
      <c r="W122" s="420"/>
      <c r="X122" s="420"/>
      <c r="Y122" s="420"/>
      <c r="Z122" s="420"/>
      <c r="AA122" s="420"/>
      <c r="AB122" s="420"/>
      <c r="AC122" s="420"/>
      <c r="AD122" s="420"/>
      <c r="AE122" s="420"/>
      <c r="AF122" s="420"/>
      <c r="AG122" s="420"/>
      <c r="AH122" s="420"/>
      <c r="AI122" s="420"/>
    </row>
    <row r="123" spans="1:35" ht="30">
      <c r="A123" s="420"/>
      <c r="B123" s="421" t="s">
        <v>44</v>
      </c>
      <c r="C123" s="426" t="str">
        <f>Help!$D$40</f>
        <v>Error and alert messages:</v>
      </c>
      <c r="D123" s="427"/>
      <c r="E123" s="428"/>
      <c r="F123" s="428"/>
      <c r="G123" s="428"/>
      <c r="H123" s="428"/>
      <c r="I123" s="428"/>
      <c r="J123" s="428"/>
      <c r="K123" s="428"/>
      <c r="L123" s="428"/>
      <c r="M123" s="428"/>
      <c r="N123" s="428"/>
      <c r="O123" s="428"/>
      <c r="P123" s="428"/>
      <c r="Q123" s="428"/>
      <c r="R123" s="420"/>
      <c r="S123" s="420"/>
      <c r="T123" s="420"/>
      <c r="U123" s="420"/>
      <c r="V123" s="420"/>
      <c r="W123" s="420"/>
      <c r="X123" s="420"/>
      <c r="Y123" s="420"/>
      <c r="Z123" s="420"/>
      <c r="AA123" s="420"/>
      <c r="AB123" s="420"/>
      <c r="AC123" s="420"/>
      <c r="AD123" s="420"/>
      <c r="AE123" s="420"/>
      <c r="AF123" s="420"/>
      <c r="AG123" s="420"/>
      <c r="AH123" s="420"/>
      <c r="AI123" s="420"/>
    </row>
    <row r="124" spans="1:35">
      <c r="A124" s="420"/>
      <c r="B124" s="420"/>
      <c r="C124" s="420"/>
      <c r="D124" s="420"/>
      <c r="E124" s="420"/>
      <c r="F124" s="420"/>
      <c r="G124" s="420"/>
      <c r="H124" s="420"/>
      <c r="I124" s="420"/>
      <c r="J124" s="420"/>
      <c r="K124" s="420"/>
      <c r="L124" s="420"/>
      <c r="M124" s="420"/>
      <c r="N124" s="420"/>
      <c r="O124" s="420"/>
      <c r="P124" s="420"/>
      <c r="Q124" s="420"/>
      <c r="R124" s="420"/>
      <c r="S124" s="420"/>
      <c r="T124" s="420"/>
      <c r="U124" s="420"/>
      <c r="V124" s="420"/>
      <c r="W124" s="420"/>
      <c r="X124" s="420"/>
      <c r="Y124" s="420"/>
      <c r="Z124" s="420"/>
      <c r="AA124" s="420"/>
      <c r="AB124" s="420"/>
      <c r="AC124" s="420"/>
      <c r="AD124" s="420"/>
      <c r="AE124" s="420"/>
      <c r="AF124" s="420"/>
      <c r="AG124" s="420"/>
      <c r="AH124" s="420"/>
      <c r="AI124" s="420"/>
    </row>
    <row r="125" spans="1:35">
      <c r="A125" s="420"/>
      <c r="B125" s="420"/>
      <c r="C125" s="420"/>
      <c r="D125" s="420"/>
      <c r="E125" s="420"/>
      <c r="F125" s="420"/>
      <c r="G125" s="420"/>
      <c r="H125" s="420"/>
      <c r="I125" s="420"/>
      <c r="J125" s="420"/>
      <c r="K125" s="420"/>
      <c r="L125" s="420"/>
      <c r="M125" s="420"/>
      <c r="N125" s="420"/>
      <c r="O125" s="420"/>
      <c r="P125" s="420"/>
      <c r="Q125" s="420"/>
      <c r="R125" s="420"/>
      <c r="S125" s="420"/>
      <c r="T125" s="420"/>
      <c r="U125" s="420"/>
      <c r="V125" s="420"/>
      <c r="W125" s="420"/>
      <c r="X125" s="420"/>
      <c r="Y125" s="420"/>
      <c r="Z125" s="420"/>
      <c r="AA125" s="420"/>
      <c r="AB125" s="420"/>
      <c r="AC125" s="420"/>
      <c r="AD125" s="420"/>
      <c r="AE125" s="420"/>
      <c r="AF125" s="420"/>
      <c r="AG125" s="420"/>
      <c r="AH125" s="420"/>
      <c r="AI125" s="420"/>
    </row>
    <row r="126" spans="1:35">
      <c r="A126" s="420"/>
      <c r="B126" s="420"/>
      <c r="C126" s="420"/>
      <c r="D126" s="420"/>
      <c r="E126" s="420"/>
      <c r="F126" s="420"/>
      <c r="G126" s="420"/>
      <c r="H126" s="420"/>
      <c r="I126" s="420"/>
      <c r="J126" s="420"/>
      <c r="K126" s="420"/>
      <c r="L126" s="420"/>
      <c r="M126" s="420"/>
      <c r="N126" s="420"/>
      <c r="O126" s="420"/>
      <c r="P126" s="420"/>
      <c r="Q126" s="420"/>
      <c r="R126" s="420"/>
      <c r="S126" s="420"/>
      <c r="T126" s="420"/>
      <c r="U126" s="420"/>
      <c r="V126" s="420"/>
      <c r="W126" s="420"/>
      <c r="X126" s="420"/>
      <c r="Y126" s="420"/>
      <c r="Z126" s="420"/>
      <c r="AA126" s="420"/>
      <c r="AB126" s="420"/>
      <c r="AC126" s="420"/>
      <c r="AD126" s="420"/>
      <c r="AE126" s="420"/>
      <c r="AF126" s="420"/>
      <c r="AG126" s="420"/>
      <c r="AH126" s="420"/>
      <c r="AI126" s="420"/>
    </row>
    <row r="127" spans="1:35">
      <c r="A127" s="420"/>
      <c r="B127" s="420"/>
      <c r="C127" s="424"/>
      <c r="D127" s="420"/>
      <c r="E127" s="420"/>
      <c r="F127" s="420"/>
      <c r="G127" s="420"/>
      <c r="H127" s="420"/>
      <c r="I127" s="420"/>
      <c r="J127" s="420"/>
      <c r="K127" s="420"/>
      <c r="L127" s="420"/>
      <c r="M127" s="420"/>
      <c r="N127" s="420"/>
      <c r="O127" s="420"/>
      <c r="P127" s="420"/>
      <c r="Q127" s="420"/>
      <c r="R127" s="420"/>
      <c r="S127" s="420"/>
      <c r="T127" s="420"/>
      <c r="U127" s="420"/>
      <c r="V127" s="420"/>
      <c r="W127" s="420"/>
      <c r="X127" s="420"/>
      <c r="Y127" s="420"/>
      <c r="Z127" s="420"/>
      <c r="AA127" s="420"/>
      <c r="AB127" s="420"/>
      <c r="AC127" s="420"/>
      <c r="AD127" s="420"/>
      <c r="AE127" s="420"/>
      <c r="AF127" s="420"/>
      <c r="AG127" s="420"/>
      <c r="AH127" s="420"/>
      <c r="AI127" s="420"/>
    </row>
    <row r="128" spans="1:35">
      <c r="A128" s="420"/>
      <c r="B128" s="420"/>
      <c r="C128" s="424"/>
      <c r="D128" s="420"/>
      <c r="E128" s="420"/>
      <c r="F128" s="420"/>
      <c r="G128" s="420"/>
      <c r="H128" s="420"/>
      <c r="I128" s="420"/>
      <c r="J128" s="420"/>
      <c r="K128" s="420"/>
      <c r="L128" s="420"/>
      <c r="M128" s="420"/>
      <c r="N128" s="420"/>
      <c r="O128" s="420"/>
      <c r="P128" s="420"/>
      <c r="Q128" s="420"/>
      <c r="R128" s="420"/>
      <c r="S128" s="420"/>
      <c r="T128" s="420"/>
      <c r="U128" s="420"/>
      <c r="V128" s="420"/>
      <c r="W128" s="420"/>
      <c r="X128" s="420"/>
      <c r="Y128" s="420"/>
      <c r="Z128" s="420"/>
      <c r="AA128" s="420"/>
      <c r="AB128" s="420"/>
      <c r="AC128" s="420"/>
      <c r="AD128" s="420"/>
      <c r="AE128" s="420"/>
      <c r="AF128" s="420"/>
      <c r="AG128" s="420"/>
      <c r="AH128" s="420"/>
      <c r="AI128" s="420"/>
    </row>
    <row r="129" spans="1:35">
      <c r="A129" s="420"/>
      <c r="B129" s="420"/>
      <c r="C129" s="424"/>
      <c r="D129" s="420"/>
      <c r="E129" s="420"/>
      <c r="F129" s="420"/>
      <c r="G129" s="420"/>
      <c r="H129" s="420"/>
      <c r="I129" s="420"/>
      <c r="J129" s="420"/>
      <c r="K129" s="420"/>
      <c r="L129" s="420"/>
      <c r="M129" s="420"/>
      <c r="N129" s="420"/>
      <c r="O129" s="420"/>
      <c r="P129" s="420"/>
      <c r="Q129" s="420"/>
      <c r="R129" s="420"/>
      <c r="S129" s="420"/>
      <c r="T129" s="420"/>
      <c r="U129" s="420"/>
      <c r="V129" s="420"/>
      <c r="W129" s="420"/>
      <c r="X129" s="420"/>
      <c r="Y129" s="420"/>
      <c r="Z129" s="420"/>
      <c r="AA129" s="420"/>
      <c r="AB129" s="420"/>
      <c r="AC129" s="420"/>
      <c r="AD129" s="420"/>
      <c r="AE129" s="420"/>
      <c r="AF129" s="420"/>
      <c r="AG129" s="420"/>
      <c r="AH129" s="420"/>
      <c r="AI129" s="420"/>
    </row>
    <row r="130" spans="1:35">
      <c r="A130" s="420"/>
      <c r="B130" s="420"/>
      <c r="C130" s="424"/>
      <c r="D130" s="420"/>
      <c r="E130" s="420"/>
      <c r="F130" s="420"/>
      <c r="G130" s="420"/>
      <c r="H130" s="420"/>
      <c r="I130" s="420"/>
      <c r="J130" s="420"/>
      <c r="K130" s="420"/>
      <c r="L130" s="420"/>
      <c r="M130" s="420"/>
      <c r="N130" s="420"/>
      <c r="O130" s="420"/>
      <c r="P130" s="420"/>
      <c r="Q130" s="420"/>
      <c r="R130" s="420"/>
      <c r="S130" s="420"/>
      <c r="T130" s="420"/>
      <c r="U130" s="420"/>
      <c r="V130" s="420"/>
      <c r="W130" s="420"/>
      <c r="X130" s="420"/>
      <c r="Y130" s="420"/>
      <c r="Z130" s="420"/>
      <c r="AA130" s="420"/>
      <c r="AB130" s="420"/>
      <c r="AC130" s="420"/>
      <c r="AD130" s="420"/>
      <c r="AE130" s="420"/>
      <c r="AF130" s="420"/>
      <c r="AG130" s="420"/>
      <c r="AH130" s="420"/>
      <c r="AI130" s="420"/>
    </row>
    <row r="131" spans="1:35">
      <c r="A131" s="420"/>
      <c r="B131" s="420"/>
      <c r="C131" s="424"/>
      <c r="D131" s="420"/>
      <c r="E131" s="420"/>
      <c r="F131" s="420"/>
      <c r="G131" s="420"/>
      <c r="H131" s="420"/>
      <c r="I131" s="420"/>
      <c r="J131" s="420"/>
      <c r="K131" s="420"/>
      <c r="L131" s="420"/>
      <c r="M131" s="420"/>
      <c r="N131" s="420"/>
      <c r="O131" s="420"/>
      <c r="P131" s="420"/>
      <c r="Q131" s="420"/>
      <c r="R131" s="420"/>
      <c r="S131" s="420"/>
      <c r="T131" s="420"/>
      <c r="U131" s="420"/>
      <c r="V131" s="420"/>
      <c r="W131" s="420"/>
      <c r="X131" s="420"/>
      <c r="Y131" s="420"/>
      <c r="Z131" s="420"/>
      <c r="AA131" s="420"/>
      <c r="AB131" s="420"/>
      <c r="AC131" s="420"/>
      <c r="AD131" s="420"/>
      <c r="AE131" s="420"/>
      <c r="AF131" s="420"/>
      <c r="AG131" s="420"/>
      <c r="AH131" s="420"/>
      <c r="AI131" s="420"/>
    </row>
    <row r="132" spans="1:35">
      <c r="A132" s="420"/>
      <c r="B132" s="420"/>
      <c r="C132" s="424"/>
      <c r="D132" s="420"/>
      <c r="E132" s="420"/>
      <c r="F132" s="420"/>
      <c r="G132" s="420"/>
      <c r="H132" s="420"/>
      <c r="I132" s="420"/>
      <c r="J132" s="420"/>
      <c r="K132" s="420"/>
      <c r="L132" s="420"/>
      <c r="M132" s="420"/>
      <c r="N132" s="420"/>
      <c r="O132" s="420"/>
      <c r="P132" s="420"/>
      <c r="Q132" s="420"/>
      <c r="R132" s="420"/>
      <c r="S132" s="420"/>
      <c r="T132" s="420"/>
      <c r="U132" s="420"/>
      <c r="V132" s="420"/>
      <c r="W132" s="420"/>
      <c r="X132" s="420"/>
      <c r="Y132" s="420"/>
      <c r="Z132" s="420"/>
      <c r="AA132" s="420"/>
      <c r="AB132" s="420"/>
      <c r="AC132" s="420"/>
      <c r="AD132" s="420"/>
      <c r="AE132" s="420"/>
      <c r="AF132" s="420"/>
      <c r="AG132" s="420"/>
      <c r="AH132" s="420"/>
      <c r="AI132" s="420"/>
    </row>
    <row r="133" spans="1:35">
      <c r="A133" s="420"/>
      <c r="B133" s="420"/>
      <c r="C133" s="424"/>
      <c r="D133" s="420"/>
      <c r="E133" s="420"/>
      <c r="F133" s="420"/>
      <c r="G133" s="420"/>
      <c r="H133" s="420"/>
      <c r="I133" s="420"/>
      <c r="J133" s="420"/>
      <c r="K133" s="420"/>
      <c r="L133" s="420"/>
      <c r="M133" s="420"/>
      <c r="N133" s="420"/>
      <c r="O133" s="420"/>
      <c r="P133" s="420"/>
      <c r="Q133" s="420"/>
      <c r="R133" s="420"/>
      <c r="S133" s="420"/>
      <c r="T133" s="420"/>
      <c r="U133" s="420"/>
      <c r="V133" s="420"/>
      <c r="W133" s="420"/>
      <c r="X133" s="420"/>
      <c r="Y133" s="420"/>
      <c r="Z133" s="420"/>
      <c r="AA133" s="420"/>
      <c r="AB133" s="420"/>
      <c r="AC133" s="420"/>
      <c r="AD133" s="420"/>
      <c r="AE133" s="420"/>
      <c r="AF133" s="420"/>
      <c r="AG133" s="420"/>
      <c r="AH133" s="420"/>
      <c r="AI133" s="420"/>
    </row>
    <row r="134" spans="1:35">
      <c r="A134" s="420"/>
      <c r="B134" s="420"/>
      <c r="C134" s="424"/>
      <c r="D134" s="420"/>
      <c r="E134" s="420"/>
      <c r="F134" s="420"/>
      <c r="G134" s="420"/>
      <c r="H134" s="420"/>
      <c r="I134" s="420"/>
      <c r="J134" s="420"/>
      <c r="K134" s="420"/>
      <c r="L134" s="420"/>
      <c r="M134" s="420"/>
      <c r="N134" s="420"/>
      <c r="O134" s="420"/>
      <c r="P134" s="420"/>
      <c r="Q134" s="420"/>
      <c r="R134" s="420"/>
      <c r="S134" s="420"/>
      <c r="T134" s="420"/>
      <c r="U134" s="420"/>
      <c r="V134" s="420"/>
      <c r="W134" s="420"/>
      <c r="X134" s="420"/>
      <c r="Y134" s="420"/>
      <c r="Z134" s="420"/>
      <c r="AA134" s="420"/>
      <c r="AB134" s="420"/>
      <c r="AC134" s="420"/>
      <c r="AD134" s="420"/>
      <c r="AE134" s="420"/>
      <c r="AF134" s="420"/>
      <c r="AG134" s="420"/>
      <c r="AH134" s="420"/>
      <c r="AI134" s="420"/>
    </row>
    <row r="135" spans="1:35">
      <c r="A135" s="420"/>
      <c r="B135" s="420"/>
      <c r="C135" s="424"/>
      <c r="D135" s="420"/>
      <c r="E135" s="420"/>
      <c r="F135" s="420"/>
      <c r="G135" s="420"/>
      <c r="H135" s="420"/>
      <c r="I135" s="420"/>
      <c r="J135" s="420"/>
      <c r="K135" s="420"/>
      <c r="L135" s="420"/>
      <c r="M135" s="420"/>
      <c r="N135" s="420"/>
      <c r="O135" s="420"/>
      <c r="P135" s="420"/>
      <c r="Q135" s="420"/>
      <c r="R135" s="420"/>
      <c r="S135" s="420"/>
      <c r="T135" s="420"/>
      <c r="U135" s="420"/>
      <c r="V135" s="420"/>
      <c r="W135" s="420"/>
      <c r="X135" s="420"/>
      <c r="Y135" s="420"/>
      <c r="Z135" s="420"/>
      <c r="AA135" s="420"/>
      <c r="AB135" s="420"/>
      <c r="AC135" s="420"/>
      <c r="AD135" s="420"/>
      <c r="AE135" s="420"/>
      <c r="AF135" s="420"/>
      <c r="AG135" s="420"/>
      <c r="AH135" s="420"/>
      <c r="AI135" s="420"/>
    </row>
    <row r="136" spans="1:35">
      <c r="A136" s="420"/>
      <c r="B136" s="420"/>
      <c r="C136" s="424"/>
      <c r="D136" s="420"/>
      <c r="E136" s="420"/>
      <c r="F136" s="420"/>
      <c r="G136" s="420"/>
      <c r="H136" s="420"/>
      <c r="I136" s="420"/>
      <c r="J136" s="420"/>
      <c r="K136" s="420"/>
      <c r="L136" s="420"/>
      <c r="M136" s="420"/>
      <c r="N136" s="420"/>
      <c r="O136" s="420"/>
      <c r="P136" s="420"/>
      <c r="Q136" s="420"/>
      <c r="R136" s="420"/>
      <c r="S136" s="420"/>
      <c r="T136" s="420"/>
      <c r="U136" s="420"/>
      <c r="V136" s="420"/>
      <c r="W136" s="420"/>
      <c r="X136" s="420"/>
      <c r="Y136" s="420"/>
      <c r="Z136" s="420"/>
      <c r="AA136" s="420"/>
      <c r="AB136" s="420"/>
      <c r="AC136" s="420"/>
      <c r="AD136" s="420"/>
      <c r="AE136" s="420"/>
      <c r="AF136" s="420"/>
      <c r="AG136" s="420"/>
      <c r="AH136" s="420"/>
      <c r="AI136" s="420"/>
    </row>
    <row r="137" spans="1:35">
      <c r="A137" s="420"/>
      <c r="B137" s="420"/>
      <c r="C137" s="424"/>
      <c r="D137" s="420"/>
      <c r="E137" s="420"/>
      <c r="F137" s="420"/>
      <c r="G137" s="420"/>
      <c r="H137" s="420"/>
      <c r="I137" s="420"/>
      <c r="J137" s="420"/>
      <c r="K137" s="420"/>
      <c r="L137" s="420"/>
      <c r="M137" s="420"/>
      <c r="N137" s="420"/>
      <c r="O137" s="420"/>
      <c r="P137" s="420"/>
      <c r="Q137" s="420"/>
      <c r="R137" s="420"/>
      <c r="S137" s="420"/>
      <c r="T137" s="420"/>
      <c r="U137" s="420"/>
      <c r="V137" s="420"/>
      <c r="W137" s="420"/>
      <c r="X137" s="420"/>
      <c r="Y137" s="420"/>
      <c r="Z137" s="420"/>
      <c r="AA137" s="420"/>
      <c r="AB137" s="420"/>
      <c r="AC137" s="420"/>
      <c r="AD137" s="420"/>
      <c r="AE137" s="420"/>
      <c r="AF137" s="420"/>
      <c r="AG137" s="420"/>
      <c r="AH137" s="420"/>
      <c r="AI137" s="420"/>
    </row>
    <row r="138" spans="1:35">
      <c r="A138" s="420"/>
      <c r="B138" s="420"/>
      <c r="C138" s="424"/>
      <c r="D138" s="420"/>
      <c r="E138" s="420"/>
      <c r="F138" s="420"/>
      <c r="G138" s="420"/>
      <c r="H138" s="420"/>
      <c r="I138" s="420"/>
      <c r="J138" s="420"/>
      <c r="K138" s="420"/>
      <c r="L138" s="420"/>
      <c r="M138" s="420"/>
      <c r="N138" s="420"/>
      <c r="O138" s="420"/>
      <c r="P138" s="420"/>
      <c r="Q138" s="420"/>
      <c r="R138" s="420"/>
      <c r="S138" s="420"/>
      <c r="T138" s="420"/>
      <c r="U138" s="420"/>
      <c r="V138" s="420"/>
      <c r="W138" s="420"/>
      <c r="X138" s="420"/>
      <c r="Y138" s="420"/>
      <c r="Z138" s="420"/>
      <c r="AA138" s="420"/>
      <c r="AB138" s="420"/>
      <c r="AC138" s="420"/>
      <c r="AD138" s="420"/>
      <c r="AE138" s="420"/>
      <c r="AF138" s="420"/>
      <c r="AG138" s="420"/>
      <c r="AH138" s="420"/>
      <c r="AI138" s="420"/>
    </row>
    <row r="139" spans="1:35">
      <c r="A139" s="420"/>
      <c r="B139" s="420"/>
      <c r="C139" s="424"/>
      <c r="D139" s="420"/>
      <c r="E139" s="420"/>
      <c r="F139" s="420"/>
      <c r="G139" s="420"/>
      <c r="H139" s="420"/>
      <c r="I139" s="420"/>
      <c r="J139" s="420"/>
      <c r="K139" s="420"/>
      <c r="L139" s="420"/>
      <c r="M139" s="420"/>
      <c r="N139" s="420"/>
      <c r="O139" s="420"/>
      <c r="P139" s="420"/>
      <c r="Q139" s="420"/>
      <c r="R139" s="420"/>
      <c r="S139" s="420"/>
      <c r="T139" s="420"/>
      <c r="U139" s="420"/>
      <c r="V139" s="420"/>
      <c r="W139" s="420"/>
      <c r="X139" s="420"/>
      <c r="Y139" s="420"/>
      <c r="Z139" s="420"/>
      <c r="AA139" s="420"/>
      <c r="AB139" s="420"/>
      <c r="AC139" s="420"/>
      <c r="AD139" s="420"/>
      <c r="AE139" s="420"/>
      <c r="AF139" s="420"/>
      <c r="AG139" s="420"/>
      <c r="AH139" s="420"/>
      <c r="AI139" s="420"/>
    </row>
    <row r="140" spans="1:35">
      <c r="A140" s="420"/>
      <c r="B140" s="420"/>
      <c r="C140" s="424"/>
      <c r="D140" s="420"/>
      <c r="E140" s="420"/>
      <c r="F140" s="420"/>
      <c r="G140" s="420"/>
      <c r="H140" s="420"/>
      <c r="I140" s="420"/>
      <c r="J140" s="420"/>
      <c r="K140" s="420"/>
      <c r="L140" s="420"/>
      <c r="M140" s="420"/>
      <c r="N140" s="420"/>
      <c r="O140" s="420"/>
      <c r="P140" s="420"/>
      <c r="Q140" s="420"/>
      <c r="R140" s="420"/>
      <c r="S140" s="420"/>
      <c r="T140" s="420"/>
      <c r="U140" s="420"/>
      <c r="V140" s="420"/>
      <c r="W140" s="420"/>
      <c r="X140" s="420"/>
      <c r="Y140" s="420"/>
      <c r="Z140" s="420"/>
      <c r="AA140" s="420"/>
      <c r="AB140" s="420"/>
      <c r="AC140" s="420"/>
      <c r="AD140" s="420"/>
      <c r="AE140" s="420"/>
      <c r="AF140" s="420"/>
      <c r="AG140" s="420"/>
      <c r="AH140" s="420"/>
      <c r="AI140" s="420"/>
    </row>
    <row r="141" spans="1:35">
      <c r="A141" s="420"/>
      <c r="B141" s="420"/>
      <c r="C141" s="424"/>
      <c r="D141" s="420"/>
      <c r="E141" s="420"/>
      <c r="F141" s="420"/>
      <c r="G141" s="420"/>
      <c r="H141" s="420"/>
      <c r="I141" s="420"/>
      <c r="J141" s="420"/>
      <c r="K141" s="420"/>
      <c r="L141" s="420"/>
      <c r="M141" s="420"/>
      <c r="N141" s="420"/>
      <c r="O141" s="420"/>
      <c r="P141" s="420"/>
      <c r="Q141" s="420"/>
      <c r="R141" s="420"/>
      <c r="S141" s="420"/>
      <c r="T141" s="420"/>
      <c r="U141" s="420"/>
      <c r="V141" s="420"/>
      <c r="W141" s="420"/>
      <c r="X141" s="420"/>
      <c r="Y141" s="420"/>
      <c r="Z141" s="420"/>
      <c r="AA141" s="420"/>
      <c r="AB141" s="420"/>
      <c r="AC141" s="420"/>
      <c r="AD141" s="420"/>
      <c r="AE141" s="420"/>
      <c r="AF141" s="420"/>
      <c r="AG141" s="420"/>
      <c r="AH141" s="420"/>
      <c r="AI141" s="420"/>
    </row>
    <row r="142" spans="1:35">
      <c r="A142" s="420"/>
      <c r="B142" s="420"/>
      <c r="C142" s="424"/>
      <c r="D142" s="420"/>
      <c r="E142" s="420"/>
      <c r="F142" s="420"/>
      <c r="G142" s="420"/>
      <c r="H142" s="420"/>
      <c r="I142" s="420"/>
      <c r="J142" s="420"/>
      <c r="K142" s="420"/>
      <c r="L142" s="420"/>
      <c r="M142" s="420"/>
      <c r="N142" s="420"/>
      <c r="O142" s="420"/>
      <c r="P142" s="420"/>
      <c r="Q142" s="420"/>
      <c r="R142" s="420"/>
      <c r="S142" s="420"/>
      <c r="T142" s="420"/>
      <c r="U142" s="420"/>
      <c r="V142" s="420"/>
      <c r="W142" s="420"/>
      <c r="X142" s="420"/>
      <c r="Y142" s="420"/>
      <c r="Z142" s="420"/>
      <c r="AA142" s="420"/>
      <c r="AB142" s="420"/>
      <c r="AC142" s="420"/>
      <c r="AD142" s="420"/>
      <c r="AE142" s="420"/>
      <c r="AF142" s="420"/>
      <c r="AG142" s="420"/>
      <c r="AH142" s="420"/>
      <c r="AI142" s="420"/>
    </row>
    <row r="143" spans="1:35">
      <c r="A143" s="420"/>
      <c r="B143" s="420"/>
      <c r="C143" s="424"/>
      <c r="D143" s="420"/>
      <c r="E143" s="420"/>
      <c r="F143" s="420"/>
      <c r="G143" s="420"/>
      <c r="H143" s="420"/>
      <c r="I143" s="420"/>
      <c r="J143" s="420"/>
      <c r="K143" s="420"/>
      <c r="L143" s="420"/>
      <c r="M143" s="420"/>
      <c r="N143" s="420"/>
      <c r="O143" s="420"/>
      <c r="P143" s="420"/>
      <c r="Q143" s="420"/>
      <c r="R143" s="420"/>
      <c r="S143" s="420"/>
      <c r="T143" s="420"/>
      <c r="U143" s="420"/>
      <c r="V143" s="420"/>
      <c r="W143" s="420"/>
      <c r="X143" s="420"/>
      <c r="Y143" s="420"/>
      <c r="Z143" s="420"/>
      <c r="AA143" s="420"/>
      <c r="AB143" s="420"/>
      <c r="AC143" s="420"/>
      <c r="AD143" s="420"/>
      <c r="AE143" s="420"/>
      <c r="AF143" s="420"/>
      <c r="AG143" s="420"/>
      <c r="AH143" s="420"/>
      <c r="AI143" s="420"/>
    </row>
    <row r="144" spans="1:35">
      <c r="A144" s="420"/>
      <c r="B144" s="420"/>
      <c r="C144" s="424"/>
      <c r="D144" s="420"/>
      <c r="E144" s="420"/>
      <c r="F144" s="420"/>
      <c r="G144" s="420"/>
      <c r="H144" s="420"/>
      <c r="I144" s="420"/>
      <c r="J144" s="420"/>
      <c r="K144" s="420"/>
      <c r="L144" s="420"/>
      <c r="M144" s="420"/>
      <c r="N144" s="420"/>
      <c r="O144" s="420"/>
      <c r="P144" s="420"/>
      <c r="Q144" s="420"/>
      <c r="R144" s="420"/>
      <c r="S144" s="420"/>
      <c r="T144" s="420"/>
      <c r="U144" s="420"/>
      <c r="V144" s="420"/>
      <c r="W144" s="420"/>
      <c r="X144" s="420"/>
      <c r="Y144" s="420"/>
      <c r="Z144" s="420"/>
      <c r="AA144" s="420"/>
      <c r="AB144" s="420"/>
      <c r="AC144" s="420"/>
      <c r="AD144" s="420"/>
      <c r="AE144" s="420"/>
      <c r="AF144" s="420"/>
      <c r="AG144" s="420"/>
      <c r="AH144" s="420"/>
      <c r="AI144" s="420"/>
    </row>
    <row r="145" spans="1:35">
      <c r="A145" s="420"/>
      <c r="B145" s="420"/>
      <c r="C145" s="424"/>
      <c r="D145" s="420"/>
      <c r="E145" s="420"/>
      <c r="F145" s="420"/>
      <c r="G145" s="420"/>
      <c r="H145" s="420"/>
      <c r="I145" s="420"/>
      <c r="J145" s="420"/>
      <c r="K145" s="420"/>
      <c r="L145" s="420"/>
      <c r="M145" s="420"/>
      <c r="N145" s="420"/>
      <c r="O145" s="420"/>
      <c r="P145" s="420"/>
      <c r="Q145" s="420"/>
      <c r="R145" s="420"/>
      <c r="S145" s="420"/>
      <c r="T145" s="420"/>
      <c r="U145" s="420"/>
      <c r="V145" s="420"/>
      <c r="W145" s="420"/>
      <c r="X145" s="420"/>
      <c r="Y145" s="420"/>
      <c r="Z145" s="420"/>
      <c r="AA145" s="420"/>
      <c r="AB145" s="420"/>
      <c r="AC145" s="420"/>
      <c r="AD145" s="420"/>
      <c r="AE145" s="420"/>
      <c r="AF145" s="420"/>
      <c r="AG145" s="420"/>
      <c r="AH145" s="420"/>
      <c r="AI145" s="420"/>
    </row>
    <row r="146" spans="1:35">
      <c r="A146" s="420"/>
      <c r="B146" s="420"/>
      <c r="C146" s="424"/>
      <c r="D146" s="420"/>
      <c r="E146" s="420"/>
      <c r="F146" s="420"/>
      <c r="G146" s="420"/>
      <c r="H146" s="420"/>
      <c r="I146" s="420"/>
      <c r="J146" s="420"/>
      <c r="K146" s="420"/>
      <c r="L146" s="420"/>
      <c r="M146" s="420"/>
      <c r="N146" s="420"/>
      <c r="O146" s="420"/>
      <c r="P146" s="420"/>
      <c r="Q146" s="420"/>
      <c r="R146" s="420"/>
      <c r="S146" s="420"/>
      <c r="T146" s="420"/>
      <c r="U146" s="420"/>
      <c r="V146" s="420"/>
      <c r="W146" s="420"/>
      <c r="X146" s="420"/>
      <c r="Y146" s="420"/>
      <c r="Z146" s="420"/>
      <c r="AA146" s="420"/>
      <c r="AB146" s="420"/>
      <c r="AC146" s="420"/>
      <c r="AD146" s="420"/>
      <c r="AE146" s="420"/>
      <c r="AF146" s="420"/>
      <c r="AG146" s="420"/>
      <c r="AH146" s="420"/>
      <c r="AI146" s="420"/>
    </row>
    <row r="147" spans="1:35">
      <c r="A147" s="420"/>
      <c r="B147" s="420"/>
      <c r="C147" s="424"/>
      <c r="D147" s="420"/>
      <c r="E147" s="420"/>
      <c r="F147" s="420"/>
      <c r="G147" s="420"/>
      <c r="H147" s="420"/>
      <c r="I147" s="420"/>
      <c r="J147" s="420"/>
      <c r="K147" s="420"/>
      <c r="L147" s="420"/>
      <c r="M147" s="420"/>
      <c r="N147" s="420"/>
      <c r="O147" s="420"/>
      <c r="P147" s="420"/>
      <c r="Q147" s="420"/>
      <c r="R147" s="420"/>
      <c r="S147" s="420"/>
      <c r="T147" s="420"/>
      <c r="U147" s="420"/>
      <c r="V147" s="420"/>
      <c r="W147" s="420"/>
      <c r="X147" s="420"/>
      <c r="Y147" s="420"/>
      <c r="Z147" s="420"/>
      <c r="AA147" s="420"/>
      <c r="AB147" s="420"/>
      <c r="AC147" s="420"/>
      <c r="AD147" s="420"/>
      <c r="AE147" s="420"/>
      <c r="AF147" s="420"/>
      <c r="AG147" s="420"/>
      <c r="AH147" s="420"/>
      <c r="AI147" s="420"/>
    </row>
    <row r="148" spans="1:35">
      <c r="A148" s="420"/>
      <c r="B148" s="420"/>
      <c r="C148" s="424"/>
      <c r="D148" s="420"/>
      <c r="E148" s="420"/>
      <c r="F148" s="420"/>
      <c r="G148" s="420"/>
      <c r="H148" s="420"/>
      <c r="I148" s="420"/>
      <c r="J148" s="420"/>
      <c r="K148" s="420"/>
      <c r="L148" s="420"/>
      <c r="M148" s="420"/>
      <c r="N148" s="420"/>
      <c r="O148" s="420"/>
      <c r="P148" s="420"/>
      <c r="Q148" s="420"/>
      <c r="R148" s="420"/>
      <c r="S148" s="420"/>
      <c r="T148" s="420"/>
      <c r="U148" s="420"/>
      <c r="V148" s="420"/>
      <c r="W148" s="420"/>
      <c r="X148" s="420"/>
      <c r="Y148" s="420"/>
      <c r="Z148" s="420"/>
      <c r="AA148" s="420"/>
      <c r="AB148" s="420"/>
      <c r="AC148" s="420"/>
      <c r="AD148" s="420"/>
      <c r="AE148" s="420"/>
      <c r="AF148" s="420"/>
      <c r="AG148" s="420"/>
      <c r="AH148" s="420"/>
      <c r="AI148" s="420"/>
    </row>
    <row r="149" spans="1:35">
      <c r="A149" s="420"/>
      <c r="B149" s="420"/>
      <c r="C149" s="424"/>
      <c r="D149" s="420"/>
      <c r="E149" s="420"/>
      <c r="F149" s="420"/>
      <c r="G149" s="420"/>
      <c r="H149" s="420"/>
      <c r="I149" s="420"/>
      <c r="J149" s="420"/>
      <c r="K149" s="420"/>
      <c r="L149" s="420"/>
      <c r="M149" s="420"/>
      <c r="N149" s="420"/>
      <c r="O149" s="420"/>
      <c r="P149" s="420"/>
      <c r="Q149" s="420"/>
      <c r="R149" s="420"/>
      <c r="S149" s="420"/>
      <c r="T149" s="420"/>
      <c r="U149" s="420"/>
      <c r="V149" s="420"/>
      <c r="W149" s="420"/>
      <c r="X149" s="420"/>
      <c r="Y149" s="420"/>
      <c r="Z149" s="420"/>
      <c r="AA149" s="420"/>
      <c r="AB149" s="420"/>
      <c r="AC149" s="420"/>
      <c r="AD149" s="420"/>
      <c r="AE149" s="420"/>
      <c r="AF149" s="420"/>
      <c r="AG149" s="420"/>
      <c r="AH149" s="420"/>
      <c r="AI149" s="420"/>
    </row>
    <row r="150" spans="1:35">
      <c r="A150" s="420"/>
      <c r="B150" s="420"/>
      <c r="C150" s="424"/>
      <c r="D150" s="420"/>
      <c r="E150" s="420"/>
      <c r="F150" s="420"/>
      <c r="G150" s="420"/>
      <c r="H150" s="420"/>
      <c r="I150" s="420"/>
      <c r="J150" s="420"/>
      <c r="K150" s="420"/>
      <c r="L150" s="420"/>
      <c r="M150" s="420"/>
      <c r="N150" s="420"/>
      <c r="O150" s="420"/>
      <c r="P150" s="420"/>
      <c r="Q150" s="420"/>
      <c r="R150" s="420"/>
      <c r="S150" s="420"/>
      <c r="T150" s="420"/>
      <c r="U150" s="420"/>
      <c r="V150" s="420"/>
      <c r="W150" s="420"/>
      <c r="X150" s="420"/>
      <c r="Y150" s="420"/>
      <c r="Z150" s="420"/>
      <c r="AA150" s="420"/>
      <c r="AB150" s="420"/>
      <c r="AC150" s="420"/>
      <c r="AD150" s="420"/>
      <c r="AE150" s="420"/>
      <c r="AF150" s="420"/>
      <c r="AG150" s="420"/>
      <c r="AH150" s="420"/>
      <c r="AI150" s="420"/>
    </row>
    <row r="151" spans="1:35">
      <c r="A151" s="420"/>
      <c r="B151" s="420"/>
      <c r="C151" s="424"/>
      <c r="D151" s="420"/>
      <c r="E151" s="420"/>
      <c r="F151" s="420"/>
      <c r="G151" s="420"/>
      <c r="H151" s="420"/>
      <c r="I151" s="420"/>
      <c r="J151" s="420"/>
      <c r="K151" s="420"/>
      <c r="L151" s="420"/>
      <c r="M151" s="420"/>
      <c r="N151" s="420"/>
      <c r="O151" s="420"/>
      <c r="P151" s="420"/>
      <c r="Q151" s="420"/>
      <c r="R151" s="420"/>
      <c r="S151" s="420"/>
      <c r="T151" s="420"/>
      <c r="U151" s="420"/>
      <c r="V151" s="420"/>
      <c r="W151" s="420"/>
      <c r="X151" s="420"/>
      <c r="Y151" s="420"/>
      <c r="Z151" s="420"/>
      <c r="AA151" s="420"/>
      <c r="AB151" s="420"/>
      <c r="AC151" s="420"/>
      <c r="AD151" s="420"/>
      <c r="AE151" s="420"/>
      <c r="AF151" s="420"/>
      <c r="AG151" s="420"/>
      <c r="AH151" s="420"/>
      <c r="AI151" s="420"/>
    </row>
    <row r="152" spans="1:35">
      <c r="A152" s="420"/>
      <c r="B152" s="420"/>
      <c r="C152" s="424"/>
      <c r="D152" s="420"/>
      <c r="E152" s="420"/>
      <c r="F152" s="420"/>
      <c r="G152" s="420"/>
      <c r="H152" s="420"/>
      <c r="I152" s="420"/>
      <c r="J152" s="420"/>
      <c r="K152" s="420"/>
      <c r="L152" s="420"/>
      <c r="M152" s="420"/>
      <c r="N152" s="420"/>
      <c r="O152" s="420"/>
      <c r="P152" s="420"/>
      <c r="Q152" s="420"/>
      <c r="R152" s="420"/>
      <c r="S152" s="420"/>
      <c r="T152" s="420"/>
      <c r="U152" s="420"/>
      <c r="V152" s="420"/>
      <c r="W152" s="420"/>
      <c r="X152" s="420"/>
      <c r="Y152" s="420"/>
      <c r="Z152" s="420"/>
      <c r="AA152" s="420"/>
      <c r="AB152" s="420"/>
      <c r="AC152" s="420"/>
      <c r="AD152" s="420"/>
      <c r="AE152" s="420"/>
      <c r="AF152" s="420"/>
      <c r="AG152" s="420"/>
      <c r="AH152" s="420"/>
      <c r="AI152" s="420"/>
    </row>
    <row r="153" spans="1:35">
      <c r="A153" s="420"/>
      <c r="B153" s="420"/>
      <c r="C153" s="424"/>
      <c r="D153" s="420"/>
      <c r="E153" s="420"/>
      <c r="F153" s="420"/>
      <c r="G153" s="420"/>
      <c r="H153" s="420"/>
      <c r="I153" s="420"/>
      <c r="J153" s="420"/>
      <c r="K153" s="420"/>
      <c r="L153" s="420"/>
      <c r="M153" s="420"/>
      <c r="N153" s="420"/>
      <c r="O153" s="420"/>
      <c r="P153" s="420"/>
      <c r="Q153" s="420"/>
      <c r="R153" s="420"/>
      <c r="S153" s="420"/>
      <c r="T153" s="420"/>
      <c r="U153" s="420"/>
      <c r="V153" s="420"/>
      <c r="W153" s="420"/>
      <c r="X153" s="420"/>
      <c r="Y153" s="420"/>
      <c r="Z153" s="420"/>
      <c r="AA153" s="420"/>
      <c r="AB153" s="420"/>
      <c r="AC153" s="420"/>
      <c r="AD153" s="420"/>
      <c r="AE153" s="420"/>
      <c r="AF153" s="420"/>
      <c r="AG153" s="420"/>
      <c r="AH153" s="420"/>
      <c r="AI153" s="420"/>
    </row>
    <row r="154" spans="1:35">
      <c r="A154" s="420"/>
      <c r="B154" s="420"/>
      <c r="C154" s="424"/>
      <c r="D154" s="420"/>
      <c r="E154" s="420"/>
      <c r="F154" s="420"/>
      <c r="G154" s="420"/>
      <c r="H154" s="420"/>
      <c r="I154" s="420"/>
      <c r="J154" s="420"/>
      <c r="K154" s="420"/>
      <c r="L154" s="420"/>
      <c r="M154" s="420"/>
      <c r="N154" s="420"/>
      <c r="O154" s="420"/>
      <c r="P154" s="420"/>
      <c r="Q154" s="420"/>
      <c r="R154" s="420"/>
      <c r="S154" s="420"/>
      <c r="T154" s="420"/>
      <c r="U154" s="420"/>
      <c r="V154" s="420"/>
      <c r="W154" s="420"/>
      <c r="X154" s="420"/>
      <c r="Y154" s="420"/>
      <c r="Z154" s="420"/>
      <c r="AA154" s="420"/>
      <c r="AB154" s="420"/>
      <c r="AC154" s="420"/>
      <c r="AD154" s="420"/>
      <c r="AE154" s="420"/>
      <c r="AF154" s="420"/>
      <c r="AG154" s="420"/>
      <c r="AH154" s="420"/>
      <c r="AI154" s="420"/>
    </row>
    <row r="155" spans="1:35">
      <c r="A155" s="420"/>
      <c r="B155" s="420"/>
      <c r="C155" s="424"/>
      <c r="D155" s="420"/>
      <c r="E155" s="420"/>
      <c r="F155" s="420"/>
      <c r="G155" s="420"/>
      <c r="H155" s="420"/>
      <c r="I155" s="420"/>
      <c r="J155" s="420"/>
      <c r="K155" s="420"/>
      <c r="L155" s="420"/>
      <c r="M155" s="420"/>
      <c r="N155" s="420"/>
      <c r="O155" s="420"/>
      <c r="P155" s="420"/>
      <c r="Q155" s="420"/>
      <c r="R155" s="420"/>
      <c r="S155" s="420"/>
      <c r="T155" s="420"/>
      <c r="U155" s="420"/>
      <c r="V155" s="420"/>
      <c r="W155" s="420"/>
      <c r="X155" s="420"/>
      <c r="Y155" s="420"/>
      <c r="Z155" s="420"/>
      <c r="AA155" s="420"/>
      <c r="AB155" s="420"/>
      <c r="AC155" s="420"/>
      <c r="AD155" s="420"/>
      <c r="AE155" s="420"/>
      <c r="AF155" s="420"/>
      <c r="AG155" s="420"/>
      <c r="AH155" s="420"/>
      <c r="AI155" s="420"/>
    </row>
    <row r="156" spans="1:35">
      <c r="A156" s="420"/>
      <c r="B156" s="420"/>
      <c r="C156" s="424"/>
      <c r="D156" s="420"/>
      <c r="E156" s="420"/>
      <c r="F156" s="420"/>
      <c r="G156" s="420"/>
      <c r="H156" s="420"/>
      <c r="I156" s="420"/>
      <c r="J156" s="420"/>
      <c r="K156" s="420"/>
      <c r="L156" s="420"/>
      <c r="M156" s="420"/>
      <c r="N156" s="420"/>
      <c r="O156" s="420"/>
      <c r="P156" s="420"/>
      <c r="Q156" s="420"/>
      <c r="R156" s="420"/>
      <c r="S156" s="420"/>
      <c r="T156" s="420"/>
      <c r="U156" s="420"/>
      <c r="V156" s="420"/>
      <c r="W156" s="420"/>
      <c r="X156" s="420"/>
      <c r="Y156" s="420"/>
      <c r="Z156" s="420"/>
      <c r="AA156" s="420"/>
      <c r="AB156" s="420"/>
      <c r="AC156" s="420"/>
      <c r="AD156" s="420"/>
      <c r="AE156" s="420"/>
      <c r="AF156" s="420"/>
      <c r="AG156" s="420"/>
      <c r="AH156" s="420"/>
      <c r="AI156" s="420"/>
    </row>
    <row r="157" spans="1:35">
      <c r="A157" s="420"/>
      <c r="B157" s="420"/>
      <c r="C157" s="424"/>
      <c r="D157" s="420"/>
      <c r="E157" s="420"/>
      <c r="F157" s="420"/>
      <c r="G157" s="420"/>
      <c r="H157" s="420"/>
      <c r="I157" s="420"/>
      <c r="J157" s="420"/>
      <c r="K157" s="420"/>
      <c r="L157" s="420"/>
      <c r="M157" s="420"/>
      <c r="N157" s="420"/>
      <c r="O157" s="420"/>
      <c r="P157" s="420"/>
      <c r="Q157" s="420"/>
      <c r="R157" s="420"/>
      <c r="S157" s="420"/>
      <c r="T157" s="420"/>
      <c r="U157" s="420"/>
      <c r="V157" s="420"/>
      <c r="W157" s="420"/>
      <c r="X157" s="420"/>
      <c r="Y157" s="420"/>
      <c r="Z157" s="420"/>
      <c r="AA157" s="420"/>
      <c r="AB157" s="420"/>
      <c r="AC157" s="420"/>
      <c r="AD157" s="420"/>
      <c r="AE157" s="420"/>
      <c r="AF157" s="420"/>
      <c r="AG157" s="420"/>
      <c r="AH157" s="420"/>
      <c r="AI157" s="420"/>
    </row>
    <row r="158" spans="1:35">
      <c r="A158" s="420"/>
      <c r="B158" s="420"/>
      <c r="C158" s="424"/>
      <c r="D158" s="420"/>
      <c r="E158" s="420"/>
      <c r="F158" s="420"/>
      <c r="G158" s="420"/>
      <c r="H158" s="420"/>
      <c r="I158" s="420"/>
      <c r="J158" s="420"/>
      <c r="K158" s="420"/>
      <c r="L158" s="420"/>
      <c r="M158" s="420"/>
      <c r="N158" s="420"/>
      <c r="O158" s="420"/>
      <c r="P158" s="420"/>
      <c r="Q158" s="420"/>
      <c r="R158" s="420"/>
      <c r="S158" s="420"/>
      <c r="T158" s="420"/>
      <c r="U158" s="420"/>
      <c r="V158" s="420"/>
      <c r="W158" s="420"/>
      <c r="X158" s="420"/>
      <c r="Y158" s="420"/>
      <c r="Z158" s="420"/>
      <c r="AA158" s="420"/>
      <c r="AB158" s="420"/>
      <c r="AC158" s="420"/>
      <c r="AD158" s="420"/>
      <c r="AE158" s="420"/>
      <c r="AF158" s="420"/>
      <c r="AG158" s="420"/>
      <c r="AH158" s="420"/>
      <c r="AI158" s="420"/>
    </row>
    <row r="159" spans="1:35">
      <c r="A159" s="420"/>
      <c r="B159" s="420"/>
      <c r="C159" s="424"/>
      <c r="D159" s="420"/>
      <c r="E159" s="420"/>
      <c r="F159" s="420"/>
      <c r="G159" s="420"/>
      <c r="H159" s="420"/>
      <c r="I159" s="420"/>
      <c r="J159" s="420"/>
      <c r="K159" s="420"/>
      <c r="L159" s="420"/>
      <c r="M159" s="420"/>
      <c r="N159" s="420"/>
      <c r="O159" s="420"/>
      <c r="P159" s="420"/>
      <c r="Q159" s="420"/>
      <c r="R159" s="420"/>
      <c r="S159" s="420"/>
      <c r="T159" s="420"/>
      <c r="U159" s="420"/>
      <c r="V159" s="420"/>
      <c r="W159" s="420"/>
      <c r="X159" s="420"/>
      <c r="Y159" s="420"/>
      <c r="Z159" s="420"/>
      <c r="AA159" s="420"/>
      <c r="AB159" s="420"/>
      <c r="AC159" s="420"/>
      <c r="AD159" s="420"/>
      <c r="AE159" s="420"/>
      <c r="AF159" s="420"/>
      <c r="AG159" s="420"/>
      <c r="AH159" s="420"/>
      <c r="AI159" s="420"/>
    </row>
    <row r="160" spans="1:35">
      <c r="A160" s="420"/>
      <c r="B160" s="420"/>
      <c r="C160" s="424"/>
      <c r="D160" s="420"/>
      <c r="E160" s="420"/>
      <c r="F160" s="420"/>
      <c r="G160" s="420"/>
      <c r="H160" s="420"/>
      <c r="I160" s="420"/>
      <c r="J160" s="420"/>
      <c r="K160" s="420"/>
      <c r="L160" s="420"/>
      <c r="M160" s="420"/>
      <c r="N160" s="420"/>
      <c r="O160" s="420"/>
      <c r="P160" s="420"/>
      <c r="Q160" s="420"/>
      <c r="R160" s="420"/>
      <c r="S160" s="420"/>
      <c r="T160" s="420"/>
      <c r="U160" s="420"/>
      <c r="V160" s="420"/>
      <c r="W160" s="420"/>
      <c r="X160" s="420"/>
      <c r="Y160" s="420"/>
      <c r="Z160" s="420"/>
      <c r="AA160" s="420"/>
      <c r="AB160" s="420"/>
      <c r="AC160" s="420"/>
      <c r="AD160" s="420"/>
      <c r="AE160" s="420"/>
      <c r="AF160" s="420"/>
      <c r="AG160" s="420"/>
      <c r="AH160" s="420"/>
      <c r="AI160" s="420"/>
    </row>
    <row r="161" spans="1:35">
      <c r="A161" s="420"/>
      <c r="B161" s="420"/>
      <c r="C161" s="424"/>
      <c r="D161" s="420"/>
      <c r="E161" s="420"/>
      <c r="F161" s="420"/>
      <c r="G161" s="420"/>
      <c r="H161" s="420"/>
      <c r="I161" s="420"/>
      <c r="J161" s="420"/>
      <c r="K161" s="420"/>
      <c r="L161" s="420"/>
      <c r="M161" s="420"/>
      <c r="N161" s="420"/>
      <c r="O161" s="420"/>
      <c r="P161" s="420"/>
      <c r="Q161" s="420"/>
      <c r="R161" s="420"/>
      <c r="S161" s="420"/>
      <c r="T161" s="420"/>
      <c r="U161" s="420"/>
      <c r="V161" s="420"/>
      <c r="W161" s="420"/>
      <c r="X161" s="420"/>
      <c r="Y161" s="420"/>
      <c r="Z161" s="420"/>
      <c r="AA161" s="420"/>
      <c r="AB161" s="420"/>
      <c r="AC161" s="420"/>
      <c r="AD161" s="420"/>
      <c r="AE161" s="420"/>
      <c r="AF161" s="420"/>
      <c r="AG161" s="420"/>
      <c r="AH161" s="420"/>
      <c r="AI161" s="420"/>
    </row>
    <row r="162" spans="1:35">
      <c r="A162" s="420"/>
      <c r="B162" s="420"/>
      <c r="C162" s="424"/>
      <c r="D162" s="420"/>
      <c r="E162" s="420"/>
      <c r="F162" s="420"/>
      <c r="G162" s="420"/>
      <c r="H162" s="420"/>
      <c r="I162" s="420"/>
      <c r="J162" s="420"/>
      <c r="K162" s="420"/>
      <c r="L162" s="420"/>
      <c r="M162" s="420"/>
      <c r="N162" s="420"/>
      <c r="O162" s="420"/>
      <c r="P162" s="420"/>
      <c r="Q162" s="420"/>
      <c r="R162" s="420"/>
      <c r="S162" s="420"/>
      <c r="T162" s="420"/>
      <c r="U162" s="420"/>
      <c r="V162" s="420"/>
      <c r="W162" s="420"/>
      <c r="X162" s="420"/>
      <c r="Y162" s="420"/>
      <c r="Z162" s="420"/>
      <c r="AA162" s="420"/>
      <c r="AB162" s="420"/>
      <c r="AC162" s="420"/>
      <c r="AD162" s="420"/>
      <c r="AE162" s="420"/>
      <c r="AF162" s="420"/>
      <c r="AG162" s="420"/>
      <c r="AH162" s="420"/>
      <c r="AI162" s="420"/>
    </row>
    <row r="163" spans="1:35">
      <c r="A163" s="420"/>
      <c r="B163" s="420"/>
      <c r="C163" s="424"/>
      <c r="D163" s="420"/>
      <c r="E163" s="420"/>
      <c r="F163" s="420"/>
      <c r="G163" s="420"/>
      <c r="H163" s="420"/>
      <c r="I163" s="420"/>
      <c r="J163" s="420"/>
      <c r="K163" s="420"/>
      <c r="L163" s="420"/>
      <c r="M163" s="420"/>
      <c r="N163" s="420"/>
      <c r="O163" s="420"/>
      <c r="P163" s="420"/>
      <c r="Q163" s="420"/>
      <c r="R163" s="420"/>
      <c r="S163" s="420"/>
      <c r="T163" s="420"/>
      <c r="U163" s="420"/>
      <c r="V163" s="420"/>
      <c r="W163" s="420"/>
      <c r="X163" s="420"/>
      <c r="Y163" s="420"/>
      <c r="Z163" s="420"/>
      <c r="AA163" s="420"/>
      <c r="AB163" s="420"/>
      <c r="AC163" s="420"/>
      <c r="AD163" s="420"/>
      <c r="AE163" s="420"/>
      <c r="AF163" s="420"/>
      <c r="AG163" s="420"/>
      <c r="AH163" s="420"/>
      <c r="AI163" s="420"/>
    </row>
    <row r="164" spans="1:35">
      <c r="A164" s="420"/>
      <c r="B164" s="420"/>
      <c r="C164" s="420"/>
      <c r="D164" s="420"/>
      <c r="E164" s="420"/>
      <c r="F164" s="420"/>
      <c r="G164" s="420"/>
      <c r="H164" s="420"/>
      <c r="I164" s="420"/>
      <c r="J164" s="420"/>
      <c r="K164" s="420"/>
      <c r="L164" s="420"/>
      <c r="M164" s="420"/>
      <c r="N164" s="420"/>
      <c r="O164" s="420"/>
      <c r="P164" s="420"/>
      <c r="Q164" s="420"/>
      <c r="R164" s="420"/>
      <c r="S164" s="420"/>
      <c r="T164" s="420"/>
      <c r="U164" s="420"/>
      <c r="V164" s="420"/>
      <c r="W164" s="420"/>
      <c r="X164" s="420"/>
      <c r="Y164" s="420"/>
      <c r="Z164" s="420"/>
      <c r="AA164" s="420"/>
      <c r="AB164" s="420"/>
      <c r="AC164" s="420"/>
      <c r="AD164" s="420"/>
      <c r="AE164" s="420"/>
      <c r="AF164" s="420"/>
      <c r="AG164" s="420"/>
      <c r="AH164" s="420"/>
      <c r="AI164" s="420"/>
    </row>
    <row r="165" spans="1:35">
      <c r="A165" s="420"/>
      <c r="B165" s="420"/>
      <c r="C165" s="420"/>
      <c r="D165" s="420"/>
      <c r="E165" s="420"/>
      <c r="F165" s="420"/>
      <c r="G165" s="420"/>
      <c r="H165" s="420"/>
      <c r="I165" s="420"/>
      <c r="J165" s="420"/>
      <c r="K165" s="420"/>
      <c r="L165" s="420"/>
      <c r="M165" s="420"/>
      <c r="N165" s="420"/>
      <c r="O165" s="420"/>
      <c r="P165" s="420"/>
      <c r="Q165" s="420"/>
      <c r="R165" s="420"/>
      <c r="S165" s="420"/>
      <c r="T165" s="420"/>
      <c r="U165" s="420"/>
      <c r="V165" s="420"/>
      <c r="W165" s="420"/>
      <c r="X165" s="420"/>
      <c r="Y165" s="420"/>
      <c r="Z165" s="420"/>
      <c r="AA165" s="420"/>
      <c r="AB165" s="420"/>
      <c r="AC165" s="420"/>
      <c r="AD165" s="420"/>
      <c r="AE165" s="420"/>
      <c r="AF165" s="420"/>
      <c r="AG165" s="420"/>
      <c r="AH165" s="420"/>
      <c r="AI165" s="420"/>
    </row>
    <row r="166" spans="1:35">
      <c r="A166" s="420"/>
      <c r="B166" s="420"/>
      <c r="C166" s="420"/>
      <c r="D166" s="420"/>
      <c r="E166" s="420"/>
      <c r="F166" s="420"/>
      <c r="G166" s="420"/>
      <c r="H166" s="420"/>
      <c r="I166" s="420"/>
      <c r="J166" s="420"/>
      <c r="K166" s="420"/>
      <c r="L166" s="420"/>
      <c r="M166" s="420"/>
      <c r="N166" s="420"/>
      <c r="O166" s="420"/>
      <c r="P166" s="420"/>
      <c r="Q166" s="420"/>
      <c r="R166" s="420"/>
      <c r="S166" s="420"/>
      <c r="T166" s="420"/>
      <c r="U166" s="420"/>
      <c r="V166" s="420"/>
      <c r="W166" s="420"/>
      <c r="X166" s="420"/>
      <c r="Y166" s="420"/>
      <c r="Z166" s="420"/>
      <c r="AA166" s="420"/>
      <c r="AB166" s="420"/>
      <c r="AC166" s="420"/>
      <c r="AD166" s="420"/>
      <c r="AE166" s="420"/>
      <c r="AF166" s="420"/>
      <c r="AG166" s="420"/>
      <c r="AH166" s="420"/>
      <c r="AI166" s="420"/>
    </row>
    <row r="167" spans="1:35">
      <c r="A167" s="420"/>
      <c r="B167" s="420"/>
      <c r="C167" s="420"/>
      <c r="D167" s="420"/>
      <c r="E167" s="420"/>
      <c r="F167" s="420"/>
      <c r="G167" s="420"/>
      <c r="H167" s="420"/>
      <c r="I167" s="420"/>
      <c r="J167" s="420"/>
      <c r="K167" s="420"/>
      <c r="L167" s="420"/>
      <c r="M167" s="420"/>
      <c r="N167" s="420"/>
      <c r="O167" s="420"/>
      <c r="P167" s="420"/>
      <c r="Q167" s="420"/>
      <c r="R167" s="420"/>
      <c r="S167" s="420"/>
      <c r="T167" s="420"/>
      <c r="U167" s="420"/>
      <c r="V167" s="420"/>
      <c r="W167" s="420"/>
      <c r="X167" s="420"/>
      <c r="Y167" s="420"/>
      <c r="Z167" s="420"/>
      <c r="AA167" s="420"/>
      <c r="AB167" s="420"/>
      <c r="AC167" s="420"/>
      <c r="AD167" s="420"/>
      <c r="AE167" s="420"/>
      <c r="AF167" s="420"/>
      <c r="AG167" s="420"/>
      <c r="AH167" s="420"/>
      <c r="AI167" s="420"/>
    </row>
    <row r="168" spans="1:35">
      <c r="A168" s="420"/>
      <c r="B168" s="420"/>
      <c r="C168" s="420"/>
      <c r="D168" s="420"/>
      <c r="E168" s="420"/>
      <c r="F168" s="420"/>
      <c r="G168" s="420"/>
      <c r="H168" s="420"/>
      <c r="I168" s="420"/>
      <c r="J168" s="420"/>
      <c r="K168" s="420"/>
      <c r="L168" s="420"/>
      <c r="M168" s="420"/>
      <c r="N168" s="420"/>
      <c r="O168" s="420"/>
      <c r="P168" s="420"/>
      <c r="Q168" s="420"/>
      <c r="R168" s="420"/>
      <c r="S168" s="420"/>
      <c r="T168" s="420"/>
      <c r="U168" s="420"/>
      <c r="V168" s="420"/>
      <c r="W168" s="420"/>
      <c r="X168" s="420"/>
      <c r="Y168" s="420"/>
      <c r="Z168" s="420"/>
      <c r="AA168" s="420"/>
      <c r="AB168" s="420"/>
      <c r="AC168" s="420"/>
      <c r="AD168" s="420"/>
      <c r="AE168" s="420"/>
      <c r="AF168" s="420"/>
      <c r="AG168" s="420"/>
      <c r="AH168" s="420"/>
      <c r="AI168" s="420"/>
    </row>
    <row r="169" spans="1:35">
      <c r="A169" s="420"/>
      <c r="B169" s="420"/>
      <c r="C169" s="420"/>
      <c r="D169" s="420"/>
      <c r="E169" s="420"/>
      <c r="F169" s="420"/>
      <c r="G169" s="420"/>
      <c r="H169" s="420"/>
      <c r="I169" s="420"/>
      <c r="J169" s="420"/>
      <c r="K169" s="420"/>
      <c r="L169" s="420"/>
      <c r="M169" s="420"/>
      <c r="N169" s="420"/>
      <c r="O169" s="420"/>
      <c r="P169" s="420"/>
      <c r="Q169" s="420"/>
      <c r="R169" s="420"/>
      <c r="S169" s="420"/>
      <c r="T169" s="420"/>
      <c r="U169" s="420"/>
      <c r="V169" s="420"/>
      <c r="W169" s="420"/>
      <c r="X169" s="420"/>
      <c r="Y169" s="420"/>
      <c r="Z169" s="420"/>
      <c r="AA169" s="420"/>
      <c r="AB169" s="420"/>
      <c r="AC169" s="420"/>
      <c r="AD169" s="420"/>
      <c r="AE169" s="420"/>
      <c r="AF169" s="420"/>
      <c r="AG169" s="420"/>
      <c r="AH169" s="420"/>
      <c r="AI169" s="420"/>
    </row>
    <row r="170" spans="1:35">
      <c r="A170" s="420"/>
      <c r="B170" s="420"/>
      <c r="C170" s="420"/>
      <c r="D170" s="420"/>
      <c r="E170" s="420"/>
      <c r="F170" s="420"/>
      <c r="G170" s="420"/>
      <c r="H170" s="420"/>
      <c r="I170" s="420"/>
      <c r="J170" s="420"/>
      <c r="K170" s="420"/>
      <c r="L170" s="420"/>
      <c r="M170" s="420"/>
      <c r="N170" s="420"/>
      <c r="O170" s="420"/>
      <c r="P170" s="420"/>
      <c r="Q170" s="420"/>
      <c r="R170" s="420"/>
      <c r="S170" s="420"/>
      <c r="T170" s="420"/>
      <c r="U170" s="420"/>
      <c r="V170" s="420"/>
      <c r="W170" s="420"/>
      <c r="X170" s="420"/>
      <c r="Y170" s="420"/>
      <c r="Z170" s="420"/>
      <c r="AA170" s="420"/>
      <c r="AB170" s="420"/>
      <c r="AC170" s="420"/>
      <c r="AD170" s="420"/>
      <c r="AE170" s="420"/>
      <c r="AF170" s="420"/>
      <c r="AG170" s="420"/>
      <c r="AH170" s="420"/>
      <c r="AI170" s="420"/>
    </row>
    <row r="171" spans="1:35">
      <c r="A171" s="420"/>
      <c r="B171" s="420"/>
      <c r="C171" s="420"/>
      <c r="D171" s="420"/>
      <c r="E171" s="420"/>
      <c r="F171" s="420"/>
      <c r="G171" s="420"/>
      <c r="H171" s="420"/>
      <c r="I171" s="420"/>
      <c r="J171" s="420"/>
      <c r="K171" s="420"/>
      <c r="L171" s="420"/>
      <c r="M171" s="420"/>
      <c r="N171" s="420"/>
      <c r="O171" s="420"/>
      <c r="P171" s="420"/>
      <c r="Q171" s="420"/>
      <c r="R171" s="420"/>
      <c r="S171" s="420"/>
      <c r="T171" s="420"/>
      <c r="U171" s="420"/>
      <c r="V171" s="420"/>
      <c r="W171" s="420"/>
      <c r="X171" s="420"/>
      <c r="Y171" s="420"/>
      <c r="Z171" s="420"/>
      <c r="AA171" s="420"/>
      <c r="AB171" s="420"/>
      <c r="AC171" s="420"/>
      <c r="AD171" s="420"/>
      <c r="AE171" s="420"/>
      <c r="AF171" s="420"/>
      <c r="AG171" s="420"/>
      <c r="AH171" s="420"/>
      <c r="AI171" s="420"/>
    </row>
    <row r="172" spans="1:35">
      <c r="A172" s="420"/>
      <c r="B172" s="420"/>
      <c r="C172" s="420"/>
      <c r="D172" s="420"/>
      <c r="E172" s="420"/>
      <c r="F172" s="420"/>
      <c r="G172" s="420"/>
      <c r="H172" s="420"/>
      <c r="I172" s="420"/>
      <c r="J172" s="420"/>
      <c r="K172" s="420"/>
      <c r="L172" s="420"/>
      <c r="M172" s="420"/>
      <c r="N172" s="420"/>
      <c r="O172" s="420"/>
      <c r="P172" s="420"/>
      <c r="Q172" s="420"/>
      <c r="R172" s="420"/>
      <c r="S172" s="420"/>
      <c r="T172" s="420"/>
      <c r="U172" s="420"/>
      <c r="V172" s="420"/>
      <c r="W172" s="420"/>
      <c r="X172" s="420"/>
      <c r="Y172" s="420"/>
      <c r="Z172" s="420"/>
      <c r="AA172" s="420"/>
      <c r="AB172" s="420"/>
      <c r="AC172" s="420"/>
      <c r="AD172" s="420"/>
      <c r="AE172" s="420"/>
      <c r="AF172" s="420"/>
      <c r="AG172" s="420"/>
      <c r="AH172" s="420"/>
      <c r="AI172" s="420"/>
    </row>
    <row r="173" spans="1:35">
      <c r="A173" s="420"/>
      <c r="B173" s="420"/>
      <c r="C173" s="420"/>
      <c r="D173" s="420"/>
      <c r="E173" s="420"/>
      <c r="F173" s="420"/>
      <c r="G173" s="420"/>
      <c r="H173" s="420"/>
      <c r="I173" s="420"/>
      <c r="J173" s="420"/>
      <c r="K173" s="420"/>
      <c r="L173" s="420"/>
      <c r="M173" s="420"/>
      <c r="N173" s="420"/>
      <c r="O173" s="420"/>
      <c r="P173" s="420"/>
      <c r="Q173" s="420"/>
      <c r="R173" s="420"/>
      <c r="S173" s="420"/>
      <c r="T173" s="420"/>
      <c r="U173" s="420"/>
      <c r="V173" s="420"/>
      <c r="W173" s="420"/>
      <c r="X173" s="420"/>
      <c r="Y173" s="420"/>
      <c r="Z173" s="420"/>
      <c r="AA173" s="420"/>
      <c r="AB173" s="420"/>
      <c r="AC173" s="420"/>
      <c r="AD173" s="420"/>
      <c r="AE173" s="420"/>
      <c r="AF173" s="420"/>
      <c r="AG173" s="420"/>
      <c r="AH173" s="420"/>
      <c r="AI173" s="420"/>
    </row>
    <row r="174" spans="1:35">
      <c r="A174" s="420"/>
      <c r="B174" s="420"/>
      <c r="C174" s="420"/>
      <c r="D174" s="420"/>
      <c r="E174" s="420"/>
      <c r="F174" s="420"/>
      <c r="G174" s="420"/>
      <c r="H174" s="420"/>
      <c r="I174" s="420"/>
      <c r="J174" s="420"/>
      <c r="K174" s="420"/>
      <c r="L174" s="420"/>
      <c r="M174" s="420"/>
      <c r="N174" s="420"/>
      <c r="O174" s="420"/>
      <c r="P174" s="420"/>
      <c r="Q174" s="420"/>
      <c r="R174" s="420"/>
      <c r="S174" s="420"/>
      <c r="T174" s="420"/>
      <c r="U174" s="420"/>
      <c r="V174" s="420"/>
      <c r="W174" s="420"/>
      <c r="X174" s="420"/>
      <c r="Y174" s="420"/>
      <c r="Z174" s="420"/>
      <c r="AA174" s="420"/>
      <c r="AB174" s="420"/>
      <c r="AC174" s="420"/>
      <c r="AD174" s="420"/>
      <c r="AE174" s="420"/>
      <c r="AF174" s="420"/>
      <c r="AG174" s="420"/>
      <c r="AH174" s="420"/>
      <c r="AI174" s="420"/>
    </row>
    <row r="175" spans="1:35">
      <c r="A175" s="420"/>
      <c r="B175" s="420"/>
      <c r="C175" s="420"/>
      <c r="D175" s="420"/>
      <c r="E175" s="420"/>
      <c r="F175" s="420"/>
      <c r="G175" s="420"/>
      <c r="H175" s="420"/>
      <c r="I175" s="420"/>
      <c r="J175" s="420"/>
      <c r="K175" s="420"/>
      <c r="L175" s="420"/>
      <c r="M175" s="420"/>
      <c r="N175" s="420"/>
      <c r="O175" s="420"/>
      <c r="P175" s="420"/>
      <c r="Q175" s="420"/>
      <c r="R175" s="420"/>
      <c r="S175" s="420"/>
      <c r="T175" s="420"/>
      <c r="U175" s="420"/>
      <c r="V175" s="420"/>
      <c r="W175" s="420"/>
      <c r="X175" s="420"/>
      <c r="Y175" s="420"/>
      <c r="Z175" s="420"/>
      <c r="AA175" s="420"/>
      <c r="AB175" s="420"/>
      <c r="AC175" s="420"/>
      <c r="AD175" s="420"/>
      <c r="AE175" s="420"/>
      <c r="AF175" s="420"/>
      <c r="AG175" s="420"/>
      <c r="AH175" s="420"/>
      <c r="AI175" s="420"/>
    </row>
    <row r="176" spans="1:35">
      <c r="A176" s="420"/>
      <c r="B176" s="420"/>
      <c r="C176" s="420"/>
      <c r="D176" s="420"/>
      <c r="E176" s="420"/>
      <c r="F176" s="420"/>
      <c r="G176" s="420"/>
      <c r="H176" s="420"/>
      <c r="I176" s="420"/>
      <c r="J176" s="420"/>
      <c r="K176" s="420"/>
      <c r="L176" s="420"/>
      <c r="M176" s="420"/>
      <c r="N176" s="420"/>
      <c r="O176" s="420"/>
      <c r="P176" s="420"/>
      <c r="Q176" s="420"/>
      <c r="R176" s="420"/>
      <c r="S176" s="420"/>
      <c r="T176" s="420"/>
      <c r="U176" s="420"/>
      <c r="V176" s="420"/>
      <c r="W176" s="420"/>
      <c r="X176" s="420"/>
      <c r="Y176" s="420"/>
      <c r="Z176" s="420"/>
      <c r="AA176" s="420"/>
      <c r="AB176" s="420"/>
      <c r="AC176" s="420"/>
      <c r="AD176" s="420"/>
      <c r="AE176" s="420"/>
      <c r="AF176" s="420"/>
      <c r="AG176" s="420"/>
      <c r="AH176" s="420"/>
      <c r="AI176" s="420"/>
    </row>
    <row r="177" spans="1:35">
      <c r="A177" s="420"/>
      <c r="B177" s="420"/>
      <c r="C177" s="420"/>
      <c r="D177" s="420"/>
      <c r="E177" s="420"/>
      <c r="F177" s="420"/>
      <c r="G177" s="420"/>
      <c r="H177" s="420"/>
      <c r="I177" s="420"/>
      <c r="J177" s="420"/>
      <c r="K177" s="420"/>
      <c r="L177" s="420"/>
      <c r="M177" s="420"/>
      <c r="N177" s="420"/>
      <c r="O177" s="420"/>
      <c r="P177" s="420"/>
      <c r="Q177" s="420"/>
      <c r="R177" s="420"/>
      <c r="S177" s="420"/>
      <c r="T177" s="420"/>
      <c r="U177" s="420"/>
      <c r="V177" s="420"/>
      <c r="W177" s="420"/>
      <c r="X177" s="420"/>
      <c r="Y177" s="420"/>
      <c r="Z177" s="420"/>
      <c r="AA177" s="420"/>
      <c r="AB177" s="420"/>
      <c r="AC177" s="420"/>
      <c r="AD177" s="420"/>
      <c r="AE177" s="420"/>
      <c r="AF177" s="420"/>
      <c r="AG177" s="420"/>
      <c r="AH177" s="420"/>
      <c r="AI177" s="420"/>
    </row>
    <row r="178" spans="1:35">
      <c r="A178" s="420"/>
      <c r="B178" s="420"/>
      <c r="C178" s="420"/>
      <c r="D178" s="420"/>
      <c r="E178" s="420"/>
      <c r="F178" s="420"/>
      <c r="G178" s="420"/>
      <c r="H178" s="420"/>
      <c r="I178" s="420"/>
      <c r="J178" s="420"/>
      <c r="K178" s="420"/>
      <c r="L178" s="420"/>
      <c r="M178" s="420"/>
      <c r="N178" s="420"/>
      <c r="O178" s="420"/>
      <c r="P178" s="420"/>
      <c r="Q178" s="420"/>
      <c r="R178" s="420"/>
      <c r="S178" s="420"/>
      <c r="T178" s="420"/>
      <c r="U178" s="420"/>
      <c r="V178" s="420"/>
      <c r="W178" s="420"/>
      <c r="X178" s="420"/>
      <c r="Y178" s="420"/>
      <c r="Z178" s="420"/>
      <c r="AA178" s="420"/>
      <c r="AB178" s="420"/>
      <c r="AC178" s="420"/>
      <c r="AD178" s="420"/>
      <c r="AE178" s="420"/>
      <c r="AF178" s="420"/>
      <c r="AG178" s="420"/>
      <c r="AH178" s="420"/>
      <c r="AI178" s="420"/>
    </row>
    <row r="179" spans="1:35">
      <c r="A179" s="420"/>
      <c r="B179" s="420"/>
      <c r="C179" s="420"/>
      <c r="D179" s="420"/>
      <c r="E179" s="420"/>
      <c r="F179" s="420"/>
      <c r="G179" s="420"/>
      <c r="H179" s="420"/>
      <c r="I179" s="420"/>
      <c r="J179" s="420"/>
      <c r="K179" s="420"/>
      <c r="L179" s="420"/>
      <c r="M179" s="420"/>
      <c r="N179" s="420"/>
      <c r="O179" s="420"/>
      <c r="P179" s="420"/>
      <c r="Q179" s="420"/>
      <c r="R179" s="420"/>
      <c r="S179" s="420"/>
      <c r="T179" s="420"/>
      <c r="U179" s="420"/>
      <c r="V179" s="420"/>
      <c r="W179" s="420"/>
      <c r="X179" s="420"/>
      <c r="Y179" s="420"/>
      <c r="Z179" s="420"/>
      <c r="AA179" s="420"/>
      <c r="AB179" s="420"/>
      <c r="AC179" s="420"/>
      <c r="AD179" s="420"/>
      <c r="AE179" s="420"/>
      <c r="AF179" s="420"/>
      <c r="AG179" s="420"/>
      <c r="AH179" s="420"/>
      <c r="AI179" s="420"/>
    </row>
    <row r="180" spans="1:35">
      <c r="A180" s="420"/>
      <c r="B180" s="420"/>
      <c r="C180" s="420"/>
      <c r="D180" s="420"/>
      <c r="E180" s="420"/>
      <c r="F180" s="420"/>
      <c r="G180" s="420"/>
      <c r="H180" s="420"/>
      <c r="I180" s="420"/>
      <c r="J180" s="420"/>
      <c r="K180" s="420"/>
      <c r="L180" s="420"/>
      <c r="M180" s="420"/>
      <c r="N180" s="420"/>
      <c r="O180" s="420"/>
      <c r="P180" s="420"/>
      <c r="Q180" s="420"/>
      <c r="R180" s="420"/>
      <c r="S180" s="420"/>
      <c r="T180" s="420"/>
      <c r="U180" s="420"/>
      <c r="V180" s="420"/>
      <c r="W180" s="420"/>
      <c r="X180" s="420"/>
      <c r="Y180" s="420"/>
      <c r="Z180" s="420"/>
      <c r="AA180" s="420"/>
      <c r="AB180" s="420"/>
      <c r="AC180" s="420"/>
      <c r="AD180" s="420"/>
      <c r="AE180" s="420"/>
      <c r="AF180" s="420"/>
      <c r="AG180" s="420"/>
      <c r="AH180" s="420"/>
      <c r="AI180" s="420"/>
    </row>
    <row r="181" spans="1:35">
      <c r="A181" s="420"/>
      <c r="B181" s="420"/>
      <c r="C181" s="420"/>
      <c r="D181" s="420"/>
      <c r="E181" s="420"/>
      <c r="F181" s="420"/>
      <c r="G181" s="420"/>
      <c r="H181" s="420"/>
      <c r="I181" s="420"/>
      <c r="J181" s="420"/>
      <c r="K181" s="420"/>
      <c r="L181" s="420"/>
      <c r="M181" s="420"/>
      <c r="N181" s="420"/>
      <c r="O181" s="420"/>
      <c r="P181" s="420"/>
      <c r="Q181" s="420"/>
      <c r="R181" s="420"/>
      <c r="S181" s="420"/>
      <c r="T181" s="420"/>
      <c r="U181" s="420"/>
      <c r="V181" s="420"/>
      <c r="W181" s="420"/>
      <c r="X181" s="420"/>
      <c r="Y181" s="420"/>
      <c r="Z181" s="420"/>
      <c r="AA181" s="420"/>
      <c r="AB181" s="420"/>
      <c r="AC181" s="420"/>
      <c r="AD181" s="420"/>
      <c r="AE181" s="420"/>
      <c r="AF181" s="420"/>
      <c r="AG181" s="420"/>
      <c r="AH181" s="420"/>
      <c r="AI181" s="420"/>
    </row>
    <row r="182" spans="1:35">
      <c r="A182" s="420"/>
      <c r="B182" s="420"/>
      <c r="C182" s="420"/>
      <c r="D182" s="420"/>
      <c r="E182" s="420"/>
      <c r="F182" s="420"/>
      <c r="G182" s="420"/>
      <c r="H182" s="420"/>
      <c r="I182" s="420"/>
      <c r="J182" s="420"/>
      <c r="K182" s="420"/>
      <c r="L182" s="420"/>
      <c r="M182" s="420"/>
      <c r="N182" s="420"/>
      <c r="O182" s="420"/>
      <c r="P182" s="420"/>
      <c r="Q182" s="420"/>
      <c r="R182" s="420"/>
      <c r="S182" s="420"/>
      <c r="T182" s="420"/>
      <c r="U182" s="420"/>
      <c r="V182" s="420"/>
      <c r="W182" s="420"/>
      <c r="X182" s="420"/>
      <c r="Y182" s="420"/>
      <c r="Z182" s="420"/>
      <c r="AA182" s="420"/>
      <c r="AB182" s="420"/>
      <c r="AC182" s="420"/>
      <c r="AD182" s="420"/>
      <c r="AE182" s="420"/>
      <c r="AF182" s="420"/>
      <c r="AG182" s="420"/>
      <c r="AH182" s="420"/>
      <c r="AI182" s="420"/>
    </row>
    <row r="183" spans="1:35">
      <c r="A183" s="420"/>
      <c r="B183" s="420"/>
      <c r="C183" s="420"/>
      <c r="D183" s="420"/>
      <c r="E183" s="420"/>
      <c r="F183" s="420"/>
      <c r="G183" s="420"/>
      <c r="H183" s="420"/>
      <c r="I183" s="420"/>
      <c r="J183" s="420"/>
      <c r="K183" s="420"/>
      <c r="L183" s="420"/>
      <c r="M183" s="420"/>
      <c r="N183" s="420"/>
      <c r="O183" s="420"/>
      <c r="P183" s="420"/>
      <c r="Q183" s="420"/>
      <c r="R183" s="420"/>
      <c r="S183" s="420"/>
      <c r="T183" s="420"/>
      <c r="U183" s="420"/>
      <c r="V183" s="420"/>
      <c r="W183" s="420"/>
      <c r="X183" s="420"/>
      <c r="Y183" s="420"/>
      <c r="Z183" s="420"/>
      <c r="AA183" s="420"/>
      <c r="AB183" s="420"/>
      <c r="AC183" s="420"/>
      <c r="AD183" s="420"/>
      <c r="AE183" s="420"/>
      <c r="AF183" s="420"/>
      <c r="AG183" s="420"/>
      <c r="AH183" s="420"/>
      <c r="AI183" s="420"/>
    </row>
    <row r="184" spans="1:35">
      <c r="A184" s="420"/>
      <c r="B184" s="420"/>
      <c r="C184" s="420"/>
      <c r="D184" s="420"/>
      <c r="E184" s="420"/>
      <c r="F184" s="420"/>
      <c r="G184" s="420"/>
      <c r="H184" s="420"/>
      <c r="I184" s="420"/>
      <c r="J184" s="420"/>
      <c r="K184" s="420"/>
      <c r="L184" s="420"/>
      <c r="M184" s="420"/>
      <c r="N184" s="420"/>
      <c r="O184" s="420"/>
      <c r="P184" s="420"/>
      <c r="Q184" s="420"/>
      <c r="R184" s="420"/>
      <c r="S184" s="420"/>
      <c r="T184" s="420"/>
      <c r="U184" s="420"/>
      <c r="V184" s="420"/>
      <c r="W184" s="420"/>
      <c r="X184" s="420"/>
      <c r="Y184" s="420"/>
      <c r="Z184" s="420"/>
      <c r="AA184" s="420"/>
      <c r="AB184" s="420"/>
      <c r="AC184" s="420"/>
      <c r="AD184" s="420"/>
      <c r="AE184" s="420"/>
      <c r="AF184" s="420"/>
      <c r="AG184" s="420"/>
      <c r="AH184" s="420"/>
      <c r="AI184" s="420"/>
    </row>
    <row r="185" spans="1:35">
      <c r="A185" s="420"/>
      <c r="B185" s="420"/>
      <c r="C185" s="420"/>
      <c r="D185" s="420"/>
      <c r="E185" s="420"/>
      <c r="F185" s="420"/>
      <c r="G185" s="420"/>
      <c r="H185" s="420"/>
      <c r="I185" s="420"/>
      <c r="J185" s="420"/>
      <c r="K185" s="420"/>
      <c r="L185" s="420"/>
      <c r="M185" s="420"/>
      <c r="N185" s="420"/>
      <c r="O185" s="420"/>
      <c r="P185" s="420"/>
      <c r="Q185" s="420"/>
      <c r="R185" s="420"/>
      <c r="S185" s="420"/>
      <c r="T185" s="420"/>
      <c r="U185" s="420"/>
      <c r="V185" s="420"/>
      <c r="W185" s="420"/>
      <c r="X185" s="420"/>
      <c r="Y185" s="420"/>
      <c r="Z185" s="420"/>
      <c r="AA185" s="420"/>
      <c r="AB185" s="420"/>
      <c r="AC185" s="420"/>
      <c r="AD185" s="420"/>
      <c r="AE185" s="420"/>
      <c r="AF185" s="420"/>
      <c r="AG185" s="420"/>
      <c r="AH185" s="420"/>
      <c r="AI185" s="420"/>
    </row>
    <row r="186" spans="1:35">
      <c r="A186" s="420"/>
      <c r="B186" s="420"/>
      <c r="C186" s="420"/>
      <c r="D186" s="420"/>
      <c r="E186" s="420"/>
      <c r="F186" s="420"/>
      <c r="G186" s="420"/>
      <c r="H186" s="420"/>
      <c r="I186" s="420"/>
      <c r="J186" s="420"/>
      <c r="K186" s="420"/>
      <c r="L186" s="420"/>
      <c r="M186" s="420"/>
      <c r="N186" s="420"/>
      <c r="O186" s="420"/>
      <c r="P186" s="420"/>
      <c r="Q186" s="420"/>
      <c r="R186" s="420"/>
      <c r="S186" s="420"/>
      <c r="T186" s="420"/>
      <c r="U186" s="420"/>
      <c r="V186" s="420"/>
      <c r="W186" s="420"/>
      <c r="X186" s="420"/>
      <c r="Y186" s="420"/>
      <c r="Z186" s="420"/>
      <c r="AA186" s="420"/>
      <c r="AB186" s="420"/>
      <c r="AC186" s="420"/>
      <c r="AD186" s="420"/>
      <c r="AE186" s="420"/>
      <c r="AF186" s="420"/>
      <c r="AG186" s="420"/>
      <c r="AH186" s="420"/>
      <c r="AI186" s="420"/>
    </row>
    <row r="187" spans="1:35">
      <c r="A187" s="420"/>
      <c r="B187" s="420"/>
      <c r="C187" s="420"/>
      <c r="D187" s="420"/>
      <c r="E187" s="420"/>
      <c r="F187" s="420"/>
      <c r="G187" s="420"/>
      <c r="H187" s="420"/>
      <c r="I187" s="420"/>
      <c r="J187" s="420"/>
      <c r="K187" s="420"/>
      <c r="L187" s="420"/>
      <c r="M187" s="420"/>
      <c r="N187" s="420"/>
      <c r="O187" s="420"/>
      <c r="P187" s="420"/>
      <c r="Q187" s="420"/>
      <c r="R187" s="420"/>
      <c r="S187" s="420"/>
      <c r="T187" s="420"/>
      <c r="U187" s="420"/>
      <c r="V187" s="420"/>
      <c r="W187" s="420"/>
      <c r="X187" s="420"/>
      <c r="Y187" s="420"/>
      <c r="Z187" s="420"/>
      <c r="AA187" s="420"/>
      <c r="AB187" s="420"/>
      <c r="AC187" s="420"/>
      <c r="AD187" s="420"/>
      <c r="AE187" s="420"/>
      <c r="AF187" s="420"/>
      <c r="AG187" s="420"/>
      <c r="AH187" s="420"/>
      <c r="AI187" s="420"/>
    </row>
    <row r="188" spans="1:35">
      <c r="A188" s="420"/>
      <c r="B188" s="420"/>
      <c r="C188" s="420"/>
      <c r="D188" s="420"/>
      <c r="E188" s="420"/>
      <c r="F188" s="420"/>
      <c r="G188" s="420"/>
      <c r="H188" s="420"/>
      <c r="I188" s="420"/>
      <c r="J188" s="420"/>
      <c r="K188" s="420"/>
      <c r="L188" s="420"/>
      <c r="M188" s="420"/>
      <c r="N188" s="420"/>
      <c r="O188" s="420"/>
      <c r="P188" s="420"/>
      <c r="Q188" s="420"/>
      <c r="R188" s="420"/>
      <c r="S188" s="420"/>
      <c r="T188" s="420"/>
      <c r="U188" s="420"/>
      <c r="V188" s="420"/>
      <c r="W188" s="420"/>
      <c r="X188" s="420"/>
      <c r="Y188" s="420"/>
      <c r="Z188" s="420"/>
      <c r="AA188" s="420"/>
      <c r="AB188" s="420"/>
      <c r="AC188" s="420"/>
      <c r="AD188" s="420"/>
      <c r="AE188" s="420"/>
      <c r="AF188" s="420"/>
      <c r="AG188" s="420"/>
      <c r="AH188" s="420"/>
      <c r="AI188" s="420"/>
    </row>
    <row r="189" spans="1:35">
      <c r="A189" s="420"/>
      <c r="B189" s="420"/>
      <c r="C189" s="420"/>
      <c r="D189" s="420"/>
      <c r="E189" s="420"/>
      <c r="F189" s="420"/>
      <c r="G189" s="420"/>
      <c r="H189" s="420"/>
      <c r="I189" s="420"/>
      <c r="J189" s="420"/>
      <c r="K189" s="420"/>
      <c r="L189" s="420"/>
      <c r="M189" s="420"/>
      <c r="N189" s="420"/>
      <c r="O189" s="420"/>
      <c r="P189" s="420"/>
      <c r="Q189" s="420"/>
      <c r="R189" s="420"/>
      <c r="S189" s="420"/>
      <c r="T189" s="420"/>
      <c r="U189" s="420"/>
      <c r="V189" s="420"/>
      <c r="W189" s="420"/>
      <c r="X189" s="420"/>
      <c r="Y189" s="420"/>
      <c r="Z189" s="420"/>
      <c r="AA189" s="420"/>
      <c r="AB189" s="420"/>
      <c r="AC189" s="420"/>
      <c r="AD189" s="420"/>
      <c r="AE189" s="420"/>
      <c r="AF189" s="420"/>
      <c r="AG189" s="420"/>
      <c r="AH189" s="420"/>
      <c r="AI189" s="420"/>
    </row>
    <row r="190" spans="1:35">
      <c r="A190" s="420"/>
      <c r="B190" s="420"/>
      <c r="C190" s="420"/>
      <c r="D190" s="420"/>
      <c r="E190" s="420"/>
      <c r="F190" s="420"/>
      <c r="G190" s="420"/>
      <c r="H190" s="420"/>
      <c r="I190" s="420"/>
      <c r="J190" s="420"/>
      <c r="K190" s="420"/>
      <c r="L190" s="420"/>
      <c r="M190" s="420"/>
      <c r="N190" s="420"/>
      <c r="O190" s="420"/>
      <c r="P190" s="420"/>
      <c r="Q190" s="420"/>
      <c r="R190" s="420"/>
      <c r="S190" s="420"/>
      <c r="T190" s="420"/>
      <c r="U190" s="420"/>
      <c r="V190" s="420"/>
      <c r="W190" s="420"/>
      <c r="X190" s="420"/>
      <c r="Y190" s="420"/>
      <c r="Z190" s="420"/>
      <c r="AA190" s="420"/>
      <c r="AB190" s="420"/>
      <c r="AC190" s="420"/>
      <c r="AD190" s="420"/>
      <c r="AE190" s="420"/>
      <c r="AF190" s="420"/>
      <c r="AG190" s="420"/>
      <c r="AH190" s="420"/>
      <c r="AI190" s="420"/>
    </row>
    <row r="191" spans="1:35">
      <c r="A191" s="420"/>
      <c r="B191" s="420"/>
      <c r="C191" s="420"/>
      <c r="D191" s="420"/>
      <c r="E191" s="420"/>
      <c r="F191" s="420"/>
      <c r="G191" s="420"/>
      <c r="H191" s="420"/>
      <c r="I191" s="420"/>
      <c r="J191" s="420"/>
      <c r="K191" s="420"/>
      <c r="L191" s="420"/>
      <c r="M191" s="420"/>
      <c r="N191" s="420"/>
      <c r="O191" s="420"/>
      <c r="P191" s="420"/>
      <c r="Q191" s="420"/>
      <c r="R191" s="420"/>
      <c r="S191" s="420"/>
      <c r="T191" s="420"/>
      <c r="U191" s="420"/>
      <c r="V191" s="420"/>
      <c r="W191" s="420"/>
      <c r="X191" s="420"/>
      <c r="Y191" s="420"/>
      <c r="Z191" s="420"/>
      <c r="AA191" s="420"/>
      <c r="AB191" s="420"/>
      <c r="AC191" s="420"/>
      <c r="AD191" s="420"/>
      <c r="AE191" s="420"/>
      <c r="AF191" s="420"/>
      <c r="AG191" s="420"/>
      <c r="AH191" s="420"/>
      <c r="AI191" s="420"/>
    </row>
    <row r="192" spans="1:35">
      <c r="A192" s="420"/>
      <c r="B192" s="420"/>
      <c r="C192" s="420"/>
      <c r="D192" s="420"/>
      <c r="E192" s="420"/>
      <c r="F192" s="420"/>
      <c r="G192" s="420"/>
      <c r="H192" s="420"/>
      <c r="I192" s="420"/>
      <c r="J192" s="420"/>
      <c r="K192" s="420"/>
      <c r="L192" s="420"/>
      <c r="M192" s="420"/>
      <c r="N192" s="420"/>
      <c r="O192" s="420"/>
      <c r="P192" s="420"/>
      <c r="Q192" s="420"/>
      <c r="R192" s="420"/>
      <c r="S192" s="420"/>
      <c r="T192" s="420"/>
      <c r="U192" s="420"/>
      <c r="V192" s="420"/>
      <c r="W192" s="420"/>
      <c r="X192" s="420"/>
      <c r="Y192" s="420"/>
      <c r="Z192" s="420"/>
      <c r="AA192" s="420"/>
      <c r="AB192" s="420"/>
      <c r="AC192" s="420"/>
      <c r="AD192" s="420"/>
      <c r="AE192" s="420"/>
      <c r="AF192" s="420"/>
      <c r="AG192" s="420"/>
      <c r="AH192" s="420"/>
      <c r="AI192" s="420"/>
    </row>
    <row r="193" spans="1:35">
      <c r="A193" s="420"/>
      <c r="B193" s="420"/>
      <c r="C193" s="420"/>
      <c r="D193" s="420"/>
      <c r="E193" s="420"/>
      <c r="F193" s="420"/>
      <c r="G193" s="420"/>
      <c r="H193" s="420"/>
      <c r="I193" s="420"/>
      <c r="J193" s="420"/>
      <c r="K193" s="420"/>
      <c r="L193" s="420"/>
      <c r="M193" s="420"/>
      <c r="N193" s="420"/>
      <c r="O193" s="420"/>
      <c r="P193" s="420"/>
      <c r="Q193" s="420"/>
      <c r="R193" s="420"/>
      <c r="S193" s="420"/>
      <c r="T193" s="420"/>
      <c r="U193" s="420"/>
      <c r="V193" s="420"/>
      <c r="W193" s="420"/>
      <c r="X193" s="420"/>
      <c r="Y193" s="420"/>
      <c r="Z193" s="420"/>
      <c r="AA193" s="420"/>
      <c r="AB193" s="420"/>
      <c r="AC193" s="420"/>
      <c r="AD193" s="420"/>
      <c r="AE193" s="420"/>
      <c r="AF193" s="420"/>
      <c r="AG193" s="420"/>
      <c r="AH193" s="420"/>
      <c r="AI193" s="420"/>
    </row>
    <row r="194" spans="1:35">
      <c r="A194" s="420"/>
      <c r="B194" s="420"/>
      <c r="C194" s="420"/>
      <c r="D194" s="420"/>
      <c r="E194" s="420"/>
      <c r="F194" s="420"/>
      <c r="G194" s="420"/>
      <c r="H194" s="420"/>
      <c r="I194" s="420"/>
      <c r="J194" s="420"/>
      <c r="K194" s="420"/>
      <c r="L194" s="420"/>
      <c r="M194" s="420"/>
      <c r="N194" s="420"/>
      <c r="O194" s="420"/>
      <c r="P194" s="420"/>
      <c r="Q194" s="420"/>
      <c r="R194" s="420"/>
      <c r="S194" s="420"/>
      <c r="T194" s="420"/>
      <c r="U194" s="420"/>
      <c r="V194" s="420"/>
      <c r="W194" s="420"/>
      <c r="X194" s="420"/>
      <c r="Y194" s="420"/>
      <c r="Z194" s="420"/>
      <c r="AA194" s="420"/>
      <c r="AB194" s="420"/>
      <c r="AC194" s="420"/>
      <c r="AD194" s="420"/>
      <c r="AE194" s="420"/>
      <c r="AF194" s="420"/>
      <c r="AG194" s="420"/>
      <c r="AH194" s="420"/>
      <c r="AI194" s="420"/>
    </row>
    <row r="195" spans="1:35">
      <c r="A195" s="420"/>
      <c r="B195" s="420"/>
      <c r="C195" s="420"/>
      <c r="D195" s="420"/>
      <c r="E195" s="420"/>
      <c r="F195" s="420"/>
      <c r="G195" s="420"/>
      <c r="H195" s="420"/>
      <c r="I195" s="420"/>
      <c r="J195" s="420"/>
      <c r="K195" s="420"/>
      <c r="L195" s="420"/>
      <c r="M195" s="420"/>
      <c r="N195" s="420"/>
      <c r="O195" s="420"/>
      <c r="P195" s="420"/>
      <c r="Q195" s="420"/>
      <c r="R195" s="420"/>
      <c r="S195" s="420"/>
      <c r="T195" s="420"/>
      <c r="U195" s="420"/>
      <c r="V195" s="420"/>
      <c r="W195" s="420"/>
      <c r="X195" s="420"/>
      <c r="Y195" s="420"/>
      <c r="Z195" s="420"/>
      <c r="AA195" s="420"/>
      <c r="AB195" s="420"/>
      <c r="AC195" s="420"/>
      <c r="AD195" s="420"/>
      <c r="AE195" s="420"/>
      <c r="AF195" s="420"/>
      <c r="AG195" s="420"/>
      <c r="AH195" s="420"/>
      <c r="AI195" s="420"/>
    </row>
    <row r="196" spans="1:35">
      <c r="A196" s="420"/>
      <c r="B196" s="420"/>
      <c r="C196" s="420"/>
      <c r="D196" s="420"/>
      <c r="E196" s="420"/>
      <c r="F196" s="420"/>
      <c r="G196" s="420"/>
      <c r="H196" s="420"/>
      <c r="I196" s="420"/>
      <c r="J196" s="420"/>
      <c r="K196" s="420"/>
      <c r="L196" s="420"/>
      <c r="M196" s="420"/>
      <c r="N196" s="420"/>
      <c r="O196" s="420"/>
      <c r="P196" s="420"/>
      <c r="Q196" s="420"/>
      <c r="R196" s="420"/>
      <c r="S196" s="420"/>
      <c r="T196" s="420"/>
      <c r="U196" s="420"/>
      <c r="V196" s="420"/>
      <c r="W196" s="420"/>
      <c r="X196" s="420"/>
      <c r="Y196" s="420"/>
      <c r="Z196" s="420"/>
      <c r="AA196" s="420"/>
      <c r="AB196" s="420"/>
      <c r="AC196" s="420"/>
      <c r="AD196" s="420"/>
      <c r="AE196" s="420"/>
      <c r="AF196" s="420"/>
      <c r="AG196" s="420"/>
      <c r="AH196" s="420"/>
      <c r="AI196" s="420"/>
    </row>
    <row r="197" spans="1:35">
      <c r="A197" s="420"/>
      <c r="B197" s="420"/>
      <c r="C197" s="420"/>
      <c r="D197" s="420"/>
      <c r="E197" s="420"/>
      <c r="F197" s="420"/>
      <c r="G197" s="420"/>
      <c r="H197" s="420"/>
      <c r="I197" s="420"/>
      <c r="J197" s="420"/>
      <c r="K197" s="420"/>
      <c r="L197" s="420"/>
      <c r="M197" s="420"/>
      <c r="N197" s="420"/>
      <c r="O197" s="420"/>
      <c r="P197" s="420"/>
      <c r="Q197" s="420"/>
      <c r="R197" s="420"/>
      <c r="S197" s="420"/>
      <c r="T197" s="420"/>
      <c r="U197" s="420"/>
      <c r="V197" s="420"/>
      <c r="W197" s="420"/>
      <c r="X197" s="420"/>
      <c r="Y197" s="420"/>
      <c r="Z197" s="420"/>
      <c r="AA197" s="420"/>
      <c r="AB197" s="420"/>
      <c r="AC197" s="420"/>
      <c r="AD197" s="420"/>
      <c r="AE197" s="420"/>
      <c r="AF197" s="420"/>
      <c r="AG197" s="420"/>
      <c r="AH197" s="420"/>
      <c r="AI197" s="420"/>
    </row>
    <row r="198" spans="1:35">
      <c r="A198" s="420"/>
      <c r="B198" s="420"/>
      <c r="C198" s="420"/>
      <c r="D198" s="420"/>
      <c r="E198" s="420"/>
      <c r="F198" s="420"/>
      <c r="G198" s="420"/>
      <c r="H198" s="420"/>
      <c r="I198" s="420"/>
      <c r="J198" s="420"/>
      <c r="K198" s="420"/>
      <c r="L198" s="420"/>
      <c r="M198" s="420"/>
      <c r="N198" s="420"/>
      <c r="O198" s="420"/>
      <c r="P198" s="420"/>
      <c r="Q198" s="420"/>
      <c r="R198" s="420"/>
      <c r="S198" s="420"/>
      <c r="T198" s="420"/>
      <c r="U198" s="420"/>
      <c r="V198" s="420"/>
      <c r="W198" s="420"/>
      <c r="X198" s="420"/>
      <c r="Y198" s="420"/>
      <c r="Z198" s="420"/>
      <c r="AA198" s="420"/>
      <c r="AB198" s="420"/>
      <c r="AC198" s="420"/>
      <c r="AD198" s="420"/>
      <c r="AE198" s="420"/>
      <c r="AF198" s="420"/>
      <c r="AG198" s="420"/>
      <c r="AH198" s="420"/>
      <c r="AI198" s="420"/>
    </row>
    <row r="199" spans="1:35">
      <c r="A199" s="420"/>
      <c r="B199" s="420"/>
      <c r="C199" s="420"/>
      <c r="D199" s="420"/>
      <c r="E199" s="420"/>
      <c r="F199" s="420"/>
      <c r="G199" s="420"/>
      <c r="H199" s="420"/>
      <c r="I199" s="420"/>
      <c r="J199" s="420"/>
      <c r="K199" s="420"/>
      <c r="L199" s="420"/>
      <c r="M199" s="420"/>
      <c r="N199" s="420"/>
      <c r="O199" s="420"/>
      <c r="P199" s="420"/>
      <c r="Q199" s="420"/>
      <c r="R199" s="420"/>
      <c r="S199" s="420"/>
      <c r="T199" s="420"/>
      <c r="U199" s="420"/>
      <c r="V199" s="420"/>
      <c r="W199" s="420"/>
      <c r="X199" s="420"/>
      <c r="Y199" s="420"/>
      <c r="Z199" s="420"/>
      <c r="AA199" s="420"/>
      <c r="AB199" s="420"/>
      <c r="AC199" s="420"/>
      <c r="AD199" s="420"/>
      <c r="AE199" s="420"/>
      <c r="AF199" s="420"/>
      <c r="AG199" s="420"/>
      <c r="AH199" s="420"/>
      <c r="AI199" s="420"/>
    </row>
    <row r="200" spans="1:35">
      <c r="A200" s="420"/>
      <c r="B200" s="420"/>
      <c r="C200" s="420"/>
      <c r="D200" s="420"/>
      <c r="E200" s="420"/>
      <c r="F200" s="420"/>
      <c r="G200" s="420"/>
      <c r="H200" s="420"/>
      <c r="I200" s="420"/>
      <c r="J200" s="420"/>
      <c r="K200" s="420"/>
      <c r="L200" s="420"/>
      <c r="M200" s="420"/>
      <c r="N200" s="420"/>
      <c r="O200" s="420"/>
      <c r="P200" s="420"/>
      <c r="Q200" s="420"/>
      <c r="R200" s="420"/>
      <c r="S200" s="420"/>
      <c r="T200" s="420"/>
      <c r="U200" s="420"/>
      <c r="V200" s="420"/>
      <c r="W200" s="420"/>
      <c r="X200" s="420"/>
      <c r="Y200" s="420"/>
      <c r="Z200" s="420"/>
      <c r="AA200" s="420"/>
      <c r="AB200" s="420"/>
      <c r="AC200" s="420"/>
      <c r="AD200" s="420"/>
      <c r="AE200" s="420"/>
      <c r="AF200" s="420"/>
      <c r="AG200" s="420"/>
      <c r="AH200" s="420"/>
      <c r="AI200" s="420"/>
    </row>
    <row r="201" spans="1:35">
      <c r="A201" s="420"/>
      <c r="B201" s="420"/>
      <c r="C201" s="420"/>
      <c r="D201" s="420"/>
      <c r="E201" s="420"/>
      <c r="F201" s="420"/>
      <c r="G201" s="420"/>
      <c r="H201" s="420"/>
      <c r="I201" s="420"/>
      <c r="J201" s="420"/>
      <c r="K201" s="420"/>
      <c r="L201" s="420"/>
      <c r="M201" s="420"/>
      <c r="N201" s="420"/>
      <c r="O201" s="420"/>
      <c r="P201" s="420"/>
      <c r="Q201" s="420"/>
      <c r="R201" s="420"/>
      <c r="S201" s="420"/>
      <c r="T201" s="420"/>
      <c r="U201" s="420"/>
      <c r="V201" s="420"/>
      <c r="W201" s="420"/>
      <c r="X201" s="420"/>
      <c r="Y201" s="420"/>
      <c r="Z201" s="420"/>
      <c r="AA201" s="420"/>
      <c r="AB201" s="420"/>
      <c r="AC201" s="420"/>
      <c r="AD201" s="420"/>
      <c r="AE201" s="420"/>
      <c r="AF201" s="420"/>
      <c r="AG201" s="420"/>
      <c r="AH201" s="420"/>
      <c r="AI201" s="420"/>
    </row>
    <row r="202" spans="1:35">
      <c r="A202" s="420"/>
      <c r="B202" s="420"/>
      <c r="C202" s="420"/>
      <c r="D202" s="420"/>
      <c r="E202" s="420"/>
      <c r="F202" s="420"/>
      <c r="G202" s="420"/>
      <c r="H202" s="420"/>
      <c r="I202" s="420"/>
      <c r="J202" s="420"/>
      <c r="K202" s="420"/>
      <c r="L202" s="420"/>
      <c r="M202" s="420"/>
      <c r="N202" s="420"/>
      <c r="O202" s="420"/>
      <c r="P202" s="420"/>
      <c r="Q202" s="420"/>
      <c r="R202" s="420"/>
      <c r="S202" s="420"/>
      <c r="T202" s="420"/>
      <c r="U202" s="420"/>
      <c r="V202" s="420"/>
      <c r="W202" s="420"/>
      <c r="X202" s="420"/>
      <c r="Y202" s="420"/>
      <c r="Z202" s="420"/>
      <c r="AA202" s="420"/>
      <c r="AB202" s="420"/>
      <c r="AC202" s="420"/>
      <c r="AD202" s="420"/>
      <c r="AE202" s="420"/>
      <c r="AF202" s="420"/>
      <c r="AG202" s="420"/>
      <c r="AH202" s="420"/>
      <c r="AI202" s="420"/>
    </row>
    <row r="203" spans="1:35">
      <c r="A203" s="420"/>
      <c r="B203" s="420"/>
      <c r="C203" s="420"/>
      <c r="D203" s="420"/>
      <c r="E203" s="420"/>
      <c r="F203" s="420"/>
      <c r="G203" s="420"/>
      <c r="H203" s="420"/>
      <c r="I203" s="420"/>
      <c r="J203" s="420"/>
      <c r="K203" s="420"/>
      <c r="L203" s="420"/>
      <c r="M203" s="420"/>
      <c r="N203" s="420"/>
      <c r="O203" s="420"/>
      <c r="P203" s="420"/>
      <c r="Q203" s="420"/>
      <c r="R203" s="420"/>
      <c r="S203" s="420"/>
      <c r="T203" s="420"/>
      <c r="U203" s="420"/>
      <c r="V203" s="420"/>
      <c r="W203" s="420"/>
      <c r="X203" s="420"/>
      <c r="Y203" s="420"/>
      <c r="Z203" s="420"/>
      <c r="AA203" s="420"/>
      <c r="AB203" s="420"/>
      <c r="AC203" s="420"/>
      <c r="AD203" s="420"/>
      <c r="AE203" s="420"/>
      <c r="AF203" s="420"/>
      <c r="AG203" s="420"/>
      <c r="AH203" s="420"/>
      <c r="AI203" s="420"/>
    </row>
    <row r="204" spans="1:35">
      <c r="A204" s="420"/>
      <c r="B204" s="420"/>
      <c r="C204" s="420"/>
      <c r="D204" s="420"/>
      <c r="E204" s="420"/>
      <c r="F204" s="420"/>
      <c r="G204" s="420"/>
      <c r="H204" s="420"/>
      <c r="I204" s="420"/>
      <c r="J204" s="420"/>
      <c r="K204" s="420"/>
      <c r="L204" s="420"/>
      <c r="M204" s="420"/>
      <c r="N204" s="420"/>
      <c r="O204" s="420"/>
      <c r="P204" s="420"/>
      <c r="Q204" s="420"/>
      <c r="R204" s="420"/>
      <c r="S204" s="420"/>
      <c r="T204" s="420"/>
      <c r="U204" s="420"/>
      <c r="V204" s="420"/>
      <c r="W204" s="420"/>
      <c r="X204" s="420"/>
      <c r="Y204" s="420"/>
      <c r="Z204" s="420"/>
      <c r="AA204" s="420"/>
      <c r="AB204" s="420"/>
      <c r="AC204" s="420"/>
      <c r="AD204" s="420"/>
      <c r="AE204" s="420"/>
      <c r="AF204" s="420"/>
      <c r="AG204" s="420"/>
      <c r="AH204" s="420"/>
      <c r="AI204" s="420"/>
    </row>
    <row r="205" spans="1:35">
      <c r="A205" s="420"/>
      <c r="B205" s="420"/>
      <c r="C205" s="420"/>
      <c r="D205" s="420"/>
      <c r="E205" s="420"/>
      <c r="F205" s="420"/>
      <c r="G205" s="420"/>
      <c r="H205" s="420"/>
      <c r="I205" s="420"/>
      <c r="J205" s="420"/>
      <c r="K205" s="420"/>
      <c r="L205" s="420"/>
      <c r="M205" s="420"/>
      <c r="N205" s="420"/>
      <c r="O205" s="420"/>
      <c r="P205" s="420"/>
      <c r="Q205" s="420"/>
      <c r="R205" s="420"/>
      <c r="S205" s="420"/>
      <c r="T205" s="420"/>
      <c r="U205" s="420"/>
      <c r="V205" s="420"/>
      <c r="W205" s="420"/>
      <c r="X205" s="420"/>
      <c r="Y205" s="420"/>
      <c r="Z205" s="420"/>
      <c r="AA205" s="420"/>
      <c r="AB205" s="420"/>
      <c r="AC205" s="420"/>
      <c r="AD205" s="420"/>
      <c r="AE205" s="420"/>
      <c r="AF205" s="420"/>
      <c r="AG205" s="420"/>
      <c r="AH205" s="420"/>
      <c r="AI205" s="420"/>
    </row>
    <row r="206" spans="1:35">
      <c r="A206" s="420"/>
      <c r="B206" s="420"/>
      <c r="C206" s="420"/>
      <c r="D206" s="420"/>
      <c r="E206" s="420"/>
      <c r="F206" s="420"/>
      <c r="G206" s="420"/>
      <c r="H206" s="420"/>
      <c r="I206" s="420"/>
      <c r="J206" s="420"/>
      <c r="K206" s="420"/>
      <c r="L206" s="420"/>
      <c r="M206" s="420"/>
      <c r="N206" s="420"/>
      <c r="O206" s="420"/>
      <c r="P206" s="420"/>
      <c r="Q206" s="420"/>
      <c r="R206" s="420"/>
      <c r="S206" s="420"/>
      <c r="T206" s="420"/>
      <c r="U206" s="420"/>
      <c r="V206" s="420"/>
      <c r="W206" s="420"/>
      <c r="X206" s="420"/>
      <c r="Y206" s="420"/>
      <c r="Z206" s="420"/>
      <c r="AA206" s="420"/>
      <c r="AB206" s="420"/>
      <c r="AC206" s="420"/>
      <c r="AD206" s="420"/>
      <c r="AE206" s="420"/>
      <c r="AF206" s="420"/>
      <c r="AG206" s="420"/>
      <c r="AH206" s="420"/>
      <c r="AI206" s="420"/>
    </row>
    <row r="207" spans="1:35">
      <c r="A207" s="420"/>
      <c r="B207" s="420"/>
      <c r="C207" s="420"/>
      <c r="D207" s="420"/>
      <c r="E207" s="420"/>
      <c r="F207" s="420"/>
      <c r="G207" s="420"/>
      <c r="H207" s="420"/>
      <c r="I207" s="420"/>
      <c r="J207" s="420"/>
      <c r="K207" s="420"/>
      <c r="L207" s="420"/>
      <c r="M207" s="420"/>
      <c r="N207" s="420"/>
      <c r="O207" s="420"/>
      <c r="P207" s="420"/>
      <c r="Q207" s="420"/>
      <c r="R207" s="420"/>
      <c r="S207" s="420"/>
      <c r="T207" s="420"/>
      <c r="U207" s="420"/>
      <c r="V207" s="420"/>
      <c r="W207" s="420"/>
      <c r="X207" s="420"/>
      <c r="Y207" s="420"/>
      <c r="Z207" s="420"/>
      <c r="AA207" s="420"/>
      <c r="AB207" s="420"/>
      <c r="AC207" s="420"/>
      <c r="AD207" s="420"/>
      <c r="AE207" s="420"/>
      <c r="AF207" s="420"/>
      <c r="AG207" s="420"/>
      <c r="AH207" s="420"/>
      <c r="AI207" s="420"/>
    </row>
    <row r="208" spans="1:35">
      <c r="A208" s="420"/>
      <c r="B208" s="420"/>
      <c r="C208" s="420"/>
      <c r="D208" s="420"/>
      <c r="E208" s="420"/>
      <c r="F208" s="420"/>
      <c r="G208" s="420"/>
      <c r="H208" s="420"/>
      <c r="I208" s="420"/>
      <c r="J208" s="420"/>
      <c r="K208" s="420"/>
      <c r="L208" s="420"/>
      <c r="M208" s="420"/>
      <c r="N208" s="420"/>
      <c r="O208" s="420"/>
      <c r="P208" s="420"/>
      <c r="Q208" s="420"/>
      <c r="R208" s="420"/>
      <c r="S208" s="420"/>
      <c r="T208" s="420"/>
      <c r="U208" s="420"/>
      <c r="V208" s="420"/>
      <c r="W208" s="420"/>
      <c r="X208" s="420"/>
      <c r="Y208" s="420"/>
      <c r="Z208" s="420"/>
      <c r="AA208" s="420"/>
      <c r="AB208" s="420"/>
      <c r="AC208" s="420"/>
      <c r="AD208" s="420"/>
      <c r="AE208" s="420"/>
      <c r="AF208" s="420"/>
      <c r="AG208" s="420"/>
      <c r="AH208" s="420"/>
      <c r="AI208" s="420"/>
    </row>
    <row r="209" spans="1:35">
      <c r="A209" s="420"/>
      <c r="B209" s="420"/>
      <c r="C209" s="420"/>
      <c r="D209" s="420"/>
      <c r="E209" s="420"/>
      <c r="F209" s="420"/>
      <c r="G209" s="420"/>
      <c r="H209" s="420"/>
      <c r="I209" s="420"/>
      <c r="J209" s="420"/>
      <c r="K209" s="420"/>
      <c r="L209" s="420"/>
      <c r="M209" s="420"/>
      <c r="N209" s="420"/>
      <c r="O209" s="420"/>
      <c r="P209" s="420"/>
      <c r="Q209" s="420"/>
      <c r="R209" s="420"/>
      <c r="S209" s="420"/>
      <c r="T209" s="420"/>
      <c r="U209" s="420"/>
      <c r="V209" s="420"/>
      <c r="W209" s="420"/>
      <c r="X209" s="420"/>
      <c r="Y209" s="420"/>
      <c r="Z209" s="420"/>
      <c r="AA209" s="420"/>
      <c r="AB209" s="420"/>
      <c r="AC209" s="420"/>
      <c r="AD209" s="420"/>
      <c r="AE209" s="420"/>
      <c r="AF209" s="420"/>
      <c r="AG209" s="420"/>
      <c r="AH209" s="420"/>
      <c r="AI209" s="420"/>
    </row>
    <row r="210" spans="1:35">
      <c r="A210" s="420"/>
      <c r="B210" s="420"/>
      <c r="C210" s="420"/>
      <c r="D210" s="420"/>
      <c r="E210" s="420"/>
      <c r="F210" s="420"/>
      <c r="G210" s="420"/>
      <c r="H210" s="420"/>
      <c r="I210" s="420"/>
      <c r="J210" s="420"/>
      <c r="K210" s="420"/>
      <c r="L210" s="420"/>
      <c r="M210" s="420"/>
      <c r="N210" s="420"/>
      <c r="O210" s="420"/>
      <c r="P210" s="420"/>
      <c r="Q210" s="420"/>
      <c r="R210" s="420"/>
      <c r="S210" s="420"/>
      <c r="T210" s="420"/>
      <c r="U210" s="420"/>
      <c r="V210" s="420"/>
      <c r="W210" s="420"/>
      <c r="X210" s="420"/>
      <c r="Y210" s="420"/>
      <c r="Z210" s="420"/>
      <c r="AA210" s="420"/>
      <c r="AB210" s="420"/>
      <c r="AC210" s="420"/>
      <c r="AD210" s="420"/>
      <c r="AE210" s="420"/>
      <c r="AF210" s="420"/>
      <c r="AG210" s="420"/>
      <c r="AH210" s="420"/>
      <c r="AI210" s="420"/>
    </row>
  </sheetData>
  <sheetProtection password="EFF1" sheet="1" objects="1" scenarios="1" selectLockedCells="1"/>
  <phoneticPr fontId="2"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oddHeader>&amp;L&amp;"Arial,Italic"ABCB Glazing Calculator • Help sheet&amp;R&amp;"Arial,Italic"printed &amp;D</oddHeader>
    <oddFooter>&amp;L&amp;"Arial,Italic"&amp;F&amp;R&amp;"Arial,Italic"page &amp;P of &amp;N</oddFooter>
  </headerFooter>
  <ignoredErrors>
    <ignoredError sqref="B64 B5" numberStoredAsText="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filterMode="1">
    <outlinePr showOutlineSymbols="0"/>
    <pageSetUpPr autoPageBreaks="0" fitToPage="1"/>
  </sheetPr>
  <dimension ref="A1:DL221"/>
  <sheetViews>
    <sheetView showGridLines="0" showRowColHeaders="0" showOutlineSymbols="0" topLeftCell="A23" zoomScaleNormal="100" workbookViewId="0">
      <selection activeCell="H29" sqref="H29:O29"/>
    </sheetView>
  </sheetViews>
  <sheetFormatPr defaultRowHeight="12.75" outlineLevelRow="1" outlineLevelCol="1"/>
  <cols>
    <col min="1" max="1" width="1.7109375" customWidth="1"/>
    <col min="2" max="2" width="2.5703125" customWidth="1"/>
    <col min="3" max="3" width="3.42578125" customWidth="1"/>
    <col min="4" max="4" width="7" customWidth="1"/>
    <col min="5" max="5" width="14.42578125" customWidth="1"/>
    <col min="6" max="6" width="7.85546875" customWidth="1"/>
    <col min="7" max="8" width="6.5703125" customWidth="1"/>
    <col min="9" max="11" width="7.5703125" customWidth="1"/>
    <col min="12" max="13" width="5.7109375" customWidth="1"/>
    <col min="14" max="15" width="5.140625" customWidth="1"/>
    <col min="16" max="16" width="6.5703125" customWidth="1"/>
    <col min="17" max="17" width="6.85546875" customWidth="1"/>
    <col min="18" max="18" width="13.5703125" customWidth="1"/>
    <col min="19" max="19" width="6.85546875" customWidth="1"/>
    <col min="20" max="20" width="13.5703125" customWidth="1"/>
    <col min="21" max="21" width="1.7109375" customWidth="1"/>
    <col min="22" max="22" width="1.85546875" customWidth="1"/>
    <col min="23" max="23" width="1.7109375" hidden="1" customWidth="1"/>
    <col min="24" max="24" width="4.140625" hidden="1" customWidth="1" outlineLevel="1"/>
    <col min="25" max="25" width="5.85546875" hidden="1" customWidth="1" outlineLevel="1"/>
    <col min="26" max="26" width="6.140625" hidden="1" customWidth="1" outlineLevel="1"/>
    <col min="27" max="27" width="1.7109375" hidden="1" customWidth="1" outlineLevel="1"/>
    <col min="28" max="29" width="5.85546875" hidden="1" customWidth="1" outlineLevel="1"/>
    <col min="30" max="30" width="6.42578125" hidden="1" customWidth="1" outlineLevel="1"/>
    <col min="31" max="31" width="7.7109375" hidden="1" customWidth="1" outlineLevel="1"/>
    <col min="32" max="32" width="6.42578125" hidden="1" customWidth="1" outlineLevel="1"/>
    <col min="33" max="36" width="6.85546875" hidden="1" customWidth="1" outlineLevel="1"/>
    <col min="37" max="37" width="2.85546875" hidden="1" customWidth="1" outlineLevel="1"/>
    <col min="38" max="43" width="6.85546875" hidden="1" customWidth="1" outlineLevel="1"/>
    <col min="44" max="44" width="6.7109375" hidden="1" customWidth="1" outlineLevel="1"/>
    <col min="45" max="45" width="41.5703125" hidden="1" customWidth="1" outlineLevel="1"/>
    <col min="46" max="49" width="6.85546875" hidden="1" customWidth="1" outlineLevel="1"/>
    <col min="50" max="50" width="1.7109375" hidden="1" customWidth="1" collapsed="1"/>
    <col min="51" max="59" width="6.85546875" hidden="1" customWidth="1" outlineLevel="1"/>
    <col min="60" max="60" width="1.7109375" hidden="1" customWidth="1" outlineLevel="1"/>
    <col min="61" max="65" width="6.85546875" hidden="1" customWidth="1" outlineLevel="1"/>
    <col min="66" max="66" width="1.7109375" hidden="1" customWidth="1" collapsed="1"/>
    <col min="67" max="72" width="6.85546875" hidden="1" customWidth="1" outlineLevel="1"/>
    <col min="73" max="74" width="12" hidden="1" customWidth="1" outlineLevel="1"/>
    <col min="75" max="75" width="9.28515625" hidden="1" customWidth="1" collapsed="1"/>
    <col min="76" max="82" width="9.28515625" hidden="1" customWidth="1"/>
    <col min="83" max="116" width="9.28515625" customWidth="1"/>
  </cols>
  <sheetData>
    <row r="1" spans="1:116" hidden="1" outlineLevel="1">
      <c r="A1" s="4"/>
      <c r="B1" s="16" t="s">
        <v>14</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row>
    <row r="2" spans="1:116" hidden="1" outlineLevel="1">
      <c r="A2" s="4"/>
      <c r="B2" s="7" t="s">
        <v>318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row>
    <row r="3" spans="1:116" hidden="1" outlineLevel="1">
      <c r="A3" s="4"/>
      <c r="B3" s="7" t="s">
        <v>15</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row>
    <row r="4" spans="1:116" hidden="1" outlineLevel="1">
      <c r="A4" s="4"/>
      <c r="B4" s="7" t="s">
        <v>33</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row>
    <row r="5" spans="1:116" hidden="1" outlineLevel="1">
      <c r="A5" s="4"/>
      <c r="B5" s="7" t="s">
        <v>36</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row>
    <row r="6" spans="1:116" hidden="1" outlineLevel="1">
      <c r="A6" s="4"/>
      <c r="B6" s="7"/>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row>
    <row r="7" spans="1:116" hidden="1" outlineLevel="1">
      <c r="A7" s="4"/>
      <c r="B7" s="7" t="s">
        <v>34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row>
    <row r="8" spans="1:116" hidden="1" outlineLevel="1">
      <c r="A8" s="4"/>
      <c r="B8" s="7" t="s">
        <v>319</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row>
    <row r="9" spans="1:116" hidden="1" outlineLevel="1">
      <c r="A9" s="4"/>
      <c r="B9" s="7" t="s">
        <v>29</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row>
    <row r="10" spans="1:116" hidden="1" outlineLevel="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row>
    <row r="11" spans="1:116" hidden="1" outlineLevel="1">
      <c r="A11" s="4"/>
      <c r="B11" s="7" t="s">
        <v>17</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row>
    <row r="12" spans="1:116" hidden="1" outlineLevel="1">
      <c r="A12" s="4"/>
      <c r="B12" s="7" t="s">
        <v>16</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row>
    <row r="13" spans="1:116" hidden="1" outlineLevel="1">
      <c r="A13" s="4"/>
      <c r="B13" s="7" t="s">
        <v>18</v>
      </c>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row>
    <row r="14" spans="1:116" hidden="1" outlineLevel="1">
      <c r="A14" s="4"/>
      <c r="B14" s="7"/>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row>
    <row r="15" spans="1:116" hidden="1" outlineLevel="1">
      <c r="A15" s="4"/>
      <c r="B15" s="7"/>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row>
    <row r="16" spans="1:116" hidden="1" outlineLevel="1">
      <c r="A16" s="4"/>
      <c r="B16" s="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row>
    <row r="17" spans="1:116" hidden="1" outlineLevel="1">
      <c r="A17" s="4"/>
      <c r="B17" s="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row>
    <row r="18" spans="1:116" hidden="1" outlineLevel="1">
      <c r="A18" s="4"/>
      <c r="B18" s="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row>
    <row r="19" spans="1:116" hidden="1" outlineLevel="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row>
    <row r="20" spans="1:116" hidden="1" outlineLevel="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row>
    <row r="21" spans="1:116" hidden="1" outlineLevel="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21"/>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row>
    <row r="22" spans="1:116" hidden="1" outlineLevel="1">
      <c r="A22" s="5"/>
      <c r="B22" s="5"/>
      <c r="C22" s="5"/>
      <c r="D22" s="5"/>
      <c r="E22" s="5"/>
      <c r="F22" s="5"/>
      <c r="G22" s="5"/>
      <c r="H22" s="5"/>
      <c r="I22" s="5"/>
      <c r="J22" s="5"/>
      <c r="K22" s="5"/>
      <c r="L22" s="5"/>
      <c r="M22" s="5"/>
      <c r="N22" s="5"/>
      <c r="O22" s="5"/>
      <c r="P22" s="5"/>
      <c r="Q22" s="5"/>
      <c r="R22" s="5"/>
      <c r="S22" s="5"/>
      <c r="T22" s="5"/>
      <c r="U22" s="5"/>
      <c r="V22" s="4"/>
      <c r="W22" s="4"/>
      <c r="X22" s="4"/>
      <c r="Y22" s="4"/>
      <c r="Z22" s="4"/>
      <c r="AA22" s="4"/>
      <c r="AB22" s="14"/>
      <c r="AC22" s="14"/>
      <c r="AD22" s="14"/>
      <c r="AE22" s="14"/>
      <c r="AF22" s="14"/>
      <c r="AG22" s="14"/>
      <c r="AH22" s="14"/>
      <c r="AI22" s="14"/>
      <c r="AJ22" s="14"/>
      <c r="AK22" s="14"/>
      <c r="AL22" s="14"/>
      <c r="AM22" s="14"/>
      <c r="AN22" s="14"/>
      <c r="AO22" s="14"/>
      <c r="AP22" s="14"/>
      <c r="AQ22" s="14"/>
      <c r="AR22" s="14"/>
      <c r="AS22" s="14"/>
      <c r="AT22" s="14"/>
      <c r="AU22" s="14"/>
      <c r="AV22" s="14"/>
      <c r="AW22" s="14"/>
      <c r="AX22" s="21"/>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row>
    <row r="23" spans="1:116" ht="25.5" collapsed="1">
      <c r="A23" s="101"/>
      <c r="B23" s="429" t="s">
        <v>374</v>
      </c>
      <c r="C23" s="138"/>
      <c r="D23" s="138"/>
      <c r="E23" s="138"/>
      <c r="F23" s="139"/>
      <c r="G23" s="139"/>
      <c r="H23" s="139"/>
      <c r="I23" s="139"/>
      <c r="J23" s="139"/>
      <c r="K23" s="139"/>
      <c r="L23" s="139"/>
      <c r="M23" s="139"/>
      <c r="N23" s="139"/>
      <c r="O23" s="139"/>
      <c r="P23" s="139"/>
      <c r="Q23" s="139"/>
      <c r="R23" s="139"/>
      <c r="S23" s="139"/>
      <c r="T23" s="139"/>
      <c r="U23" s="5"/>
      <c r="V23" s="6"/>
      <c r="W23" s="4"/>
      <c r="X23" s="4"/>
      <c r="Y23" s="21"/>
      <c r="Z23" s="82" t="s">
        <v>219</v>
      </c>
      <c r="AA23" s="4"/>
      <c r="AB23" s="230" t="s">
        <v>31</v>
      </c>
      <c r="AC23" s="231" t="e">
        <f>ROUND(AreaA/(AreaA+AreaB),2)</f>
        <v>#DIV/0!</v>
      </c>
      <c r="AD23" s="230" t="s">
        <v>32</v>
      </c>
      <c r="AE23" s="231" t="e">
        <f>ROUND(AreaB/(AreaA+AreaB),2)</f>
        <v>#DIV/0!</v>
      </c>
      <c r="AF23" s="67" t="s">
        <v>224</v>
      </c>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4"/>
      <c r="BM23" s="4"/>
      <c r="BN23" s="4"/>
      <c r="BO23" s="294" t="s">
        <v>243</v>
      </c>
      <c r="BP23" s="4"/>
      <c r="BQ23" s="4"/>
      <c r="BR23" s="4"/>
      <c r="BS23" s="21"/>
      <c r="BT23" s="21"/>
      <c r="BU23" s="21"/>
      <c r="BV23" s="21"/>
      <c r="BW23" s="21"/>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row>
    <row r="24" spans="1:116" hidden="1">
      <c r="B24" s="117"/>
      <c r="C24" s="117"/>
      <c r="D24" s="117"/>
      <c r="E24" s="366"/>
      <c r="F24" s="366"/>
      <c r="G24" s="366"/>
      <c r="H24" s="366"/>
      <c r="I24" s="367"/>
      <c r="J24" s="368"/>
      <c r="K24" s="366"/>
      <c r="L24" s="366"/>
      <c r="M24" s="366"/>
      <c r="N24" s="366"/>
      <c r="O24" s="366"/>
      <c r="P24" s="366"/>
      <c r="Q24" s="366"/>
      <c r="R24" s="295"/>
      <c r="S24" s="366"/>
      <c r="T24" s="366"/>
      <c r="U24" s="5"/>
      <c r="V24" s="6"/>
      <c r="W24" s="4"/>
      <c r="X24" s="4"/>
      <c r="Y24" s="21"/>
      <c r="Z24" s="4"/>
      <c r="AA24" s="4"/>
      <c r="AB24" s="4"/>
      <c r="AC24" s="4"/>
      <c r="AD24" s="4"/>
      <c r="AE24" s="4"/>
      <c r="AF24" s="4"/>
      <c r="AG24" s="4"/>
      <c r="AH24" s="4"/>
      <c r="AI24" s="21"/>
      <c r="AJ24" s="21"/>
      <c r="AK24" s="21"/>
      <c r="AL24" s="21"/>
      <c r="AM24" s="21"/>
      <c r="AN24" s="21"/>
      <c r="AO24" s="21"/>
      <c r="AP24" s="21"/>
      <c r="AQ24" s="21"/>
      <c r="AR24" s="21"/>
      <c r="AS24" s="21"/>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row>
    <row r="25" spans="1:116" ht="18.75" thickBot="1">
      <c r="A25" s="326" t="str">
        <f>IF(AND(F153=FALSE,F154=FALSE),"Building name/description","")</f>
        <v/>
      </c>
      <c r="B25" s="430" t="str">
        <f>IF(AND(F153=FALSE,F154=FALSE),"Building name/description","ENTER BUILDING NAME AND DESCRIPTION BELOW"&amp;IF(F153=TRUE," - identifying the particular part(s) covered by this assessment",""))</f>
        <v>ENTER BUILDING NAME AND DESCRIPTION BELOW - identifying the particular part(s) covered by this assessment</v>
      </c>
      <c r="M25" s="325"/>
      <c r="O25" s="315" t="str">
        <f>IF(AND(F155=FALSE,NoZoneTableActive=FALSE),"Climate zone","ENTER ZONE BELOW")</f>
        <v>Climate zone</v>
      </c>
      <c r="S25" s="239" t="s">
        <v>207</v>
      </c>
      <c r="T25" s="254" t="s">
        <v>208</v>
      </c>
      <c r="U25" s="5"/>
      <c r="V25" s="6"/>
      <c r="W25" s="4"/>
      <c r="X25" s="4"/>
      <c r="Y25" s="4"/>
      <c r="Z25" s="4"/>
      <c r="AA25" s="4"/>
      <c r="AB25" s="63" t="s">
        <v>63</v>
      </c>
      <c r="AC25" s="63" t="s">
        <v>64</v>
      </c>
      <c r="AD25" s="63" t="s">
        <v>65</v>
      </c>
      <c r="AE25" s="63" t="s">
        <v>66</v>
      </c>
      <c r="AF25" s="7" t="s">
        <v>67</v>
      </c>
      <c r="AG25" s="4"/>
      <c r="AH25" s="4"/>
      <c r="AI25" s="21"/>
      <c r="AJ25" s="21"/>
      <c r="AK25" s="21"/>
      <c r="AL25" s="21"/>
      <c r="AM25" s="21"/>
      <c r="AN25" s="21"/>
      <c r="AO25" s="21"/>
      <c r="AP25" s="21"/>
      <c r="AQ25" s="21"/>
      <c r="AR25" s="21"/>
      <c r="AS25" s="21"/>
      <c r="AT25" s="4"/>
      <c r="AU25" s="4"/>
      <c r="AV25" s="4"/>
      <c r="AW25" s="4"/>
      <c r="AX25" s="4"/>
      <c r="AY25" s="4"/>
      <c r="AZ25" s="4"/>
      <c r="BA25" s="4"/>
      <c r="BB25" s="4"/>
      <c r="BC25" s="4"/>
      <c r="BD25" s="4"/>
      <c r="BE25" s="4"/>
      <c r="BF25" s="4"/>
      <c r="BG25" s="4"/>
      <c r="BH25" s="4"/>
      <c r="BI25" s="4"/>
      <c r="BJ25" s="4"/>
      <c r="BK25" s="4"/>
      <c r="BL25" s="4"/>
      <c r="BM25" s="4"/>
      <c r="BN25" s="4"/>
      <c r="BO25" s="79" t="s">
        <v>229</v>
      </c>
      <c r="BP25" s="79" t="s">
        <v>228</v>
      </c>
      <c r="BQ25" s="4"/>
      <c r="BR25" s="4"/>
      <c r="BS25" s="4"/>
      <c r="BT25" s="4"/>
      <c r="BU25" s="4"/>
      <c r="BV25" s="258"/>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row>
    <row r="26" spans="1:116" ht="13.5" thickBot="1">
      <c r="B26" s="948"/>
      <c r="C26" s="949"/>
      <c r="D26" s="949"/>
      <c r="E26" s="949"/>
      <c r="F26" s="949"/>
      <c r="G26" s="949"/>
      <c r="H26" s="949"/>
      <c r="I26" s="949"/>
      <c r="J26" s="949"/>
      <c r="K26" s="949"/>
      <c r="L26" s="949"/>
      <c r="M26" s="950"/>
      <c r="N26" s="112"/>
      <c r="O26" s="478"/>
      <c r="R26" s="253" t="str">
        <f>IF(COUNT(F28:F29)&gt;1,"FLOOR WEIGHTED ","")&amp;"CONSTANTS"</f>
        <v>CONSTANTS</v>
      </c>
      <c r="S26" s="240" t="str">
        <f>IF(OR(AND(ActiveA=TRUE,CuA&gt;0),AND(ActiveB=TRUE,CuB&gt;0)),CuWeighted,"")</f>
        <v/>
      </c>
      <c r="T26" s="241" t="str">
        <f>IF(OR(AND(ActiveA=TRUE,CshgcA&gt;0),AND(ActiveB=TRUE,CshgcB&gt;0)),CshgcWeighted,"")</f>
        <v/>
      </c>
      <c r="U26" s="5" t="s">
        <v>162</v>
      </c>
      <c r="V26" s="6"/>
      <c r="W26" s="4"/>
      <c r="X26" s="4"/>
      <c r="Y26" s="4"/>
      <c r="Z26" s="4"/>
      <c r="AA26" s="87" t="s">
        <v>220</v>
      </c>
      <c r="AB26" s="244">
        <f>IF(AND(Zone&gt;0,ActiveA=TRUE),INDEX(ConstantsA,1,Zone,1),0)</f>
        <v>0</v>
      </c>
      <c r="AC26" s="242">
        <f>IF(AND(Zone&gt;0,ActiveA=TRUE),INDEX(ConstantsA,2,Zone,1),0)</f>
        <v>0</v>
      </c>
      <c r="AD26" s="243">
        <f>IF(AND(Zone&gt;0,ActiveB=TRUE),INDEX(ConstantsB,1,Zone,1),0)</f>
        <v>0</v>
      </c>
      <c r="AE26" s="242">
        <f>IF(AND(Zone&gt;0,ActiveB=TRUE),INDEX(ConstantsB,2,Zone,1),0)</f>
        <v>0</v>
      </c>
      <c r="AF26" s="67" t="s">
        <v>221</v>
      </c>
      <c r="AG26" s="7" t="s">
        <v>223</v>
      </c>
      <c r="AH26" s="4"/>
      <c r="AI26" s="21"/>
      <c r="AJ26" s="21"/>
      <c r="AK26" s="21"/>
      <c r="AL26" s="21"/>
      <c r="AM26" s="21"/>
      <c r="AN26" s="21"/>
      <c r="AO26" s="21"/>
      <c r="AP26" s="21"/>
      <c r="AQ26" s="21"/>
      <c r="AR26" s="17">
        <f t="array" aca="1" ref="AR26" ca="1">COUNT(IF(AR37:AR116&gt;0,IF(AC37:AC116=FALSE,AR37:AR116)))+UpperInputsIssues</f>
        <v>0</v>
      </c>
      <c r="AS26" s="67" t="s">
        <v>337</v>
      </c>
      <c r="AT26" s="4"/>
      <c r="AU26" s="4"/>
      <c r="AV26" s="4"/>
      <c r="AW26" s="4"/>
      <c r="AX26" s="4"/>
      <c r="AY26" s="4"/>
      <c r="AZ26" s="4"/>
      <c r="BA26" s="4"/>
      <c r="BB26" s="4"/>
      <c r="BC26" s="4"/>
      <c r="BD26" s="4"/>
      <c r="BE26" s="4"/>
      <c r="BF26" s="4"/>
      <c r="BG26" s="4"/>
      <c r="BH26" s="4"/>
      <c r="BI26" s="4"/>
      <c r="BJ26" s="4"/>
      <c r="BK26" s="4"/>
      <c r="BL26" s="4"/>
      <c r="BM26" s="4"/>
      <c r="BN26" s="4"/>
      <c r="BO26" s="77">
        <f ca="1">IF(ConductanceAccess=0,0,SUMIF(AC37:AC116,"=true",BO37:BO116)/ConductanceAccess)</f>
        <v>0</v>
      </c>
      <c r="BP26" s="77">
        <f>SUMIF(AC37:AC116,"=true",BP37:BP116)</f>
        <v>0</v>
      </c>
      <c r="BQ26" s="293" t="s">
        <v>242</v>
      </c>
      <c r="BR26" s="4"/>
      <c r="BS26" s="4"/>
      <c r="BT26" s="4"/>
      <c r="BU26" s="4"/>
      <c r="BV26" s="258"/>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row>
    <row r="27" spans="1:116" ht="18.75" thickBot="1">
      <c r="A27" s="326"/>
      <c r="B27" s="430" t="str">
        <f>IF(AND(F158=FALSE,F159=FALSE),"Storey","ENTER STOREY")</f>
        <v>Storey</v>
      </c>
      <c r="C27" s="10"/>
      <c r="D27" s="325"/>
      <c r="E27" s="237" t="s">
        <v>298</v>
      </c>
      <c r="F27" s="434" t="str">
        <f>IF(AND(EmptyA=FALSE,F164=FALSE),"     Area","ENTER AREA(S) BELOW")</f>
        <v xml:space="preserve">     Area</v>
      </c>
      <c r="H27" s="430"/>
      <c r="R27" s="447" t="str">
        <f ca="1">IF(UpperInputsFlagged&gt;0,"",IF(WallConcession=NoWallConcession,"","CONSTANT REDUCED BY"))</f>
        <v/>
      </c>
      <c r="S27" s="401" t="str">
        <f>IF(OR(ISBLANK(WallConcession),UpperInputsAlerts&gt;0),"",INDEX(H198:H209,MATCH(WallConcession,F198:F209,0),1))</f>
        <v/>
      </c>
      <c r="T27" s="449" t="str">
        <f ca="1">IF(OR(ISBLANK(WallConcession),UpperInputsFlagged&gt;0),"",INDEX(I198:I209,MATCH(WallConcession,F198:F209,0),1))</f>
        <v/>
      </c>
      <c r="U27" s="5"/>
      <c r="V27" s="6"/>
      <c r="W27" s="4"/>
      <c r="X27" s="4"/>
      <c r="Y27" s="4"/>
      <c r="Z27" s="4"/>
      <c r="AA27" s="87" t="s">
        <v>222</v>
      </c>
      <c r="AB27" s="245">
        <f>IF(ISBLANK(AirMovement),0,IF(AirMovement="Standard",1,IF(AirMovement="High",2,AirMovement)))</f>
        <v>0</v>
      </c>
      <c r="AC27" s="247" t="str">
        <f>IF(AirMovement="Standard","S",IF(AirMovement="High","H",IF(AND(AirMovement&gt;1,AirMovement&lt;2),"S","n/a")))</f>
        <v>n/a</v>
      </c>
      <c r="AD27" s="4"/>
      <c r="AE27" s="4"/>
      <c r="AF27" s="4"/>
      <c r="AG27" s="4"/>
      <c r="AH27" s="4"/>
      <c r="AI27" s="21"/>
      <c r="AJ27" s="21"/>
      <c r="AK27" s="21"/>
      <c r="AL27" s="21"/>
      <c r="AM27" s="21"/>
      <c r="AN27" s="21"/>
      <c r="AO27" s="21"/>
      <c r="AP27" s="21"/>
      <c r="AQ27" s="21"/>
      <c r="AR27" s="21"/>
      <c r="AS27" s="21"/>
      <c r="AT27" s="4"/>
      <c r="AU27" s="4"/>
      <c r="AV27" s="4"/>
      <c r="AW27" s="4"/>
      <c r="AX27" s="4"/>
      <c r="AY27" s="4"/>
      <c r="AZ27" s="4"/>
      <c r="BA27" s="4"/>
      <c r="BB27" s="4"/>
      <c r="BC27" s="4"/>
      <c r="BD27" s="4"/>
      <c r="BE27" s="4"/>
      <c r="BF27" s="4"/>
      <c r="BG27" s="4"/>
      <c r="BH27" s="4"/>
      <c r="BI27" s="4"/>
      <c r="BJ27" s="4"/>
      <c r="BK27" s="4"/>
      <c r="BL27" s="4"/>
      <c r="BM27" s="4"/>
      <c r="BN27" s="4"/>
      <c r="BO27" s="77" t="e">
        <f ca="1">AllowedCond-BO26</f>
        <v>#DIV/0!</v>
      </c>
      <c r="BP27" s="77" t="e">
        <f ca="1">AllowedSHG-BP26</f>
        <v>#VALUE!</v>
      </c>
      <c r="BQ27" s="30" t="s">
        <v>240</v>
      </c>
      <c r="BR27" s="4"/>
      <c r="BS27" s="4"/>
      <c r="BT27" s="4"/>
      <c r="BU27" s="4"/>
      <c r="BV27" s="76" t="s">
        <v>344</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row>
    <row r="28" spans="1:116" ht="13.5" thickBot="1">
      <c r="B28" s="956"/>
      <c r="C28" s="957"/>
      <c r="D28" s="958"/>
      <c r="E28" s="238" t="s">
        <v>307</v>
      </c>
      <c r="F28" s="479"/>
      <c r="H28" s="267" t="str">
        <f ca="1">IF(OR(F165=TRUE,F170=TRUE,F171=TRUE),"SELECT BELOW THE WALL INSULATION OPTION CHOSEN FOR 3.12.1.4","Wall insulation option chosen for 3.12.1.4")</f>
        <v>Wall insulation option chosen for 3.12.1.4</v>
      </c>
      <c r="I28" s="107"/>
      <c r="J28" s="107"/>
      <c r="K28" s="107"/>
      <c r="L28" s="107"/>
      <c r="M28" s="108"/>
      <c r="N28" s="108"/>
      <c r="O28" s="108"/>
      <c r="P28" s="108"/>
      <c r="R28" s="253" t="str">
        <f ca="1">IF(UpperInputsFlagged&gt;0,"",IF(WallConcession=NoWallConcession,"","ADJUSTED CONSTANT"))</f>
        <v/>
      </c>
      <c r="S28" s="296" t="str">
        <f ca="1">IF(UpperInputsFlagged&gt;0,"",IF(S27=0,0,S26*(1-S27)))</f>
        <v/>
      </c>
      <c r="T28" s="296" t="str">
        <f ca="1">IF(UpperInputsFlagged&gt;0,"",IF(T27=0,0,T26*(1-T27)))</f>
        <v/>
      </c>
      <c r="U28" s="22"/>
      <c r="V28" s="6"/>
      <c r="W28" s="4"/>
      <c r="X28" s="4"/>
      <c r="Y28" s="4"/>
      <c r="Z28" s="4"/>
      <c r="AA28" s="87" t="s">
        <v>160</v>
      </c>
      <c r="AB28" s="246" t="e">
        <f>INDEX(ConstantsA,2,Zone,2)-INDEX(ConstantsA,2,Zone,1)</f>
        <v>#VALUE!</v>
      </c>
      <c r="AC28" s="234" t="e">
        <f>IF(SuffixAir="High",INDEX(ConstantsA,2,Zone,2),CshgcA+(MultipleAir-1)*DifferenceA)</f>
        <v>#VALUE!</v>
      </c>
      <c r="AD28" s="236" t="e">
        <f>INDEX(ConstantsB,2,Zone,2)-INDEX(ConstantsB,2,Zone,1)</f>
        <v>#VALUE!</v>
      </c>
      <c r="AE28" s="234" t="e">
        <f>IF(SuffixAir="High",INDEX(ConstantsB,2,Zone,2),CshgcB+(MultipleAir-1)*DifferenceB)</f>
        <v>#VALUE!</v>
      </c>
      <c r="AF28" s="67" t="s">
        <v>161</v>
      </c>
      <c r="AG28" s="4"/>
      <c r="AH28" s="4"/>
      <c r="AI28" s="21"/>
      <c r="AJ28" s="21"/>
      <c r="AK28" s="21"/>
      <c r="AL28" s="21"/>
      <c r="AM28" s="21"/>
      <c r="AN28" s="21"/>
      <c r="AO28" s="21"/>
      <c r="AP28" s="21"/>
      <c r="AQ28" s="21"/>
      <c r="AR28" s="324" t="s">
        <v>119</v>
      </c>
      <c r="AS28" s="21"/>
      <c r="AT28" s="4"/>
      <c r="AU28" s="4"/>
      <c r="AV28" s="4"/>
      <c r="AW28" s="4"/>
      <c r="AX28" s="4"/>
      <c r="AY28" s="4"/>
      <c r="AZ28" s="4"/>
      <c r="BA28" s="4"/>
      <c r="BB28" s="4"/>
      <c r="BC28" s="4"/>
      <c r="BD28" s="4"/>
      <c r="BE28" s="4"/>
      <c r="BF28" s="4"/>
      <c r="BG28" s="4"/>
      <c r="BH28" s="4"/>
      <c r="BI28" s="4"/>
      <c r="BJ28" s="4"/>
      <c r="BK28" s="4"/>
      <c r="BL28" s="4"/>
      <c r="BM28" s="4"/>
      <c r="BN28" s="4"/>
      <c r="BO28" s="252" t="e">
        <f ca="1">IF(OR(BO26/AllowedCond&lt;0.01,BO26/AllowedCond&gt;1),ROUNDUP(BO26/AllowedCond,2),BO26/AllowedCond)</f>
        <v>#DIV/0!</v>
      </c>
      <c r="BP28" s="252" t="e">
        <f ca="1">IF(OR(BP26/AllowedSHG&lt;0.01,BP26/AllowedSHG&gt;1),ROUNDUP(BP26/AllowedSHG,2),BP26/AllowedSHG)</f>
        <v>#VALUE!</v>
      </c>
      <c r="BQ28" s="30" t="s">
        <v>130</v>
      </c>
      <c r="BR28" s="4"/>
      <c r="BS28" s="4"/>
      <c r="BT28" s="4"/>
      <c r="BU28" s="4"/>
      <c r="BV28" s="7" t="s">
        <v>117</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row>
    <row r="29" spans="1:116" ht="13.5" thickBot="1">
      <c r="B29" s="433" t="str">
        <f>IF(AND(VentPending=FALSE,OrphanVent=FALSE),"Air Movement","AIR MOVEMENT")</f>
        <v>Air Movement</v>
      </c>
      <c r="E29" s="238" t="s">
        <v>308</v>
      </c>
      <c r="F29" s="480"/>
      <c r="H29" s="951"/>
      <c r="I29" s="952"/>
      <c r="J29" s="952"/>
      <c r="K29" s="952"/>
      <c r="L29" s="952"/>
      <c r="M29" s="952"/>
      <c r="N29" s="952"/>
      <c r="O29" s="953"/>
      <c r="P29" s="108"/>
      <c r="S29" s="249" t="s">
        <v>207</v>
      </c>
      <c r="T29" s="96" t="s">
        <v>70</v>
      </c>
      <c r="U29" s="22"/>
      <c r="V29" s="6"/>
      <c r="W29" s="4"/>
      <c r="X29" s="229" t="str">
        <f>IF(Zone=1,"x Area","(only)")</f>
        <v>(only)</v>
      </c>
      <c r="Y29" s="67" t="s">
        <v>288</v>
      </c>
      <c r="Z29" s="228"/>
      <c r="AA29" s="4"/>
      <c r="AB29" s="233" t="e">
        <f>CuA*AreaApercent+CuB*AreaBpercent</f>
        <v>#DIV/0!</v>
      </c>
      <c r="AC29" s="235" t="e">
        <f>InterpolatedA*AreaApercent+InterpolatedB*AreaBpercent</f>
        <v>#VALUE!</v>
      </c>
      <c r="AD29" s="67" t="s">
        <v>225</v>
      </c>
      <c r="AE29" s="67"/>
      <c r="AF29" s="232"/>
      <c r="AG29" s="4"/>
      <c r="AH29" s="4"/>
      <c r="AI29" s="4"/>
      <c r="AJ29" s="4"/>
      <c r="AK29" s="4"/>
      <c r="AL29" s="4"/>
      <c r="AM29" s="4"/>
      <c r="AN29" s="4"/>
      <c r="AO29" s="4"/>
      <c r="AP29" s="4"/>
      <c r="AQ29" s="4"/>
      <c r="AR29" s="100" t="b">
        <f ca="1">AR26=0</f>
        <v>1</v>
      </c>
      <c r="AS29" s="406"/>
      <c r="AT29" s="4"/>
      <c r="AU29" s="4"/>
      <c r="AV29" s="4"/>
      <c r="AW29" s="4"/>
      <c r="AX29" s="4"/>
      <c r="AY29" s="4"/>
      <c r="AZ29" s="4"/>
      <c r="BA29" s="4"/>
      <c r="BB29" s="4"/>
      <c r="BC29" s="4"/>
      <c r="BD29" s="4"/>
      <c r="BE29" s="4"/>
      <c r="BF29" s="4"/>
      <c r="BG29" s="4"/>
      <c r="BH29" s="4"/>
      <c r="BI29" s="4"/>
      <c r="BJ29" s="4"/>
      <c r="BK29" s="4"/>
      <c r="BL29" s="4"/>
      <c r="BM29" s="4"/>
      <c r="BN29" s="4"/>
      <c r="BO29" s="83" t="e">
        <f ca="1">IF(BO27&lt;0,COUNTIF(AC37:AC116,"true"),0)</f>
        <v>#DIV/0!</v>
      </c>
      <c r="BP29" s="83" t="e">
        <f ca="1">IF(BP27&lt;0,COUNTIF(AC37:AC116,"true"),0)</f>
        <v>#VALUE!</v>
      </c>
      <c r="BQ29" s="30" t="s">
        <v>241</v>
      </c>
      <c r="BR29" s="4"/>
      <c r="BS29" s="4"/>
      <c r="BT29" s="4"/>
      <c r="BU29" s="4"/>
      <c r="BV29" s="48" t="s">
        <v>246</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row>
    <row r="30" spans="1:116" ht="13.5" thickBot="1">
      <c r="A30" s="5"/>
      <c r="B30" s="959"/>
      <c r="C30" s="960"/>
      <c r="D30" s="961"/>
      <c r="E30" s="146" t="str">
        <f>IF(AreaA+AreaB&gt;0,"Area of storey ","")</f>
        <v/>
      </c>
      <c r="F30" s="248">
        <f>AreaA+AreaB</f>
        <v>0</v>
      </c>
      <c r="H30" s="448" t="str">
        <f ca="1">H170</f>
        <v/>
      </c>
      <c r="R30" s="253" t="s">
        <v>94</v>
      </c>
      <c r="S30" s="395" t="str">
        <f ca="1">IF(UpperInputsFlagged&gt;0,"",AllowedCond)</f>
        <v/>
      </c>
      <c r="T30" s="396" t="str">
        <f ca="1">IF(UpperInputsFlagged&gt;0,"",AllowedSHG)</f>
        <v/>
      </c>
      <c r="U30" s="22"/>
      <c r="V30" s="6"/>
      <c r="W30" s="4"/>
      <c r="X30" s="4"/>
      <c r="Y30" s="4"/>
      <c r="Z30" s="4"/>
      <c r="AA30" s="87" t="s">
        <v>244</v>
      </c>
      <c r="AB30" s="268" t="e">
        <f>ROUND(CuWeighted*(1-S27)*IF(Zone=1,AreaAll,1),1)</f>
        <v>#DIV/0!</v>
      </c>
      <c r="AC30" s="251" t="e">
        <f ca="1">ROUND(CshgcWeighted*(1-T27)*AreaAll,1)</f>
        <v>#VALUE!</v>
      </c>
      <c r="AD30" s="67" t="s">
        <v>230</v>
      </c>
      <c r="AE30" s="67"/>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84" t="b">
        <f ca="1">IF(ISERR(FailedCondA),FALSE,AND(RowsActive&gt;0,RowsActive=RowsOK,DudTableInputs=0,FailedCondA=0))</f>
        <v>0</v>
      </c>
      <c r="BP30" s="84" t="b">
        <f ca="1">IF(ISERR(FailedSHG),FALSE,AND(RowsActive&gt;0,RowsActive=RowsOK,DudTableInputs=0,FailedSHGA=0))</f>
        <v>0</v>
      </c>
      <c r="BQ30" s="7" t="s">
        <v>303</v>
      </c>
      <c r="BR30" s="4"/>
      <c r="BS30" s="4"/>
      <c r="BT30" s="4"/>
      <c r="BU30" s="4"/>
      <c r="BV30" s="258"/>
      <c r="BW30" s="258"/>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row>
    <row r="31" spans="1:116" ht="13.5" thickBot="1">
      <c r="A31" s="5"/>
      <c r="B31" s="144"/>
      <c r="C31" s="5"/>
      <c r="D31" s="5"/>
      <c r="E31" s="298" t="str">
        <f>IF(GlazingAreaAll=0,"","Area of glazing ")</f>
        <v/>
      </c>
      <c r="F31" s="299">
        <f>GlazingAreaAll</f>
        <v>0</v>
      </c>
      <c r="G31" s="300" t="str">
        <f>IF(GlazingAreaAll=0,"",IF(OR(ActiveA=TRUE,ActiveB=TRUE),"("&amp;TEXT(GlazingAreaAll/AreaAll,"0%")&amp;" of area of storey)",""))</f>
        <v/>
      </c>
      <c r="H31" s="446"/>
      <c r="I31" s="91"/>
      <c r="J31" s="91"/>
      <c r="K31" s="91"/>
      <c r="L31" s="91"/>
      <c r="M31" s="91"/>
      <c r="N31" s="22"/>
      <c r="O31" s="22"/>
      <c r="P31" s="22"/>
      <c r="Q31" s="22"/>
      <c r="R31" s="22"/>
      <c r="S31" s="91"/>
      <c r="T31" s="91"/>
      <c r="U31" s="22"/>
      <c r="V31" s="6"/>
      <c r="W31" s="4"/>
      <c r="X31" s="4"/>
      <c r="Y31" s="4"/>
      <c r="Z31" s="4"/>
      <c r="AA31" s="4"/>
      <c r="AB31" s="4"/>
      <c r="AC31" s="324" t="s">
        <v>245</v>
      </c>
      <c r="AD31" s="4"/>
      <c r="AE31" s="4"/>
      <c r="AF31" s="400"/>
      <c r="AG31" s="324" t="s">
        <v>76</v>
      </c>
      <c r="AH31" s="4"/>
      <c r="AI31" s="30"/>
      <c r="AJ31" s="324" t="s">
        <v>77</v>
      </c>
      <c r="AK31" s="67"/>
      <c r="AL31" s="4"/>
      <c r="AM31" s="324" t="s">
        <v>78</v>
      </c>
      <c r="AN31" s="67"/>
      <c r="AO31" s="4"/>
      <c r="AP31" s="324" t="s">
        <v>92</v>
      </c>
      <c r="AQ31" s="4"/>
      <c r="AR31" s="324" t="s">
        <v>115</v>
      </c>
      <c r="AS31" s="102"/>
      <c r="AT31" s="4"/>
      <c r="AU31" s="4"/>
      <c r="AV31" s="4"/>
      <c r="AW31" s="67" t="s">
        <v>104</v>
      </c>
      <c r="AX31" s="4"/>
      <c r="AY31" s="4"/>
      <c r="AZ31" s="4"/>
      <c r="BA31" s="4"/>
      <c r="BB31" s="4"/>
      <c r="BC31" s="4"/>
      <c r="BD31" s="4"/>
      <c r="BE31" s="4"/>
      <c r="BF31" s="4"/>
      <c r="BG31" s="4"/>
      <c r="BH31" s="4"/>
      <c r="BI31" s="4"/>
      <c r="BJ31" s="4"/>
      <c r="BK31" s="4"/>
      <c r="BL31" s="4"/>
      <c r="BM31" s="4"/>
      <c r="BN31" s="4"/>
      <c r="BO31" s="87" t="s">
        <v>100</v>
      </c>
      <c r="BP31" s="48" t="s">
        <v>99</v>
      </c>
      <c r="BQ31" s="4"/>
      <c r="BR31" s="4"/>
      <c r="BS31" s="4"/>
      <c r="BT31" s="4"/>
      <c r="BU31" s="4"/>
      <c r="BV31" s="258"/>
      <c r="BW31" s="258"/>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row>
    <row r="32" spans="1:116" ht="27" thickTop="1" thickBot="1">
      <c r="A32" s="5"/>
      <c r="B32" s="413" t="s">
        <v>335</v>
      </c>
      <c r="E32" s="5"/>
      <c r="F32" s="481">
        <v>40</v>
      </c>
      <c r="G32" s="301" t="str">
        <f>IF(RowsPreferred&gt;RowsAvailable,"Not possible - maximum number available is "&amp;RowsAvailable,IF(RowsPreferred&lt;MAX(1,LastActive),"Too few - rows with calculation data will be hidden",IF(RowsPreferred&lt;&gt;RowsDisplayed,"Click arrow beside 'ID'. Select only '"&amp;RowsPreferred&amp;"' on the drop-down list","(as currently displayed)")))</f>
        <v>(as currently displayed)</v>
      </c>
      <c r="I32" s="22"/>
      <c r="J32" s="22"/>
      <c r="K32" s="22"/>
      <c r="L32" s="22"/>
      <c r="M32" s="22"/>
      <c r="N32" s="461" t="str">
        <f ca="1">IF(AND(RowsActive&gt;0,InputIssues&gt;0),"Calculator outcomes hidden until input "&amp;IF(AdviceIssuesOnly=TRUE,"alert","issue")&amp;IF(InputIssues=1," is","s are")&amp;" cleared","")</f>
        <v/>
      </c>
      <c r="O32" s="431"/>
      <c r="P32" s="431"/>
      <c r="Q32" s="431"/>
      <c r="R32" s="431"/>
      <c r="S32" s="431"/>
      <c r="T32" s="432"/>
      <c r="U32" s="380"/>
      <c r="V32" s="6"/>
      <c r="W32" s="4"/>
      <c r="X32" s="140" t="s">
        <v>139</v>
      </c>
      <c r="Y32" s="4"/>
      <c r="Z32" s="4"/>
      <c r="AA32" s="4"/>
      <c r="AB32" s="4"/>
      <c r="AC32" s="407">
        <f>ROUND(SUMIF(AC37:AC116,TRUE,AreaUsed),1)</f>
        <v>0</v>
      </c>
      <c r="AD32" s="67"/>
      <c r="AE32" s="67"/>
      <c r="AF32" s="4"/>
      <c r="AG32" s="17">
        <f>SUM(AG35:AH35)</f>
        <v>0</v>
      </c>
      <c r="AH32" s="4"/>
      <c r="AI32" s="4"/>
      <c r="AJ32" s="20">
        <f>SUM(AJ35:AL35)</f>
        <v>0</v>
      </c>
      <c r="AK32" s="4"/>
      <c r="AL32" s="4"/>
      <c r="AM32" s="17">
        <f>SUM(AM35:AO35)</f>
        <v>0</v>
      </c>
      <c r="AN32" s="4"/>
      <c r="AO32" s="4"/>
      <c r="AP32" s="17">
        <f>SUM(NoSector,DudSize,DudPerformance,DudShading)</f>
        <v>0</v>
      </c>
      <c r="AQ32" s="4"/>
      <c r="AR32" s="99" t="b">
        <f ca="1">AND(RowsActive&gt;0,DudTableInputs=0,InputIssues=0,ConductanceAccess&gt;0)</f>
        <v>0</v>
      </c>
      <c r="AS32" s="97" t="s">
        <v>116</v>
      </c>
      <c r="AT32" s="4"/>
      <c r="AU32" s="4"/>
      <c r="AV32" s="4"/>
      <c r="AW32" s="17">
        <f>SUMIF(AC37:AC116,FALSE,AD37:AD116)</f>
        <v>0</v>
      </c>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row>
    <row r="33" spans="1:116" ht="6" customHeight="1" thickTop="1" thickBot="1">
      <c r="A33" s="5"/>
      <c r="B33" s="5"/>
      <c r="C33" s="5"/>
      <c r="D33" s="5"/>
      <c r="E33" s="5"/>
      <c r="F33" s="90"/>
      <c r="G33" s="91"/>
      <c r="H33" s="91"/>
      <c r="I33" s="91"/>
      <c r="J33" s="91"/>
      <c r="K33" s="91"/>
      <c r="L33" s="91"/>
      <c r="M33" s="91"/>
      <c r="N33" s="22"/>
      <c r="O33" s="22"/>
      <c r="P33" s="22"/>
      <c r="Q33" s="22"/>
      <c r="R33" s="22"/>
      <c r="S33" s="22"/>
      <c r="T33" s="22"/>
      <c r="U33" s="379"/>
      <c r="V33" s="6"/>
      <c r="W33" s="4"/>
      <c r="X33" s="4"/>
      <c r="Y33" s="4"/>
      <c r="Z33" s="4"/>
      <c r="AA33" s="4"/>
      <c r="AB33" s="4"/>
      <c r="AC33" s="4"/>
      <c r="AD33" s="4"/>
      <c r="AE33" s="4"/>
      <c r="AF33" s="87"/>
      <c r="AG33" s="67"/>
      <c r="AH33" s="4"/>
      <c r="AI33" s="30"/>
      <c r="AJ33" s="67"/>
      <c r="AK33" s="67"/>
      <c r="AL33" s="4"/>
      <c r="AM33" s="67"/>
      <c r="AN33" s="67"/>
      <c r="AO33" s="4"/>
      <c r="AP33" s="67"/>
      <c r="AQ33" s="4"/>
      <c r="AR33" s="4"/>
      <c r="AS33" s="4"/>
      <c r="AT33" s="4"/>
      <c r="AU33" s="4"/>
      <c r="AV33" s="4"/>
      <c r="AW33" s="48"/>
      <c r="AX33" s="4"/>
      <c r="AY33" s="4"/>
      <c r="AZ33" s="4"/>
      <c r="BA33" s="4"/>
      <c r="BB33" s="4"/>
      <c r="BC33" s="4"/>
      <c r="BD33" s="4"/>
      <c r="BE33" s="4"/>
      <c r="BF33" s="4"/>
      <c r="BG33" s="19"/>
      <c r="BH33" s="19"/>
      <c r="BI33" s="19"/>
      <c r="BJ33" s="19"/>
      <c r="BK33" s="19"/>
      <c r="BL33" s="19"/>
      <c r="BM33" s="19"/>
      <c r="BN33" s="19"/>
      <c r="BO33" s="19"/>
      <c r="BP33" s="19"/>
      <c r="BQ33" s="19"/>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row>
    <row r="34" spans="1:116" ht="15">
      <c r="A34" s="226"/>
      <c r="B34" s="435" t="str">
        <f ca="1">IF(AND(TopInputsOK=TRUE,TableEntries&gt;=RowsActive),"ENTER GLAZING DETAILS IN THIS TABLE. Input above and arrow at 'ID' alters number of rows.","GLAZING ELEMENTS, ORIENTATION SECTOR, SIZE and PERFORMANCE CHARACTERISTICS")</f>
        <v>GLAZING ELEMENTS, ORIENTATION SECTOR, SIZE and PERFORMANCE CHARACTERISTICS</v>
      </c>
      <c r="C34" s="436"/>
      <c r="D34" s="436"/>
      <c r="E34" s="436"/>
      <c r="F34" s="437"/>
      <c r="G34" s="437"/>
      <c r="H34" s="437"/>
      <c r="I34" s="437"/>
      <c r="J34" s="437"/>
      <c r="K34" s="438"/>
      <c r="L34" s="439" t="s">
        <v>13</v>
      </c>
      <c r="M34" s="438"/>
      <c r="N34" s="439" t="s">
        <v>51</v>
      </c>
      <c r="O34" s="439"/>
      <c r="P34" s="440"/>
      <c r="Q34" s="933" t="str">
        <f ca="1">"CALCULATED OUTCOMES"&amp;IF(AND(AllInputsOK=TRUE,ShowPassCond=TRUE,ShowPassSHG=TRUE)," - OK (if inputs are valid)","")</f>
        <v>CALCULATED OUTCOMES</v>
      </c>
      <c r="R34" s="934"/>
      <c r="S34" s="934"/>
      <c r="T34" s="935"/>
      <c r="U34" s="5"/>
      <c r="V34" s="6"/>
      <c r="W34" s="4"/>
      <c r="X34" s="48" t="s">
        <v>126</v>
      </c>
      <c r="Y34" s="98"/>
      <c r="Z34" s="4"/>
      <c r="AA34" s="4"/>
      <c r="AB34" s="87" t="s">
        <v>95</v>
      </c>
      <c r="AC34" s="67" t="s">
        <v>97</v>
      </c>
      <c r="AD34" s="48" t="s">
        <v>105</v>
      </c>
      <c r="AE34" s="48"/>
      <c r="AF34" s="87" t="s">
        <v>102</v>
      </c>
      <c r="AG34" s="302" t="s">
        <v>27</v>
      </c>
      <c r="AH34" s="303"/>
      <c r="AI34" s="304"/>
      <c r="AJ34" s="302" t="str">
        <f>J35</f>
        <v>Performance</v>
      </c>
      <c r="AK34" s="305"/>
      <c r="AL34" s="304"/>
      <c r="AM34" s="302" t="str">
        <f>L34</f>
        <v>SHADING</v>
      </c>
      <c r="AN34" s="305"/>
      <c r="AO34" s="304"/>
      <c r="AP34" s="67" t="s">
        <v>98</v>
      </c>
      <c r="AQ34" s="4"/>
      <c r="AR34" s="324" t="s">
        <v>114</v>
      </c>
      <c r="AS34" s="4"/>
      <c r="AT34" s="4"/>
      <c r="AU34" s="4"/>
      <c r="AV34" s="4"/>
      <c r="AW34" s="48" t="s">
        <v>96</v>
      </c>
      <c r="AX34" s="4"/>
      <c r="AY34" s="4"/>
      <c r="AZ34" s="4"/>
      <c r="BA34" s="4"/>
      <c r="BB34" s="4"/>
      <c r="BC34" s="4"/>
      <c r="BD34" s="4"/>
      <c r="BE34" s="4"/>
      <c r="BF34" s="4"/>
      <c r="BG34" s="4"/>
      <c r="BH34" s="4"/>
      <c r="BI34" s="4"/>
      <c r="BJ34" s="4"/>
      <c r="BK34" s="4"/>
      <c r="BL34" s="4"/>
      <c r="BM34" s="4"/>
      <c r="BN34" s="4"/>
      <c r="BO34" s="95">
        <f ca="1">BO26*ConductanceAccess</f>
        <v>0</v>
      </c>
      <c r="BP34" s="102"/>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row>
    <row r="35" spans="1:116" ht="12.75" customHeight="1" thickBot="1">
      <c r="A35" s="5"/>
      <c r="B35" s="316" t="s">
        <v>299</v>
      </c>
      <c r="C35" s="214"/>
      <c r="D35" s="215"/>
      <c r="E35" s="271"/>
      <c r="F35" s="273" t="s">
        <v>172</v>
      </c>
      <c r="G35" s="272"/>
      <c r="H35" s="269" t="s">
        <v>27</v>
      </c>
      <c r="I35" s="270"/>
      <c r="J35" s="216" t="s">
        <v>28</v>
      </c>
      <c r="K35" s="217"/>
      <c r="L35" s="216" t="s">
        <v>145</v>
      </c>
      <c r="M35" s="217"/>
      <c r="N35" s="216" t="s">
        <v>120</v>
      </c>
      <c r="O35" s="218"/>
      <c r="P35" s="219" t="s">
        <v>27</v>
      </c>
      <c r="Q35" s="936" t="str">
        <f ca="1">"Conductance"&amp;IF(AllInputsOK=FALSE,"",IF(FailedConductance=0," - PASSED"," - FAILED"))</f>
        <v>Conductance</v>
      </c>
      <c r="R35" s="937"/>
      <c r="S35" s="936" t="str">
        <f ca="1">"Solar heat gain"&amp;IF(AllInputsOK=FALSE,"",IF(FailedSHG=0," - PASSED"," - FAILED"))</f>
        <v>Solar heat gain</v>
      </c>
      <c r="T35" s="938"/>
      <c r="U35" s="5"/>
      <c r="V35" s="6"/>
      <c r="W35" s="4"/>
      <c r="X35" s="105">
        <f t="array" ref="X35">MAX(IF(AC37:AC116=TRUE,Rows))</f>
        <v>0</v>
      </c>
      <c r="Y35" s="4"/>
      <c r="Z35" s="4"/>
      <c r="AA35" s="4"/>
      <c r="AB35" s="314">
        <f>SUM(AB37:AB116)</f>
        <v>0</v>
      </c>
      <c r="AC35" s="309">
        <f>COUNTIF(AC37:AC116,TRUE)</f>
        <v>0</v>
      </c>
      <c r="AD35" s="314">
        <f>COUNTIF(AD37:AD116,"&gt;0")</f>
        <v>0</v>
      </c>
      <c r="AE35" s="309">
        <f t="shared" ref="AE35:AO35" si="0">COUNTIF(AE37:AE116,TRUE)</f>
        <v>0</v>
      </c>
      <c r="AF35" s="310">
        <f>COUNTIF(AF37:AF116,TRUE)</f>
        <v>0</v>
      </c>
      <c r="AG35" s="306">
        <f t="shared" si="0"/>
        <v>0</v>
      </c>
      <c r="AH35" s="307">
        <f t="shared" si="0"/>
        <v>0</v>
      </c>
      <c r="AI35" s="311"/>
      <c r="AJ35" s="312">
        <f t="shared" si="0"/>
        <v>0</v>
      </c>
      <c r="AK35" s="319"/>
      <c r="AL35" s="308">
        <f t="shared" si="0"/>
        <v>0</v>
      </c>
      <c r="AM35" s="306">
        <f>COUNTIF(AM37:AM116,TRUE)</f>
        <v>0</v>
      </c>
      <c r="AN35" s="307">
        <f t="shared" si="0"/>
        <v>0</v>
      </c>
      <c r="AO35" s="313">
        <f t="shared" si="0"/>
        <v>0</v>
      </c>
      <c r="AP35" s="65">
        <f>COUNTIF(AP37:AP116,TRUE)</f>
        <v>0</v>
      </c>
      <c r="AQ35" s="4"/>
      <c r="AR35" s="17">
        <f ca="1">SUM(AR37:AR116)+UpperInputsIssues</f>
        <v>0</v>
      </c>
      <c r="AS35" s="67"/>
      <c r="AT35" s="36"/>
      <c r="AU35" s="36"/>
      <c r="AV35" s="36"/>
      <c r="AW35" s="17">
        <f ca="1">COUNTIF(AW37:AW116,TRUE)</f>
        <v>0</v>
      </c>
      <c r="AX35" s="4"/>
      <c r="AY35" s="8" t="s">
        <v>209</v>
      </c>
      <c r="AZ35" s="4"/>
      <c r="BA35" s="4"/>
      <c r="BB35" s="4"/>
      <c r="BC35" s="4"/>
      <c r="BD35" s="4"/>
      <c r="BE35" s="4"/>
      <c r="BF35" s="4"/>
      <c r="BG35" s="4"/>
      <c r="BH35" s="4"/>
      <c r="BI35" s="8" t="s">
        <v>212</v>
      </c>
      <c r="BJ35" s="4"/>
      <c r="BK35" s="4"/>
      <c r="BL35" s="4"/>
      <c r="BM35" s="194">
        <f ca="1">IF(Zone=1,1,SUM(BM37:BM116))</f>
        <v>0</v>
      </c>
      <c r="BN35" s="4"/>
      <c r="BO35" s="8" t="s">
        <v>86</v>
      </c>
      <c r="BP35" s="4"/>
      <c r="BQ35" s="4"/>
      <c r="BR35" s="4"/>
      <c r="BS35" s="4"/>
      <c r="BT35" s="4"/>
      <c r="BU35" s="4"/>
      <c r="BV35" s="4"/>
      <c r="BW35" s="4"/>
      <c r="BX35" s="114" t="s">
        <v>131</v>
      </c>
      <c r="BY35" s="114" t="s">
        <v>132</v>
      </c>
      <c r="BZ35" s="115" t="s">
        <v>133</v>
      </c>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row>
    <row r="36" spans="1:116" ht="47.1" customHeight="1" thickBot="1">
      <c r="A36" s="5"/>
      <c r="B36" s="220" t="str">
        <f>IF(RowsDisplayed=RowsPreferred,"","     rows")</f>
        <v/>
      </c>
      <c r="C36" s="221" t="s">
        <v>69</v>
      </c>
      <c r="D36" s="954" t="s">
        <v>372</v>
      </c>
      <c r="E36" s="955"/>
      <c r="F36" s="222" t="s">
        <v>347</v>
      </c>
      <c r="G36" s="222" t="s">
        <v>140</v>
      </c>
      <c r="H36" s="223" t="s">
        <v>141</v>
      </c>
      <c r="I36" s="224" t="s">
        <v>142</v>
      </c>
      <c r="J36" s="222" t="s">
        <v>369</v>
      </c>
      <c r="K36" s="224" t="s">
        <v>370</v>
      </c>
      <c r="L36" s="225" t="s">
        <v>5</v>
      </c>
      <c r="M36" s="224" t="s">
        <v>6</v>
      </c>
      <c r="N36" s="222" t="s">
        <v>4</v>
      </c>
      <c r="O36" s="227" t="s">
        <v>216</v>
      </c>
      <c r="P36" s="336" t="s">
        <v>144</v>
      </c>
      <c r="Q36" s="222" t="str">
        <f>"U x area"&amp;IF(Zone=1,""," / winter access")</f>
        <v>U x area / winter access</v>
      </c>
      <c r="R36" s="336" t="s">
        <v>143</v>
      </c>
      <c r="S36" s="222" t="s">
        <v>214</v>
      </c>
      <c r="T36" s="337" t="s">
        <v>143</v>
      </c>
      <c r="U36" s="5"/>
      <c r="V36" s="6"/>
      <c r="W36" s="4"/>
      <c r="X36" s="9" t="s">
        <v>124</v>
      </c>
      <c r="Y36" s="9" t="s">
        <v>125</v>
      </c>
      <c r="Z36" s="106" t="s">
        <v>127</v>
      </c>
      <c r="AA36" s="4"/>
      <c r="AB36" s="49" t="s">
        <v>72</v>
      </c>
      <c r="AC36" s="49" t="s">
        <v>50</v>
      </c>
      <c r="AD36" s="49" t="s">
        <v>103</v>
      </c>
      <c r="AE36" s="405" t="s">
        <v>326</v>
      </c>
      <c r="AF36" s="402" t="s">
        <v>322</v>
      </c>
      <c r="AG36" s="402" t="s">
        <v>324</v>
      </c>
      <c r="AH36" s="404" t="s">
        <v>323</v>
      </c>
      <c r="AI36" s="66" t="s">
        <v>75</v>
      </c>
      <c r="AJ36" s="402" t="s">
        <v>378</v>
      </c>
      <c r="AK36" s="402" t="s">
        <v>327</v>
      </c>
      <c r="AL36" s="402" t="s">
        <v>379</v>
      </c>
      <c r="AM36" s="50" t="s">
        <v>121</v>
      </c>
      <c r="AN36" s="402" t="s">
        <v>138</v>
      </c>
      <c r="AO36" s="297" t="s">
        <v>325</v>
      </c>
      <c r="AP36" s="49" t="s">
        <v>71</v>
      </c>
      <c r="AQ36" s="49" t="s">
        <v>80</v>
      </c>
      <c r="AR36" s="49" t="s">
        <v>328</v>
      </c>
      <c r="AS36" s="49" t="s">
        <v>113</v>
      </c>
      <c r="AT36" s="68" t="s">
        <v>52</v>
      </c>
      <c r="AU36" s="61" t="s">
        <v>79</v>
      </c>
      <c r="AV36" s="61" t="s">
        <v>74</v>
      </c>
      <c r="AW36" s="50" t="s">
        <v>73</v>
      </c>
      <c r="AX36" s="4"/>
      <c r="AY36" s="195" t="s">
        <v>81</v>
      </c>
      <c r="AZ36" s="196" t="s">
        <v>82</v>
      </c>
      <c r="BA36" s="196" t="s">
        <v>83</v>
      </c>
      <c r="BB36" s="196" t="s">
        <v>84</v>
      </c>
      <c r="BC36" s="196" t="s">
        <v>85</v>
      </c>
      <c r="BD36" s="196" t="s">
        <v>231</v>
      </c>
      <c r="BE36" s="196" t="s">
        <v>232</v>
      </c>
      <c r="BF36" s="196" t="s">
        <v>233</v>
      </c>
      <c r="BG36" s="197" t="s">
        <v>238</v>
      </c>
      <c r="BH36" s="4"/>
      <c r="BI36" s="195" t="s">
        <v>234</v>
      </c>
      <c r="BJ36" s="196" t="s">
        <v>235</v>
      </c>
      <c r="BK36" s="196" t="s">
        <v>236</v>
      </c>
      <c r="BL36" s="196" t="s">
        <v>237</v>
      </c>
      <c r="BM36" s="197" t="s">
        <v>239</v>
      </c>
      <c r="BN36" s="4"/>
      <c r="BO36" s="195" t="s">
        <v>210</v>
      </c>
      <c r="BP36" s="196" t="s">
        <v>87</v>
      </c>
      <c r="BQ36" s="250" t="s">
        <v>88</v>
      </c>
      <c r="BR36" s="196" t="s">
        <v>89</v>
      </c>
      <c r="BS36" s="205" t="s">
        <v>90</v>
      </c>
      <c r="BT36" s="205" t="s">
        <v>91</v>
      </c>
      <c r="BU36" s="196" t="s">
        <v>247</v>
      </c>
      <c r="BV36" s="197" t="s">
        <v>248</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row>
    <row r="37" spans="1:116">
      <c r="A37" s="33"/>
      <c r="B37" s="327">
        <f>Y37</f>
        <v>40</v>
      </c>
      <c r="C37" s="397">
        <v>1</v>
      </c>
      <c r="D37" s="939"/>
      <c r="E37" s="940"/>
      <c r="F37" s="475"/>
      <c r="G37" s="482"/>
      <c r="H37" s="464"/>
      <c r="I37" s="465"/>
      <c r="J37" s="485"/>
      <c r="K37" s="486"/>
      <c r="L37" s="487"/>
      <c r="M37" s="488"/>
      <c r="N37" s="370" t="str">
        <f t="shared" ref="N37:N68" ca="1" si="1">IF(AND(AP37=TRUE,AQ37=TRUE,InputIssues=0),IF(L37="device",2,IF(AT37=FALSE,1,0.5)*L37/M37),"")</f>
        <v/>
      </c>
      <c r="O37" s="371" t="str">
        <f t="shared" ref="O37:O68" ca="1" si="2">IF(AND(AP37=TRUE,InputIssues=0),IF(O$36=F$182,BG37,IF(O$36=G$182,BL37,BL37/BG37)),"")</f>
        <v/>
      </c>
      <c r="P37" s="372">
        <f t="shared" ref="P37:P68" ca="1" si="3">IF(InputIssues=0,MAX(G37*H37,I37),0)</f>
        <v>0</v>
      </c>
      <c r="Q37" s="392" t="str">
        <f t="shared" ref="Q37:Q116" ca="1" si="4">IF(AllInputsOK=FALSE,"",BO37/ConductanceAccess)</f>
        <v/>
      </c>
      <c r="R37" s="381" t="str">
        <f t="shared" ref="R37:R68" ca="1" si="5">IF(AllInputsOK=FALSE,"",BU37)</f>
        <v/>
      </c>
      <c r="S37" s="382">
        <f t="shared" ref="S37:S116" ca="1" si="6">IF(AND(AllInputsOK=FALSE,BP37&gt;0),"",BP37)</f>
        <v>0</v>
      </c>
      <c r="T37" s="383" t="str">
        <f t="shared" ref="T37:T68" ca="1" si="7">IF(AllInputsOK=FALSE,"",BV37)</f>
        <v/>
      </c>
      <c r="U37" s="5"/>
      <c r="V37" s="6"/>
      <c r="W37" s="4"/>
      <c r="X37" s="4">
        <v>1</v>
      </c>
      <c r="Y37" s="104">
        <f t="shared" ref="Y37:Y75" si="8">IF(AND(RowsPreferred&lt;LastActive,LastActive&gt;=X37),LastActive,IF(RowsPreferred&gt;=X37,RowsPreferred,"-"))</f>
        <v>40</v>
      </c>
      <c r="Z37" s="104">
        <f>IF(AC37=TRUE,1,0)</f>
        <v>0</v>
      </c>
      <c r="AA37" s="103"/>
      <c r="AB37" s="51">
        <f>COUNTA(D37:M37)</f>
        <v>0</v>
      </c>
      <c r="AC37" s="52">
        <f>IF(SUM(AB37:AB$116)=0,0,F37&gt;0)</f>
        <v>0</v>
      </c>
      <c r="AD37" s="51">
        <f>COUNTA(G37:M37)</f>
        <v>0</v>
      </c>
      <c r="AE37" s="52">
        <f>IF(SUM(AB37:AB$116)=0,0,AND(AC37=FALSE,AD37=0,SUM(AD37:AD$116)&gt;0))</f>
        <v>0</v>
      </c>
      <c r="AF37" s="52">
        <f t="shared" ref="AF37" si="9">IF(AB37=0,0,AND(AC37=FALSE,AD37&gt;0))</f>
        <v>0</v>
      </c>
      <c r="AG37" s="403">
        <f>IF(AB37=0,0,AND(AH37&lt;&gt;TRUE,COUNTIF(AJ37:AO37,TRUE)=0,G37=0,L37&lt;&gt;"device",M37&gt;0))</f>
        <v>0</v>
      </c>
      <c r="AH37" s="403">
        <f>IF(AB37=0,0,AND(AC37=TRUE,G37*H37=0,I37=0))</f>
        <v>0</v>
      </c>
      <c r="AI37" s="412">
        <f>IF(H37=0,0,G37*H37&lt;I37)</f>
        <v>0</v>
      </c>
      <c r="AJ37" s="403">
        <f>IF(AB37=0,0,AND(AC37=TRUE,AH37=FALSE,ISBLANK(J37)))</f>
        <v>0</v>
      </c>
      <c r="AK37" s="403" t="str">
        <f>IF(AND(AJ37=TRUE,AL37=TRUE),AK$36,"")</f>
        <v/>
      </c>
      <c r="AL37" s="403">
        <f>IF(AB37=0,0,AND(AC37=TRUE,AH37=FALSE,ISBLANK(K37)))</f>
        <v>0</v>
      </c>
      <c r="AM37" s="403">
        <f>IF(AB37=0,0,AND(AJ37=FALSE,AL37=FALSE,OR(L37&lt;0,AND(ISTEXT(L37),L37&lt;&gt;"device"))))</f>
        <v>0</v>
      </c>
      <c r="AN37" s="403">
        <f>IF(AB37=0,0,AND(AC37=TRUE,AH37=FALSE,AJ37=FALSE,AL37=FALSE,AM37=FALSE,L37&gt;0,L37&lt;&gt;"device",M37=0))</f>
        <v>0</v>
      </c>
      <c r="AO37" s="403">
        <f>IF(AB37=0,0,AND(AC37=TRUE,AH37=FALSE,AJ37=FALSE,AL37=FALSE,M37&gt;0,OR(L37=0,L37="device")))</f>
        <v>0</v>
      </c>
      <c r="AP37" s="52">
        <f>IF(AND(AB37=0,AE37&lt;&gt;TRUE),0,AND(AC37=TRUE,COUNTIF(AE37:AH37,TRUE)=0,COUNTIF(AJ37:AO37,TRUE)=0))</f>
        <v>0</v>
      </c>
      <c r="AQ37" s="52">
        <f>IF(AB37=0,0,AND(L37&gt;0,AP37=TRUE))</f>
        <v>0</v>
      </c>
      <c r="AR37" s="51">
        <f>IF(AND(AB37=0,AE37&lt;&gt;TRUE),0,COUNTIF(AF37:AH37,TRUE)+COUNTIF(AJ37:AO37,TRUE))</f>
        <v>0</v>
      </c>
      <c r="AS37" s="408" t="str">
        <f>IF(AR37&gt;0,"Input "&amp;IF(AC37=TRUE,"alert","issue")&amp;IF(AR37=1,": ","s: "),"")&amp;IF(AE37=TRUE,AE$36,"")&amp;IF(AF37=TRUE,AF$36&amp;" (but "&amp;AD37&amp;" input"&amp;IF(AD37=1,") ","s) "),"")&amp;IF(AG37=TRUE,AG$36&amp;" ","")&amp;IF(AH37=TRUE,AH$36&amp;" ","")&amp;IF(AJ37=TRUE,AJ$36,"")&amp;AK37&amp;IF(AL37=TRUE,AL$36,"")&amp;IF(OR(AJ37=TRUE,AL37=TRUE)," needed","")&amp;IF(AM37=TRUE,AM$36&amp;" ","")&amp;IF(AN37=TRUE,AN$36&amp;" ","")&amp;IF(AO37=TRUE,IF(L37="device","shading H not needed",AO$36),"")</f>
        <v/>
      </c>
      <c r="AT37" s="52">
        <f t="shared" ref="AT37:AT68" si="10">IF(AB37=0,0,AND(G37&gt;0,M37-G37&gt;0.5))</f>
        <v>0</v>
      </c>
      <c r="AU37" s="52">
        <f t="shared" ref="AU37:AU68" si="11">IF(AB37=0,0,AND(ISNUMBER(N37),N37&gt;2))</f>
        <v>0</v>
      </c>
      <c r="AV37" s="52">
        <f t="shared" ref="AV37:AV68" si="12">IF(AB37=0,0,AND(AC37=TRUE,COUNT(G37:I37)=3,G37*H37&lt;&gt;I37))</f>
        <v>0</v>
      </c>
      <c r="AW37" s="52" t="b">
        <f t="shared" ref="AW37:AW68" ca="1" si="13">AND(UpperInputsAlerts=0,DudTableInputs=0,COUNTIF(BS37:BT37,TRUE)&lt;&gt;0)</f>
        <v>0</v>
      </c>
      <c r="AX37" s="69"/>
      <c r="AY37" s="198">
        <f t="shared" ref="AY37:AY68" ca="1" si="14">IF(N37="",0,INDEX(Projections,MATCH(N37,Projections,1),1))</f>
        <v>0</v>
      </c>
      <c r="AZ37" s="71">
        <f t="shared" ref="AZ37:AZ68" ca="1" si="15">IF(N37="",0,IF(AY37=2,2,INDEX(Projections,MATCH(N37,Projections,1)+1,1)))</f>
        <v>0</v>
      </c>
      <c r="BA37" s="71">
        <f ca="1">AZ37-AY37</f>
        <v>0</v>
      </c>
      <c r="BB37" s="74">
        <f t="shared" ref="BB37:BB68" ca="1" si="16">IF(OR(N37="",BA37=0),0,(N37-AY37)/BA37)</f>
        <v>0</v>
      </c>
      <c r="BC37" s="208">
        <f t="shared" ref="BC37:BC68" si="17">IF(OR(AB37=0,AP37&lt;&gt;TRUE),0,F37)</f>
        <v>0</v>
      </c>
      <c r="BD37" s="71">
        <f>IF(AND($AP37=TRUE,Zone=0),10,IF(OR($BC37=0,$BC37=FALSE),0,INDEX(ExposuresSummer,MATCH($AY37,Projections,1),MATCH($BC37,Directions,0),Zone)))</f>
        <v>0</v>
      </c>
      <c r="BE37" s="71">
        <f>IF(AND($AP37=TRUE,Zone=0),10,IF(OR($BC37=0,$BC37=FALSE),0,INDEX(ExposuresSummer,MATCH($AZ37,Projections,1),MATCH($BC37,Directions,0),Zone)))</f>
        <v>0</v>
      </c>
      <c r="BF37" s="71">
        <f>BD37-BE37</f>
        <v>0</v>
      </c>
      <c r="BG37" s="199">
        <f ca="1">BD37-BF37*$BB37</f>
        <v>0</v>
      </c>
      <c r="BH37" s="4"/>
      <c r="BI37" s="198">
        <f t="shared" ref="BI37:BI116" si="18">IF(AND($AP37=TRUE,Zone=0),10,IF(OR($BC37=0,$BC37=FALSE),0,INDEX(ExposuresWinter,MATCH($AY37,Projections,1),MATCH($BC37,Directions,0),Zone)))</f>
        <v>0</v>
      </c>
      <c r="BJ37" s="71">
        <f t="shared" ref="BJ37:BJ116" si="19">IF(AND($AP37=TRUE,Zone=0),10,IF(OR($BC37=0,$BC37=FALSE),0,INDEX(ExposuresWinter,MATCH($AZ37,Projections,1),MATCH($BC37,Directions,0),Zone)))</f>
        <v>0</v>
      </c>
      <c r="BK37" s="71">
        <f>BI37-BJ37</f>
        <v>0</v>
      </c>
      <c r="BL37" s="71">
        <f ca="1">BI37-BK37*$BB37</f>
        <v>0</v>
      </c>
      <c r="BM37" s="199">
        <f t="shared" ref="BM37:BM68" ca="1" si="20">P37*K37*BL37</f>
        <v>0</v>
      </c>
      <c r="BN37" s="4"/>
      <c r="BO37" s="198">
        <f t="shared" ref="BO37:BO68" si="21">IF(AP37=TRUE,IF(P37="",0,P37)*J37,0)</f>
        <v>0</v>
      </c>
      <c r="BP37" s="71">
        <f t="shared" ref="BP37:BP68" ca="1" si="22">K37*IF(P37="",0,P37)*BG37</f>
        <v>0</v>
      </c>
      <c r="BQ37" s="78">
        <f>IF(AP37&lt;&gt;TRUE,0,BO37/BO$34)</f>
        <v>0</v>
      </c>
      <c r="BR37" s="78">
        <f t="shared" ref="BR37:BR116" si="23">IF(AP37&lt;&gt;TRUE,0,BP37/BP$26)</f>
        <v>0</v>
      </c>
      <c r="BS37" s="80">
        <f t="shared" ref="BS37:BS68" ca="1" si="24">IF(SUM(BO37:BP37)=0,0,AND(AC37=TRUE,BO$27&lt;0))</f>
        <v>0</v>
      </c>
      <c r="BT37" s="80">
        <f t="shared" ref="BT37:BT68" ca="1" si="25">IF(SUM(BO37:BP37)=0,0,AND(AC37=TRUE,BP$27&lt;0))</f>
        <v>0</v>
      </c>
      <c r="BU37" s="259" t="str">
        <f t="shared" ref="BU37:BU116" ca="1" si="26">IF(SUM(BO37:BP37)=0,"",TEXT(BQ37,IF(BQ37&lt;0.005,"0.0%","0%"))&amp;" of "&amp;TEXT(BO$28,"0%"))</f>
        <v/>
      </c>
      <c r="BV37" s="206" t="str">
        <f t="shared" ref="BV37:BV116" ca="1" si="27">IF(SUM(BO37:BP37)=0,"",TEXT(BR37,IF(BR37&lt;0.005,"0.0%","0%"))&amp;" of "&amp;TEXT(BP$28,"0%"))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row>
    <row r="38" spans="1:116">
      <c r="A38" s="5"/>
      <c r="B38" s="327">
        <f t="shared" ref="B38:B116" si="28">Y38</f>
        <v>40</v>
      </c>
      <c r="C38" s="398">
        <v>2</v>
      </c>
      <c r="D38" s="931"/>
      <c r="E38" s="941"/>
      <c r="F38" s="476"/>
      <c r="G38" s="483"/>
      <c r="H38" s="466"/>
      <c r="I38" s="467"/>
      <c r="J38" s="489"/>
      <c r="K38" s="490"/>
      <c r="L38" s="491"/>
      <c r="M38" s="492"/>
      <c r="N38" s="373" t="str">
        <f t="shared" ca="1" si="1"/>
        <v/>
      </c>
      <c r="O38" s="374" t="str">
        <f t="shared" ca="1" si="2"/>
        <v/>
      </c>
      <c r="P38" s="375">
        <f t="shared" ca="1" si="3"/>
        <v>0</v>
      </c>
      <c r="Q38" s="384" t="str">
        <f t="shared" ca="1" si="4"/>
        <v/>
      </c>
      <c r="R38" s="385" t="str">
        <f t="shared" ca="1" si="5"/>
        <v/>
      </c>
      <c r="S38" s="386">
        <f t="shared" ca="1" si="6"/>
        <v>0</v>
      </c>
      <c r="T38" s="387" t="str">
        <f t="shared" ca="1" si="7"/>
        <v/>
      </c>
      <c r="U38" s="5"/>
      <c r="V38" s="6"/>
      <c r="W38" s="4"/>
      <c r="X38" s="4">
        <v>2</v>
      </c>
      <c r="Y38" s="104">
        <f t="shared" si="8"/>
        <v>40</v>
      </c>
      <c r="Z38" s="104">
        <f t="shared" ref="Z38:Z75" si="29">IF(AC38=TRUE,1,0)</f>
        <v>0</v>
      </c>
      <c r="AA38" s="4"/>
      <c r="AB38" s="53">
        <f>COUNTA(D38:M38)</f>
        <v>0</v>
      </c>
      <c r="AC38" s="54">
        <f>IF(SUM(AB38:AB$116)=0,0,F38&gt;0)</f>
        <v>0</v>
      </c>
      <c r="AD38" s="53">
        <f>COUNTA(G38:M38)</f>
        <v>0</v>
      </c>
      <c r="AE38" s="54">
        <f>IF(SUM(AB38:AB$116)=0,0,AND(AC38=FALSE,AD38=0,SUM(AD38:AD$116)&gt;0))</f>
        <v>0</v>
      </c>
      <c r="AF38" s="54">
        <f t="shared" ref="AF38:AF101" si="30">IF(AB38=0,0,AND(AC38=FALSE,AD38&gt;0))</f>
        <v>0</v>
      </c>
      <c r="AG38" s="54">
        <f t="shared" ref="AG38:AG101" si="31">IF(AB38=0,0,AND(AH38&lt;&gt;TRUE,COUNTIF(AJ38:AO38,TRUE)=0,G38=0,L38&lt;&gt;"device",M38&gt;0))</f>
        <v>0</v>
      </c>
      <c r="AH38" s="56">
        <f t="shared" ref="AH38:AH101" si="32">IF(AB38=0,0,AND(AC38=TRUE,G38*H38=0,I38=0))</f>
        <v>0</v>
      </c>
      <c r="AI38" s="56">
        <f t="shared" ref="AI38:AI101" si="33">IF(H38=0,0,G38*H38&lt;I38)</f>
        <v>0</v>
      </c>
      <c r="AJ38" s="54">
        <f t="shared" ref="AJ38:AJ101" si="34">IF(AB38=0,0,AND(AC38=TRUE,AH38=FALSE,ISBLANK(J38)))</f>
        <v>0</v>
      </c>
      <c r="AK38" s="54" t="str">
        <f t="shared" ref="AK38:AK101" si="35">IF(AND(AJ38=TRUE,AL38=TRUE),AK$36,"")</f>
        <v/>
      </c>
      <c r="AL38" s="54">
        <f t="shared" ref="AL38:AL101" si="36">IF(AB38=0,0,AND(AC38=TRUE,AH38=FALSE,ISBLANK(K38)))</f>
        <v>0</v>
      </c>
      <c r="AM38" s="54">
        <f t="shared" ref="AM38:AM101" si="37">IF(AB38=0,0,AND(AJ38=FALSE,AL38=FALSE,OR(L38&lt;0,AND(ISTEXT(L38),L38&lt;&gt;"device"))))</f>
        <v>0</v>
      </c>
      <c r="AN38" s="54">
        <f t="shared" ref="AN38:AN101" si="38">IF(AB38=0,0,AND(AC38=TRUE,AH38=FALSE,AJ38=FALSE,AL38=FALSE,AM38=FALSE,L38&gt;0,L38&lt;&gt;"device",M38=0))</f>
        <v>0</v>
      </c>
      <c r="AO38" s="54">
        <f t="shared" ref="AO38:AO101" si="39">IF(AB38=0,0,AND(AC38=TRUE,AH38=FALSE,AJ38=FALSE,AL38=FALSE,M38&gt;0,OR(L38=0,L38="device")))</f>
        <v>0</v>
      </c>
      <c r="AP38" s="54">
        <f t="shared" ref="AP38:AP101" si="40">IF(AND(AB38=0,AE38&lt;&gt;TRUE),0,AND(AC38=TRUE,COUNTIF(AE38:AH38,TRUE)=0,COUNTIF(AJ38:AO38,TRUE)=0))</f>
        <v>0</v>
      </c>
      <c r="AQ38" s="54">
        <f t="shared" ref="AQ38:AQ101" si="41">IF(AB38=0,0,AND(L38&gt;0,AP38=TRUE))</f>
        <v>0</v>
      </c>
      <c r="AR38" s="53">
        <f t="shared" ref="AR38:AR101" si="42">IF(AND(AB38=0,AE38&lt;&gt;TRUE),0,COUNTIF(AF38:AH38,TRUE)+COUNTIF(AJ38:AO38,TRUE))</f>
        <v>0</v>
      </c>
      <c r="AS38" s="409" t="str">
        <f t="shared" ref="AS38:AS101" si="43">IF(AR38&gt;0,"Input "&amp;IF(AC38=TRUE,"alert","issue")&amp;IF(AR38=1,": ","s: "),"")&amp;IF(AE38=TRUE,AE$36,"")&amp;IF(AF38=TRUE,AF$36&amp;" (but "&amp;AD38&amp;" input"&amp;IF(AD38=1,") ","s) "),"")&amp;IF(AG38=TRUE,AG$36&amp;" ","")&amp;IF(AH38=TRUE,AH$36&amp;" ","")&amp;IF(AJ38=TRUE,AJ$36,"")&amp;AK38&amp;IF(AL38=TRUE,AL$36,"")&amp;IF(OR(AJ38=TRUE,AL38=TRUE)," needed","")&amp;IF(AM38=TRUE,AM$36&amp;" ","")&amp;IF(AN38=TRUE,AN$36&amp;" ","")&amp;IF(AO38=TRUE,IF(L38="device","shading H not needed",AO$36),"")</f>
        <v/>
      </c>
      <c r="AT38" s="54">
        <f t="shared" si="10"/>
        <v>0</v>
      </c>
      <c r="AU38" s="54">
        <f t="shared" si="11"/>
        <v>0</v>
      </c>
      <c r="AV38" s="54">
        <f t="shared" si="12"/>
        <v>0</v>
      </c>
      <c r="AW38" s="55" t="b">
        <f t="shared" ca="1" si="13"/>
        <v>0</v>
      </c>
      <c r="AX38" s="69"/>
      <c r="AY38" s="203">
        <f t="shared" ca="1" si="14"/>
        <v>0</v>
      </c>
      <c r="AZ38" s="72">
        <f t="shared" ca="1" si="15"/>
        <v>0</v>
      </c>
      <c r="BA38" s="72">
        <f t="shared" ref="BA38:BA116" ca="1" si="44">AZ38-AY38</f>
        <v>0</v>
      </c>
      <c r="BB38" s="74">
        <f t="shared" ca="1" si="16"/>
        <v>0</v>
      </c>
      <c r="BC38" s="209">
        <f t="shared" si="17"/>
        <v>0</v>
      </c>
      <c r="BD38" s="72">
        <f t="shared" ref="BD38:BD116" si="45">IF(AND(AP38=TRUE,Zone=0),10,IF(OR(BC38=0,BC38=FALSE),0,INDEX(ExposuresSummer,MATCH(AY38,Projections,1),MATCH(BC38,Directions,0),Zone)))</f>
        <v>0</v>
      </c>
      <c r="BE38" s="72">
        <f t="shared" ref="BE38:BE116" si="46">IF(AND(AP38=TRUE,Zone=0),10,IF(OR(BC38=0,BC38=FALSE),0,INDEX(ExposuresSummer,MATCH(AZ38,Projections,1),MATCH(BC38,Directions,0),Zone)))</f>
        <v>0</v>
      </c>
      <c r="BF38" s="72">
        <f t="shared" ref="BF38:BF116" si="47">BD38-BE38</f>
        <v>0</v>
      </c>
      <c r="BG38" s="200">
        <f t="shared" ref="BG38:BG116" ca="1" si="48">BD38-BF38*BB38</f>
        <v>0</v>
      </c>
      <c r="BH38" s="4"/>
      <c r="BI38" s="198">
        <f t="shared" si="18"/>
        <v>0</v>
      </c>
      <c r="BJ38" s="71">
        <f t="shared" si="19"/>
        <v>0</v>
      </c>
      <c r="BK38" s="72">
        <f t="shared" ref="BK38:BK116" si="49">BI38-BJ38</f>
        <v>0</v>
      </c>
      <c r="BL38" s="72">
        <f t="shared" ref="BL38:BL116" ca="1" si="50">BI38-BK38*$BB38</f>
        <v>0</v>
      </c>
      <c r="BM38" s="200">
        <f t="shared" ca="1" si="20"/>
        <v>0</v>
      </c>
      <c r="BN38" s="4"/>
      <c r="BO38" s="198">
        <f t="shared" si="21"/>
        <v>0</v>
      </c>
      <c r="BP38" s="72">
        <f t="shared" ca="1" si="22"/>
        <v>0</v>
      </c>
      <c r="BQ38" s="78">
        <f t="shared" ref="BQ38:BQ116" si="51">IF(AP38&lt;&gt;TRUE,0,BO38/BO$34)</f>
        <v>0</v>
      </c>
      <c r="BR38" s="78">
        <f t="shared" si="23"/>
        <v>0</v>
      </c>
      <c r="BS38" s="80">
        <f t="shared" ca="1" si="24"/>
        <v>0</v>
      </c>
      <c r="BT38" s="80">
        <f t="shared" ca="1" si="25"/>
        <v>0</v>
      </c>
      <c r="BU38" s="259" t="str">
        <f t="shared" ca="1" si="26"/>
        <v/>
      </c>
      <c r="BV38" s="206" t="str">
        <f t="shared" ca="1" si="27"/>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row>
    <row r="39" spans="1:116">
      <c r="A39" s="5"/>
      <c r="B39" s="327">
        <f t="shared" si="28"/>
        <v>40</v>
      </c>
      <c r="C39" s="398">
        <v>3</v>
      </c>
      <c r="D39" s="931"/>
      <c r="E39" s="941"/>
      <c r="F39" s="476"/>
      <c r="G39" s="483"/>
      <c r="H39" s="466"/>
      <c r="I39" s="467"/>
      <c r="J39" s="489"/>
      <c r="K39" s="490"/>
      <c r="L39" s="491"/>
      <c r="M39" s="492"/>
      <c r="N39" s="373" t="str">
        <f t="shared" ca="1" si="1"/>
        <v/>
      </c>
      <c r="O39" s="374" t="str">
        <f t="shared" ca="1" si="2"/>
        <v/>
      </c>
      <c r="P39" s="375">
        <f t="shared" ca="1" si="3"/>
        <v>0</v>
      </c>
      <c r="Q39" s="384" t="str">
        <f t="shared" ca="1" si="4"/>
        <v/>
      </c>
      <c r="R39" s="385" t="str">
        <f t="shared" ca="1" si="5"/>
        <v/>
      </c>
      <c r="S39" s="386">
        <f t="shared" ca="1" si="6"/>
        <v>0</v>
      </c>
      <c r="T39" s="387" t="str">
        <f t="shared" ca="1" si="7"/>
        <v/>
      </c>
      <c r="U39" s="5"/>
      <c r="V39" s="6"/>
      <c r="W39" s="4"/>
      <c r="X39" s="4">
        <v>3</v>
      </c>
      <c r="Y39" s="104">
        <f t="shared" si="8"/>
        <v>40</v>
      </c>
      <c r="Z39" s="104">
        <f t="shared" si="29"/>
        <v>0</v>
      </c>
      <c r="AA39" s="4"/>
      <c r="AB39" s="53">
        <f t="shared" ref="AB39:AB116" si="52">COUNTA(D39:M39)</f>
        <v>0</v>
      </c>
      <c r="AC39" s="54">
        <f>IF(SUM(AB39:AB$116)=0,0,F39&gt;0)</f>
        <v>0</v>
      </c>
      <c r="AD39" s="53">
        <f t="shared" ref="AD39:AD116" si="53">COUNTA(G39:M39)</f>
        <v>0</v>
      </c>
      <c r="AE39" s="54">
        <f>IF(SUM(AB39:AB$116)=0,0,AND(AC39=FALSE,AD39=0,SUM(AD39:AD$116)&gt;0))</f>
        <v>0</v>
      </c>
      <c r="AF39" s="54">
        <f t="shared" si="30"/>
        <v>0</v>
      </c>
      <c r="AG39" s="54">
        <f t="shared" si="31"/>
        <v>0</v>
      </c>
      <c r="AH39" s="56">
        <f t="shared" si="32"/>
        <v>0</v>
      </c>
      <c r="AI39" s="56">
        <f t="shared" si="33"/>
        <v>0</v>
      </c>
      <c r="AJ39" s="54">
        <f t="shared" si="34"/>
        <v>0</v>
      </c>
      <c r="AK39" s="54" t="str">
        <f t="shared" si="35"/>
        <v/>
      </c>
      <c r="AL39" s="54">
        <f t="shared" si="36"/>
        <v>0</v>
      </c>
      <c r="AM39" s="54">
        <f t="shared" si="37"/>
        <v>0</v>
      </c>
      <c r="AN39" s="54">
        <f t="shared" si="38"/>
        <v>0</v>
      </c>
      <c r="AO39" s="54">
        <f t="shared" si="39"/>
        <v>0</v>
      </c>
      <c r="AP39" s="54">
        <f t="shared" si="40"/>
        <v>0</v>
      </c>
      <c r="AQ39" s="54">
        <f t="shared" si="41"/>
        <v>0</v>
      </c>
      <c r="AR39" s="53">
        <f t="shared" si="42"/>
        <v>0</v>
      </c>
      <c r="AS39" s="409" t="str">
        <f t="shared" si="43"/>
        <v/>
      </c>
      <c r="AT39" s="54">
        <f t="shared" si="10"/>
        <v>0</v>
      </c>
      <c r="AU39" s="54">
        <f t="shared" si="11"/>
        <v>0</v>
      </c>
      <c r="AV39" s="54">
        <f t="shared" si="12"/>
        <v>0</v>
      </c>
      <c r="AW39" s="55" t="b">
        <f t="shared" ca="1" si="13"/>
        <v>0</v>
      </c>
      <c r="AX39" s="69"/>
      <c r="AY39" s="203">
        <f t="shared" ca="1" si="14"/>
        <v>0</v>
      </c>
      <c r="AZ39" s="72">
        <f t="shared" ca="1" si="15"/>
        <v>0</v>
      </c>
      <c r="BA39" s="72">
        <f t="shared" ca="1" si="44"/>
        <v>0</v>
      </c>
      <c r="BB39" s="75">
        <f t="shared" ca="1" si="16"/>
        <v>0</v>
      </c>
      <c r="BC39" s="209">
        <f t="shared" si="17"/>
        <v>0</v>
      </c>
      <c r="BD39" s="72">
        <f t="shared" si="45"/>
        <v>0</v>
      </c>
      <c r="BE39" s="72">
        <f t="shared" si="46"/>
        <v>0</v>
      </c>
      <c r="BF39" s="72">
        <f t="shared" si="47"/>
        <v>0</v>
      </c>
      <c r="BG39" s="200">
        <f t="shared" ca="1" si="48"/>
        <v>0</v>
      </c>
      <c r="BH39" s="4"/>
      <c r="BI39" s="198">
        <f t="shared" si="18"/>
        <v>0</v>
      </c>
      <c r="BJ39" s="71">
        <f t="shared" si="19"/>
        <v>0</v>
      </c>
      <c r="BK39" s="72">
        <f t="shared" si="49"/>
        <v>0</v>
      </c>
      <c r="BL39" s="72">
        <f t="shared" ca="1" si="50"/>
        <v>0</v>
      </c>
      <c r="BM39" s="200">
        <f t="shared" ca="1" si="20"/>
        <v>0</v>
      </c>
      <c r="BN39" s="4"/>
      <c r="BO39" s="198">
        <f t="shared" si="21"/>
        <v>0</v>
      </c>
      <c r="BP39" s="72">
        <f t="shared" ca="1" si="22"/>
        <v>0</v>
      </c>
      <c r="BQ39" s="78">
        <f t="shared" si="51"/>
        <v>0</v>
      </c>
      <c r="BR39" s="78">
        <f t="shared" si="23"/>
        <v>0</v>
      </c>
      <c r="BS39" s="80">
        <f t="shared" ca="1" si="24"/>
        <v>0</v>
      </c>
      <c r="BT39" s="80">
        <f t="shared" ca="1" si="25"/>
        <v>0</v>
      </c>
      <c r="BU39" s="259" t="str">
        <f t="shared" ca="1" si="26"/>
        <v/>
      </c>
      <c r="BV39" s="206" t="str">
        <f t="shared" ca="1" si="27"/>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row>
    <row r="40" spans="1:116">
      <c r="A40" s="5"/>
      <c r="B40" s="327">
        <f t="shared" si="28"/>
        <v>40</v>
      </c>
      <c r="C40" s="398">
        <v>4</v>
      </c>
      <c r="D40" s="962"/>
      <c r="E40" s="963"/>
      <c r="F40" s="476"/>
      <c r="G40" s="483"/>
      <c r="H40" s="466"/>
      <c r="I40" s="467"/>
      <c r="J40" s="489"/>
      <c r="K40" s="490"/>
      <c r="L40" s="491"/>
      <c r="M40" s="492"/>
      <c r="N40" s="373" t="str">
        <f t="shared" ca="1" si="1"/>
        <v/>
      </c>
      <c r="O40" s="374" t="str">
        <f t="shared" ca="1" si="2"/>
        <v/>
      </c>
      <c r="P40" s="375">
        <f t="shared" ca="1" si="3"/>
        <v>0</v>
      </c>
      <c r="Q40" s="384" t="str">
        <f t="shared" ca="1" si="4"/>
        <v/>
      </c>
      <c r="R40" s="385" t="str">
        <f t="shared" ca="1" si="5"/>
        <v/>
      </c>
      <c r="S40" s="386">
        <f t="shared" ca="1" si="6"/>
        <v>0</v>
      </c>
      <c r="T40" s="387" t="str">
        <f t="shared" ca="1" si="7"/>
        <v/>
      </c>
      <c r="U40" s="5"/>
      <c r="V40" s="6"/>
      <c r="W40" s="4"/>
      <c r="X40" s="4">
        <v>4</v>
      </c>
      <c r="Y40" s="104">
        <f t="shared" si="8"/>
        <v>40</v>
      </c>
      <c r="Z40" s="104">
        <f t="shared" si="29"/>
        <v>0</v>
      </c>
      <c r="AA40" s="4"/>
      <c r="AB40" s="53">
        <f t="shared" si="52"/>
        <v>0</v>
      </c>
      <c r="AC40" s="54">
        <f>IF(SUM(AB40:AB$116)=0,0,F40&gt;0)</f>
        <v>0</v>
      </c>
      <c r="AD40" s="53">
        <f t="shared" si="53"/>
        <v>0</v>
      </c>
      <c r="AE40" s="54">
        <f>IF(SUM(AB40:AB$116)=0,0,AND(AC40=FALSE,AD40=0,SUM(AD40:AD$116)&gt;0))</f>
        <v>0</v>
      </c>
      <c r="AF40" s="54">
        <f t="shared" si="30"/>
        <v>0</v>
      </c>
      <c r="AG40" s="54">
        <f t="shared" si="31"/>
        <v>0</v>
      </c>
      <c r="AH40" s="56">
        <f t="shared" si="32"/>
        <v>0</v>
      </c>
      <c r="AI40" s="56">
        <f t="shared" si="33"/>
        <v>0</v>
      </c>
      <c r="AJ40" s="54">
        <f t="shared" si="34"/>
        <v>0</v>
      </c>
      <c r="AK40" s="54" t="str">
        <f t="shared" si="35"/>
        <v/>
      </c>
      <c r="AL40" s="54">
        <f t="shared" si="36"/>
        <v>0</v>
      </c>
      <c r="AM40" s="54">
        <f t="shared" si="37"/>
        <v>0</v>
      </c>
      <c r="AN40" s="54">
        <f t="shared" si="38"/>
        <v>0</v>
      </c>
      <c r="AO40" s="54">
        <f t="shared" si="39"/>
        <v>0</v>
      </c>
      <c r="AP40" s="54">
        <f t="shared" si="40"/>
        <v>0</v>
      </c>
      <c r="AQ40" s="54">
        <f t="shared" si="41"/>
        <v>0</v>
      </c>
      <c r="AR40" s="53">
        <f t="shared" si="42"/>
        <v>0</v>
      </c>
      <c r="AS40" s="409" t="str">
        <f t="shared" si="43"/>
        <v/>
      </c>
      <c r="AT40" s="54">
        <f t="shared" si="10"/>
        <v>0</v>
      </c>
      <c r="AU40" s="54">
        <f t="shared" si="11"/>
        <v>0</v>
      </c>
      <c r="AV40" s="54">
        <f t="shared" si="12"/>
        <v>0</v>
      </c>
      <c r="AW40" s="55" t="b">
        <f t="shared" ca="1" si="13"/>
        <v>0</v>
      </c>
      <c r="AX40" s="69"/>
      <c r="AY40" s="203">
        <f t="shared" ca="1" si="14"/>
        <v>0</v>
      </c>
      <c r="AZ40" s="72">
        <f t="shared" ca="1" si="15"/>
        <v>0</v>
      </c>
      <c r="BA40" s="72">
        <f t="shared" ca="1" si="44"/>
        <v>0</v>
      </c>
      <c r="BB40" s="75">
        <f t="shared" ca="1" si="16"/>
        <v>0</v>
      </c>
      <c r="BC40" s="209">
        <f t="shared" si="17"/>
        <v>0</v>
      </c>
      <c r="BD40" s="72">
        <f t="shared" si="45"/>
        <v>0</v>
      </c>
      <c r="BE40" s="72">
        <f t="shared" si="46"/>
        <v>0</v>
      </c>
      <c r="BF40" s="72">
        <f t="shared" si="47"/>
        <v>0</v>
      </c>
      <c r="BG40" s="200">
        <f t="shared" ca="1" si="48"/>
        <v>0</v>
      </c>
      <c r="BH40" s="69"/>
      <c r="BI40" s="198">
        <f t="shared" si="18"/>
        <v>0</v>
      </c>
      <c r="BJ40" s="71">
        <f t="shared" si="19"/>
        <v>0</v>
      </c>
      <c r="BK40" s="72">
        <f t="shared" si="49"/>
        <v>0</v>
      </c>
      <c r="BL40" s="72">
        <f t="shared" ca="1" si="50"/>
        <v>0</v>
      </c>
      <c r="BM40" s="200">
        <f t="shared" ca="1" si="20"/>
        <v>0</v>
      </c>
      <c r="BN40" s="69"/>
      <c r="BO40" s="198">
        <f t="shared" si="21"/>
        <v>0</v>
      </c>
      <c r="BP40" s="72">
        <f t="shared" ca="1" si="22"/>
        <v>0</v>
      </c>
      <c r="BQ40" s="78">
        <f t="shared" si="51"/>
        <v>0</v>
      </c>
      <c r="BR40" s="78">
        <f t="shared" si="23"/>
        <v>0</v>
      </c>
      <c r="BS40" s="80">
        <f t="shared" ca="1" si="24"/>
        <v>0</v>
      </c>
      <c r="BT40" s="80">
        <f t="shared" ca="1" si="25"/>
        <v>0</v>
      </c>
      <c r="BU40" s="259" t="str">
        <f t="shared" ca="1" si="26"/>
        <v/>
      </c>
      <c r="BV40" s="206" t="str">
        <f t="shared" ca="1" si="27"/>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row>
    <row r="41" spans="1:116">
      <c r="A41" s="5"/>
      <c r="B41" s="327">
        <f t="shared" si="28"/>
        <v>40</v>
      </c>
      <c r="C41" s="398">
        <v>5</v>
      </c>
      <c r="D41" s="931"/>
      <c r="E41" s="941"/>
      <c r="F41" s="476"/>
      <c r="G41" s="483"/>
      <c r="H41" s="466"/>
      <c r="I41" s="467"/>
      <c r="J41" s="489"/>
      <c r="K41" s="490"/>
      <c r="L41" s="491"/>
      <c r="M41" s="492"/>
      <c r="N41" s="373" t="str">
        <f t="shared" ca="1" si="1"/>
        <v/>
      </c>
      <c r="O41" s="374" t="str">
        <f t="shared" ca="1" si="2"/>
        <v/>
      </c>
      <c r="P41" s="375">
        <f t="shared" ca="1" si="3"/>
        <v>0</v>
      </c>
      <c r="Q41" s="384" t="str">
        <f t="shared" ca="1" si="4"/>
        <v/>
      </c>
      <c r="R41" s="385" t="str">
        <f t="shared" ca="1" si="5"/>
        <v/>
      </c>
      <c r="S41" s="386">
        <f t="shared" ca="1" si="6"/>
        <v>0</v>
      </c>
      <c r="T41" s="387" t="str">
        <f t="shared" ca="1" si="7"/>
        <v/>
      </c>
      <c r="U41" s="5"/>
      <c r="V41" s="6"/>
      <c r="W41" s="4"/>
      <c r="X41" s="4">
        <v>5</v>
      </c>
      <c r="Y41" s="104">
        <f t="shared" si="8"/>
        <v>40</v>
      </c>
      <c r="Z41" s="104">
        <f t="shared" si="29"/>
        <v>0</v>
      </c>
      <c r="AA41" s="4"/>
      <c r="AB41" s="53">
        <f t="shared" si="52"/>
        <v>0</v>
      </c>
      <c r="AC41" s="54">
        <f>IF(SUM(AB41:AB$116)=0,0,F41&gt;0)</f>
        <v>0</v>
      </c>
      <c r="AD41" s="53">
        <f t="shared" si="53"/>
        <v>0</v>
      </c>
      <c r="AE41" s="54">
        <f>IF(SUM(AB41:AB$116)=0,0,AND(AC41=FALSE,AD41=0,SUM(AD41:AD$116)&gt;0))</f>
        <v>0</v>
      </c>
      <c r="AF41" s="54">
        <f t="shared" si="30"/>
        <v>0</v>
      </c>
      <c r="AG41" s="54">
        <f t="shared" si="31"/>
        <v>0</v>
      </c>
      <c r="AH41" s="56">
        <f t="shared" si="32"/>
        <v>0</v>
      </c>
      <c r="AI41" s="56">
        <f t="shared" si="33"/>
        <v>0</v>
      </c>
      <c r="AJ41" s="54">
        <f t="shared" si="34"/>
        <v>0</v>
      </c>
      <c r="AK41" s="54" t="str">
        <f t="shared" si="35"/>
        <v/>
      </c>
      <c r="AL41" s="54">
        <f t="shared" si="36"/>
        <v>0</v>
      </c>
      <c r="AM41" s="54">
        <f t="shared" si="37"/>
        <v>0</v>
      </c>
      <c r="AN41" s="54">
        <f t="shared" si="38"/>
        <v>0</v>
      </c>
      <c r="AO41" s="54">
        <f t="shared" si="39"/>
        <v>0</v>
      </c>
      <c r="AP41" s="54">
        <f t="shared" si="40"/>
        <v>0</v>
      </c>
      <c r="AQ41" s="54">
        <f t="shared" si="41"/>
        <v>0</v>
      </c>
      <c r="AR41" s="53">
        <f t="shared" si="42"/>
        <v>0</v>
      </c>
      <c r="AS41" s="409" t="str">
        <f t="shared" si="43"/>
        <v/>
      </c>
      <c r="AT41" s="54">
        <f t="shared" si="10"/>
        <v>0</v>
      </c>
      <c r="AU41" s="54">
        <f t="shared" si="11"/>
        <v>0</v>
      </c>
      <c r="AV41" s="54">
        <f t="shared" si="12"/>
        <v>0</v>
      </c>
      <c r="AW41" s="55" t="b">
        <f t="shared" ca="1" si="13"/>
        <v>0</v>
      </c>
      <c r="AX41" s="69"/>
      <c r="AY41" s="203">
        <f t="shared" ca="1" si="14"/>
        <v>0</v>
      </c>
      <c r="AZ41" s="72">
        <f t="shared" ca="1" si="15"/>
        <v>0</v>
      </c>
      <c r="BA41" s="72">
        <f t="shared" ca="1" si="44"/>
        <v>0</v>
      </c>
      <c r="BB41" s="75">
        <f t="shared" ca="1" si="16"/>
        <v>0</v>
      </c>
      <c r="BC41" s="209">
        <f t="shared" si="17"/>
        <v>0</v>
      </c>
      <c r="BD41" s="72">
        <f t="shared" si="45"/>
        <v>0</v>
      </c>
      <c r="BE41" s="72">
        <f t="shared" si="46"/>
        <v>0</v>
      </c>
      <c r="BF41" s="72">
        <f t="shared" si="47"/>
        <v>0</v>
      </c>
      <c r="BG41" s="200">
        <f t="shared" ca="1" si="48"/>
        <v>0</v>
      </c>
      <c r="BH41" s="69"/>
      <c r="BI41" s="198">
        <f t="shared" si="18"/>
        <v>0</v>
      </c>
      <c r="BJ41" s="71">
        <f t="shared" si="19"/>
        <v>0</v>
      </c>
      <c r="BK41" s="72">
        <f t="shared" si="49"/>
        <v>0</v>
      </c>
      <c r="BL41" s="72">
        <f t="shared" ca="1" si="50"/>
        <v>0</v>
      </c>
      <c r="BM41" s="200">
        <f t="shared" ca="1" si="20"/>
        <v>0</v>
      </c>
      <c r="BN41" s="69"/>
      <c r="BO41" s="198">
        <f t="shared" si="21"/>
        <v>0</v>
      </c>
      <c r="BP41" s="72">
        <f t="shared" ca="1" si="22"/>
        <v>0</v>
      </c>
      <c r="BQ41" s="78">
        <f t="shared" si="51"/>
        <v>0</v>
      </c>
      <c r="BR41" s="78">
        <f t="shared" si="23"/>
        <v>0</v>
      </c>
      <c r="BS41" s="80">
        <f t="shared" ca="1" si="24"/>
        <v>0</v>
      </c>
      <c r="BT41" s="80">
        <f t="shared" ca="1" si="25"/>
        <v>0</v>
      </c>
      <c r="BU41" s="259" t="str">
        <f t="shared" ca="1" si="26"/>
        <v/>
      </c>
      <c r="BV41" s="206" t="str">
        <f t="shared" ca="1" si="27"/>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row>
    <row r="42" spans="1:116">
      <c r="A42" s="5"/>
      <c r="B42" s="327">
        <f t="shared" si="28"/>
        <v>40</v>
      </c>
      <c r="C42" s="398">
        <v>6</v>
      </c>
      <c r="D42" s="931"/>
      <c r="E42" s="941"/>
      <c r="F42" s="476"/>
      <c r="G42" s="483"/>
      <c r="H42" s="466"/>
      <c r="I42" s="467"/>
      <c r="J42" s="489"/>
      <c r="K42" s="490"/>
      <c r="L42" s="491"/>
      <c r="M42" s="492"/>
      <c r="N42" s="373" t="str">
        <f t="shared" ca="1" si="1"/>
        <v/>
      </c>
      <c r="O42" s="374" t="str">
        <f t="shared" ca="1" si="2"/>
        <v/>
      </c>
      <c r="P42" s="375">
        <f t="shared" ca="1" si="3"/>
        <v>0</v>
      </c>
      <c r="Q42" s="384" t="str">
        <f t="shared" ca="1" si="4"/>
        <v/>
      </c>
      <c r="R42" s="385" t="str">
        <f t="shared" ca="1" si="5"/>
        <v/>
      </c>
      <c r="S42" s="386">
        <f t="shared" ca="1" si="6"/>
        <v>0</v>
      </c>
      <c r="T42" s="387" t="str">
        <f t="shared" ca="1" si="7"/>
        <v/>
      </c>
      <c r="U42" s="5"/>
      <c r="V42" s="6"/>
      <c r="W42" s="4"/>
      <c r="X42" s="4">
        <v>6</v>
      </c>
      <c r="Y42" s="104">
        <f t="shared" si="8"/>
        <v>40</v>
      </c>
      <c r="Z42" s="104">
        <f t="shared" si="29"/>
        <v>0</v>
      </c>
      <c r="AA42" s="4"/>
      <c r="AB42" s="53">
        <f t="shared" si="52"/>
        <v>0</v>
      </c>
      <c r="AC42" s="54">
        <f>IF(SUM(AB42:AB$116)=0,0,F42&gt;0)</f>
        <v>0</v>
      </c>
      <c r="AD42" s="53">
        <f t="shared" si="53"/>
        <v>0</v>
      </c>
      <c r="AE42" s="54">
        <f>IF(SUM(AB42:AB$116)=0,0,AND(AC42=FALSE,AD42=0,SUM(AD42:AD$116)&gt;0))</f>
        <v>0</v>
      </c>
      <c r="AF42" s="54">
        <f t="shared" si="30"/>
        <v>0</v>
      </c>
      <c r="AG42" s="54">
        <f t="shared" si="31"/>
        <v>0</v>
      </c>
      <c r="AH42" s="56">
        <f t="shared" si="32"/>
        <v>0</v>
      </c>
      <c r="AI42" s="56">
        <f t="shared" si="33"/>
        <v>0</v>
      </c>
      <c r="AJ42" s="54">
        <f t="shared" si="34"/>
        <v>0</v>
      </c>
      <c r="AK42" s="54" t="str">
        <f t="shared" si="35"/>
        <v/>
      </c>
      <c r="AL42" s="54">
        <f t="shared" si="36"/>
        <v>0</v>
      </c>
      <c r="AM42" s="54">
        <f t="shared" si="37"/>
        <v>0</v>
      </c>
      <c r="AN42" s="54">
        <f t="shared" si="38"/>
        <v>0</v>
      </c>
      <c r="AO42" s="54">
        <f t="shared" si="39"/>
        <v>0</v>
      </c>
      <c r="AP42" s="54">
        <f t="shared" si="40"/>
        <v>0</v>
      </c>
      <c r="AQ42" s="54">
        <f t="shared" si="41"/>
        <v>0</v>
      </c>
      <c r="AR42" s="53">
        <f t="shared" si="42"/>
        <v>0</v>
      </c>
      <c r="AS42" s="409" t="str">
        <f t="shared" si="43"/>
        <v/>
      </c>
      <c r="AT42" s="54">
        <f t="shared" si="10"/>
        <v>0</v>
      </c>
      <c r="AU42" s="54">
        <f t="shared" si="11"/>
        <v>0</v>
      </c>
      <c r="AV42" s="54">
        <f t="shared" si="12"/>
        <v>0</v>
      </c>
      <c r="AW42" s="55" t="b">
        <f t="shared" ca="1" si="13"/>
        <v>0</v>
      </c>
      <c r="AX42" s="69"/>
      <c r="AY42" s="203">
        <f t="shared" ca="1" si="14"/>
        <v>0</v>
      </c>
      <c r="AZ42" s="72">
        <f t="shared" ca="1" si="15"/>
        <v>0</v>
      </c>
      <c r="BA42" s="72">
        <f t="shared" ca="1" si="44"/>
        <v>0</v>
      </c>
      <c r="BB42" s="75">
        <f t="shared" ca="1" si="16"/>
        <v>0</v>
      </c>
      <c r="BC42" s="209">
        <f t="shared" si="17"/>
        <v>0</v>
      </c>
      <c r="BD42" s="72">
        <f t="shared" si="45"/>
        <v>0</v>
      </c>
      <c r="BE42" s="72">
        <f t="shared" si="46"/>
        <v>0</v>
      </c>
      <c r="BF42" s="72">
        <f t="shared" si="47"/>
        <v>0</v>
      </c>
      <c r="BG42" s="200">
        <f t="shared" ca="1" si="48"/>
        <v>0</v>
      </c>
      <c r="BH42" s="69"/>
      <c r="BI42" s="198">
        <f t="shared" si="18"/>
        <v>0</v>
      </c>
      <c r="BJ42" s="71">
        <f t="shared" si="19"/>
        <v>0</v>
      </c>
      <c r="BK42" s="72">
        <f t="shared" si="49"/>
        <v>0</v>
      </c>
      <c r="BL42" s="72">
        <f t="shared" ca="1" si="50"/>
        <v>0</v>
      </c>
      <c r="BM42" s="200">
        <f t="shared" ca="1" si="20"/>
        <v>0</v>
      </c>
      <c r="BN42" s="69"/>
      <c r="BO42" s="198">
        <f t="shared" si="21"/>
        <v>0</v>
      </c>
      <c r="BP42" s="72">
        <f t="shared" ca="1" si="22"/>
        <v>0</v>
      </c>
      <c r="BQ42" s="78">
        <f t="shared" si="51"/>
        <v>0</v>
      </c>
      <c r="BR42" s="78">
        <f t="shared" si="23"/>
        <v>0</v>
      </c>
      <c r="BS42" s="80">
        <f t="shared" ca="1" si="24"/>
        <v>0</v>
      </c>
      <c r="BT42" s="80">
        <f t="shared" ca="1" si="25"/>
        <v>0</v>
      </c>
      <c r="BU42" s="259" t="str">
        <f t="shared" ca="1" si="26"/>
        <v/>
      </c>
      <c r="BV42" s="206" t="str">
        <f t="shared" ca="1" si="27"/>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row>
    <row r="43" spans="1:116">
      <c r="A43" s="5"/>
      <c r="B43" s="327">
        <f t="shared" si="28"/>
        <v>40</v>
      </c>
      <c r="C43" s="398">
        <v>7</v>
      </c>
      <c r="D43" s="931"/>
      <c r="E43" s="941"/>
      <c r="F43" s="476"/>
      <c r="G43" s="483"/>
      <c r="H43" s="466"/>
      <c r="I43" s="467"/>
      <c r="J43" s="489"/>
      <c r="K43" s="490"/>
      <c r="L43" s="491"/>
      <c r="M43" s="492"/>
      <c r="N43" s="373" t="str">
        <f t="shared" ca="1" si="1"/>
        <v/>
      </c>
      <c r="O43" s="374" t="str">
        <f t="shared" ca="1" si="2"/>
        <v/>
      </c>
      <c r="P43" s="375">
        <f t="shared" ca="1" si="3"/>
        <v>0</v>
      </c>
      <c r="Q43" s="384" t="str">
        <f t="shared" ca="1" si="4"/>
        <v/>
      </c>
      <c r="R43" s="385" t="str">
        <f t="shared" ca="1" si="5"/>
        <v/>
      </c>
      <c r="S43" s="386">
        <f t="shared" ca="1" si="6"/>
        <v>0</v>
      </c>
      <c r="T43" s="387" t="str">
        <f t="shared" ca="1" si="7"/>
        <v/>
      </c>
      <c r="U43" s="5"/>
      <c r="V43" s="6"/>
      <c r="W43" s="4"/>
      <c r="X43" s="4">
        <v>7</v>
      </c>
      <c r="Y43" s="104">
        <f t="shared" si="8"/>
        <v>40</v>
      </c>
      <c r="Z43" s="104">
        <f t="shared" si="29"/>
        <v>0</v>
      </c>
      <c r="AA43" s="4"/>
      <c r="AB43" s="53">
        <f t="shared" si="52"/>
        <v>0</v>
      </c>
      <c r="AC43" s="54">
        <f>IF(SUM(AB43:AB$116)=0,0,F43&gt;0)</f>
        <v>0</v>
      </c>
      <c r="AD43" s="53">
        <f t="shared" si="53"/>
        <v>0</v>
      </c>
      <c r="AE43" s="54">
        <f>IF(SUM(AB43:AB$116)=0,0,AND(AC43=FALSE,AD43=0,SUM(AD43:AD$116)&gt;0))</f>
        <v>0</v>
      </c>
      <c r="AF43" s="54">
        <f t="shared" si="30"/>
        <v>0</v>
      </c>
      <c r="AG43" s="54">
        <f t="shared" si="31"/>
        <v>0</v>
      </c>
      <c r="AH43" s="56">
        <f t="shared" si="32"/>
        <v>0</v>
      </c>
      <c r="AI43" s="56">
        <f t="shared" si="33"/>
        <v>0</v>
      </c>
      <c r="AJ43" s="54">
        <f t="shared" si="34"/>
        <v>0</v>
      </c>
      <c r="AK43" s="54" t="str">
        <f t="shared" si="35"/>
        <v/>
      </c>
      <c r="AL43" s="54">
        <f t="shared" si="36"/>
        <v>0</v>
      </c>
      <c r="AM43" s="54">
        <f t="shared" si="37"/>
        <v>0</v>
      </c>
      <c r="AN43" s="54">
        <f t="shared" si="38"/>
        <v>0</v>
      </c>
      <c r="AO43" s="54">
        <f t="shared" si="39"/>
        <v>0</v>
      </c>
      <c r="AP43" s="54">
        <f t="shared" si="40"/>
        <v>0</v>
      </c>
      <c r="AQ43" s="54">
        <f t="shared" si="41"/>
        <v>0</v>
      </c>
      <c r="AR43" s="53">
        <f t="shared" si="42"/>
        <v>0</v>
      </c>
      <c r="AS43" s="409" t="str">
        <f t="shared" si="43"/>
        <v/>
      </c>
      <c r="AT43" s="54">
        <f t="shared" si="10"/>
        <v>0</v>
      </c>
      <c r="AU43" s="54">
        <f t="shared" si="11"/>
        <v>0</v>
      </c>
      <c r="AV43" s="54">
        <f t="shared" si="12"/>
        <v>0</v>
      </c>
      <c r="AW43" s="55" t="b">
        <f t="shared" ca="1" si="13"/>
        <v>0</v>
      </c>
      <c r="AX43" s="69"/>
      <c r="AY43" s="203">
        <f t="shared" ca="1" si="14"/>
        <v>0</v>
      </c>
      <c r="AZ43" s="72">
        <f t="shared" ca="1" si="15"/>
        <v>0</v>
      </c>
      <c r="BA43" s="72">
        <f t="shared" ca="1" si="44"/>
        <v>0</v>
      </c>
      <c r="BB43" s="75">
        <f t="shared" ca="1" si="16"/>
        <v>0</v>
      </c>
      <c r="BC43" s="209">
        <f t="shared" si="17"/>
        <v>0</v>
      </c>
      <c r="BD43" s="72">
        <f t="shared" si="45"/>
        <v>0</v>
      </c>
      <c r="BE43" s="72">
        <f t="shared" si="46"/>
        <v>0</v>
      </c>
      <c r="BF43" s="72">
        <f t="shared" si="47"/>
        <v>0</v>
      </c>
      <c r="BG43" s="200">
        <f t="shared" ca="1" si="48"/>
        <v>0</v>
      </c>
      <c r="BH43" s="69"/>
      <c r="BI43" s="198">
        <f t="shared" si="18"/>
        <v>0</v>
      </c>
      <c r="BJ43" s="71">
        <f t="shared" si="19"/>
        <v>0</v>
      </c>
      <c r="BK43" s="72">
        <f t="shared" si="49"/>
        <v>0</v>
      </c>
      <c r="BL43" s="72">
        <f t="shared" ca="1" si="50"/>
        <v>0</v>
      </c>
      <c r="BM43" s="200">
        <f t="shared" ca="1" si="20"/>
        <v>0</v>
      </c>
      <c r="BN43" s="69"/>
      <c r="BO43" s="198">
        <f t="shared" si="21"/>
        <v>0</v>
      </c>
      <c r="BP43" s="72">
        <f t="shared" ca="1" si="22"/>
        <v>0</v>
      </c>
      <c r="BQ43" s="78">
        <f t="shared" si="51"/>
        <v>0</v>
      </c>
      <c r="BR43" s="78">
        <f t="shared" si="23"/>
        <v>0</v>
      </c>
      <c r="BS43" s="80">
        <f t="shared" ca="1" si="24"/>
        <v>0</v>
      </c>
      <c r="BT43" s="80">
        <f t="shared" ca="1" si="25"/>
        <v>0</v>
      </c>
      <c r="BU43" s="259" t="str">
        <f t="shared" ca="1" si="26"/>
        <v/>
      </c>
      <c r="BV43" s="206" t="str">
        <f t="shared" ca="1" si="27"/>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row>
    <row r="44" spans="1:116">
      <c r="A44" s="5"/>
      <c r="B44" s="327">
        <f t="shared" si="28"/>
        <v>40</v>
      </c>
      <c r="C44" s="398">
        <v>8</v>
      </c>
      <c r="D44" s="931"/>
      <c r="E44" s="941"/>
      <c r="F44" s="476"/>
      <c r="G44" s="483"/>
      <c r="H44" s="466"/>
      <c r="I44" s="467"/>
      <c r="J44" s="489"/>
      <c r="K44" s="490"/>
      <c r="L44" s="491"/>
      <c r="M44" s="492"/>
      <c r="N44" s="373" t="str">
        <f t="shared" ca="1" si="1"/>
        <v/>
      </c>
      <c r="O44" s="374" t="str">
        <f t="shared" ca="1" si="2"/>
        <v/>
      </c>
      <c r="P44" s="375">
        <f t="shared" ca="1" si="3"/>
        <v>0</v>
      </c>
      <c r="Q44" s="384" t="str">
        <f t="shared" ca="1" si="4"/>
        <v/>
      </c>
      <c r="R44" s="385" t="str">
        <f t="shared" ca="1" si="5"/>
        <v/>
      </c>
      <c r="S44" s="386">
        <f t="shared" ca="1" si="6"/>
        <v>0</v>
      </c>
      <c r="T44" s="387" t="str">
        <f t="shared" ca="1" si="7"/>
        <v/>
      </c>
      <c r="U44" s="5"/>
      <c r="V44" s="6"/>
      <c r="W44" s="4"/>
      <c r="X44" s="4">
        <v>8</v>
      </c>
      <c r="Y44" s="104">
        <f t="shared" si="8"/>
        <v>40</v>
      </c>
      <c r="Z44" s="104">
        <f t="shared" si="29"/>
        <v>0</v>
      </c>
      <c r="AA44" s="4"/>
      <c r="AB44" s="53">
        <f t="shared" si="52"/>
        <v>0</v>
      </c>
      <c r="AC44" s="54">
        <f>IF(SUM(AB44:AB$116)=0,0,F44&gt;0)</f>
        <v>0</v>
      </c>
      <c r="AD44" s="53">
        <f t="shared" si="53"/>
        <v>0</v>
      </c>
      <c r="AE44" s="54">
        <f>IF(SUM(AB44:AB$116)=0,0,AND(AC44=FALSE,AD44=0,SUM(AD44:AD$116)&gt;0))</f>
        <v>0</v>
      </c>
      <c r="AF44" s="54">
        <f t="shared" si="30"/>
        <v>0</v>
      </c>
      <c r="AG44" s="54">
        <f t="shared" si="31"/>
        <v>0</v>
      </c>
      <c r="AH44" s="56">
        <f t="shared" si="32"/>
        <v>0</v>
      </c>
      <c r="AI44" s="56">
        <f t="shared" si="33"/>
        <v>0</v>
      </c>
      <c r="AJ44" s="54">
        <f t="shared" si="34"/>
        <v>0</v>
      </c>
      <c r="AK44" s="54" t="str">
        <f t="shared" si="35"/>
        <v/>
      </c>
      <c r="AL44" s="54">
        <f t="shared" si="36"/>
        <v>0</v>
      </c>
      <c r="AM44" s="54">
        <f t="shared" si="37"/>
        <v>0</v>
      </c>
      <c r="AN44" s="54">
        <f t="shared" si="38"/>
        <v>0</v>
      </c>
      <c r="AO44" s="54">
        <f t="shared" si="39"/>
        <v>0</v>
      </c>
      <c r="AP44" s="54">
        <f t="shared" si="40"/>
        <v>0</v>
      </c>
      <c r="AQ44" s="54">
        <f t="shared" si="41"/>
        <v>0</v>
      </c>
      <c r="AR44" s="53">
        <f t="shared" si="42"/>
        <v>0</v>
      </c>
      <c r="AS44" s="409" t="str">
        <f t="shared" si="43"/>
        <v/>
      </c>
      <c r="AT44" s="54">
        <f t="shared" si="10"/>
        <v>0</v>
      </c>
      <c r="AU44" s="54">
        <f t="shared" si="11"/>
        <v>0</v>
      </c>
      <c r="AV44" s="54">
        <f t="shared" si="12"/>
        <v>0</v>
      </c>
      <c r="AW44" s="55" t="b">
        <f t="shared" ca="1" si="13"/>
        <v>0</v>
      </c>
      <c r="AX44" s="69"/>
      <c r="AY44" s="203">
        <f t="shared" ca="1" si="14"/>
        <v>0</v>
      </c>
      <c r="AZ44" s="72">
        <f t="shared" ca="1" si="15"/>
        <v>0</v>
      </c>
      <c r="BA44" s="72">
        <f t="shared" ca="1" si="44"/>
        <v>0</v>
      </c>
      <c r="BB44" s="75">
        <f t="shared" ca="1" si="16"/>
        <v>0</v>
      </c>
      <c r="BC44" s="209">
        <f t="shared" si="17"/>
        <v>0</v>
      </c>
      <c r="BD44" s="72">
        <f t="shared" si="45"/>
        <v>0</v>
      </c>
      <c r="BE44" s="72">
        <f t="shared" si="46"/>
        <v>0</v>
      </c>
      <c r="BF44" s="72">
        <f t="shared" si="47"/>
        <v>0</v>
      </c>
      <c r="BG44" s="200">
        <f t="shared" ca="1" si="48"/>
        <v>0</v>
      </c>
      <c r="BH44" s="69"/>
      <c r="BI44" s="198">
        <f t="shared" si="18"/>
        <v>0</v>
      </c>
      <c r="BJ44" s="71">
        <f t="shared" si="19"/>
        <v>0</v>
      </c>
      <c r="BK44" s="72">
        <f t="shared" si="49"/>
        <v>0</v>
      </c>
      <c r="BL44" s="72">
        <f t="shared" ca="1" si="50"/>
        <v>0</v>
      </c>
      <c r="BM44" s="200">
        <f t="shared" ca="1" si="20"/>
        <v>0</v>
      </c>
      <c r="BN44" s="69"/>
      <c r="BO44" s="198">
        <f t="shared" si="21"/>
        <v>0</v>
      </c>
      <c r="BP44" s="72">
        <f t="shared" ca="1" si="22"/>
        <v>0</v>
      </c>
      <c r="BQ44" s="78">
        <f t="shared" si="51"/>
        <v>0</v>
      </c>
      <c r="BR44" s="78">
        <f t="shared" si="23"/>
        <v>0</v>
      </c>
      <c r="BS44" s="80">
        <f t="shared" ca="1" si="24"/>
        <v>0</v>
      </c>
      <c r="BT44" s="80">
        <f t="shared" ca="1" si="25"/>
        <v>0</v>
      </c>
      <c r="BU44" s="259" t="str">
        <f t="shared" ca="1" si="26"/>
        <v/>
      </c>
      <c r="BV44" s="206" t="str">
        <f t="shared" ca="1" si="27"/>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row>
    <row r="45" spans="1:116">
      <c r="A45" s="5"/>
      <c r="B45" s="327">
        <f t="shared" si="28"/>
        <v>40</v>
      </c>
      <c r="C45" s="398">
        <v>9</v>
      </c>
      <c r="D45" s="931"/>
      <c r="E45" s="941"/>
      <c r="F45" s="476"/>
      <c r="G45" s="483"/>
      <c r="H45" s="466"/>
      <c r="I45" s="467"/>
      <c r="J45" s="489"/>
      <c r="K45" s="490"/>
      <c r="L45" s="491"/>
      <c r="M45" s="492"/>
      <c r="N45" s="373" t="str">
        <f t="shared" ca="1" si="1"/>
        <v/>
      </c>
      <c r="O45" s="374" t="str">
        <f t="shared" ca="1" si="2"/>
        <v/>
      </c>
      <c r="P45" s="375">
        <f t="shared" ca="1" si="3"/>
        <v>0</v>
      </c>
      <c r="Q45" s="384" t="str">
        <f t="shared" ca="1" si="4"/>
        <v/>
      </c>
      <c r="R45" s="385" t="str">
        <f t="shared" ca="1" si="5"/>
        <v/>
      </c>
      <c r="S45" s="386">
        <f t="shared" ca="1" si="6"/>
        <v>0</v>
      </c>
      <c r="T45" s="387" t="str">
        <f t="shared" ca="1" si="7"/>
        <v/>
      </c>
      <c r="U45" s="5"/>
      <c r="V45" s="6"/>
      <c r="W45" s="4"/>
      <c r="X45" s="4">
        <v>9</v>
      </c>
      <c r="Y45" s="104">
        <f t="shared" si="8"/>
        <v>40</v>
      </c>
      <c r="Z45" s="104">
        <f t="shared" si="29"/>
        <v>0</v>
      </c>
      <c r="AA45" s="4"/>
      <c r="AB45" s="53">
        <f t="shared" si="52"/>
        <v>0</v>
      </c>
      <c r="AC45" s="54">
        <f>IF(SUM(AB45:AB$116)=0,0,F45&gt;0)</f>
        <v>0</v>
      </c>
      <c r="AD45" s="53">
        <f t="shared" si="53"/>
        <v>0</v>
      </c>
      <c r="AE45" s="54">
        <f>IF(SUM(AB45:AB$116)=0,0,AND(AC45=FALSE,AD45=0,SUM(AD45:AD$116)&gt;0))</f>
        <v>0</v>
      </c>
      <c r="AF45" s="54">
        <f t="shared" si="30"/>
        <v>0</v>
      </c>
      <c r="AG45" s="54">
        <f t="shared" si="31"/>
        <v>0</v>
      </c>
      <c r="AH45" s="56">
        <f t="shared" si="32"/>
        <v>0</v>
      </c>
      <c r="AI45" s="56">
        <f t="shared" si="33"/>
        <v>0</v>
      </c>
      <c r="AJ45" s="54">
        <f t="shared" si="34"/>
        <v>0</v>
      </c>
      <c r="AK45" s="54" t="str">
        <f t="shared" si="35"/>
        <v/>
      </c>
      <c r="AL45" s="54">
        <f t="shared" si="36"/>
        <v>0</v>
      </c>
      <c r="AM45" s="54">
        <f t="shared" si="37"/>
        <v>0</v>
      </c>
      <c r="AN45" s="54">
        <f t="shared" si="38"/>
        <v>0</v>
      </c>
      <c r="AO45" s="54">
        <f t="shared" si="39"/>
        <v>0</v>
      </c>
      <c r="AP45" s="54">
        <f t="shared" si="40"/>
        <v>0</v>
      </c>
      <c r="AQ45" s="54">
        <f t="shared" si="41"/>
        <v>0</v>
      </c>
      <c r="AR45" s="53">
        <f t="shared" si="42"/>
        <v>0</v>
      </c>
      <c r="AS45" s="409" t="str">
        <f t="shared" si="43"/>
        <v/>
      </c>
      <c r="AT45" s="54">
        <f t="shared" si="10"/>
        <v>0</v>
      </c>
      <c r="AU45" s="54">
        <f t="shared" si="11"/>
        <v>0</v>
      </c>
      <c r="AV45" s="54">
        <f t="shared" si="12"/>
        <v>0</v>
      </c>
      <c r="AW45" s="55" t="b">
        <f t="shared" ca="1" si="13"/>
        <v>0</v>
      </c>
      <c r="AX45" s="69"/>
      <c r="AY45" s="203">
        <f t="shared" ca="1" si="14"/>
        <v>0</v>
      </c>
      <c r="AZ45" s="72">
        <f t="shared" ca="1" si="15"/>
        <v>0</v>
      </c>
      <c r="BA45" s="72">
        <f t="shared" ca="1" si="44"/>
        <v>0</v>
      </c>
      <c r="BB45" s="75">
        <f t="shared" ca="1" si="16"/>
        <v>0</v>
      </c>
      <c r="BC45" s="209">
        <f t="shared" si="17"/>
        <v>0</v>
      </c>
      <c r="BD45" s="72">
        <f t="shared" si="45"/>
        <v>0</v>
      </c>
      <c r="BE45" s="72">
        <f t="shared" si="46"/>
        <v>0</v>
      </c>
      <c r="BF45" s="72">
        <f t="shared" si="47"/>
        <v>0</v>
      </c>
      <c r="BG45" s="200">
        <f t="shared" ca="1" si="48"/>
        <v>0</v>
      </c>
      <c r="BH45" s="69"/>
      <c r="BI45" s="198">
        <f t="shared" si="18"/>
        <v>0</v>
      </c>
      <c r="BJ45" s="71">
        <f t="shared" si="19"/>
        <v>0</v>
      </c>
      <c r="BK45" s="72">
        <f t="shared" si="49"/>
        <v>0</v>
      </c>
      <c r="BL45" s="72">
        <f t="shared" ca="1" si="50"/>
        <v>0</v>
      </c>
      <c r="BM45" s="200">
        <f t="shared" ca="1" si="20"/>
        <v>0</v>
      </c>
      <c r="BN45" s="69"/>
      <c r="BO45" s="198">
        <f t="shared" si="21"/>
        <v>0</v>
      </c>
      <c r="BP45" s="72">
        <f t="shared" ca="1" si="22"/>
        <v>0</v>
      </c>
      <c r="BQ45" s="78">
        <f t="shared" si="51"/>
        <v>0</v>
      </c>
      <c r="BR45" s="78">
        <f t="shared" si="23"/>
        <v>0</v>
      </c>
      <c r="BS45" s="80">
        <f t="shared" ca="1" si="24"/>
        <v>0</v>
      </c>
      <c r="BT45" s="80">
        <f t="shared" ca="1" si="25"/>
        <v>0</v>
      </c>
      <c r="BU45" s="259" t="str">
        <f t="shared" ca="1" si="26"/>
        <v/>
      </c>
      <c r="BV45" s="206" t="str">
        <f t="shared" ca="1" si="27"/>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row>
    <row r="46" spans="1:116">
      <c r="A46" s="5"/>
      <c r="B46" s="327">
        <f t="shared" si="28"/>
        <v>40</v>
      </c>
      <c r="C46" s="398">
        <v>10</v>
      </c>
      <c r="D46" s="931"/>
      <c r="E46" s="941"/>
      <c r="F46" s="476"/>
      <c r="G46" s="483"/>
      <c r="H46" s="466"/>
      <c r="I46" s="467"/>
      <c r="J46" s="489"/>
      <c r="K46" s="490"/>
      <c r="L46" s="491"/>
      <c r="M46" s="492"/>
      <c r="N46" s="373" t="str">
        <f t="shared" ca="1" si="1"/>
        <v/>
      </c>
      <c r="O46" s="374" t="str">
        <f t="shared" ca="1" si="2"/>
        <v/>
      </c>
      <c r="P46" s="375">
        <f t="shared" ca="1" si="3"/>
        <v>0</v>
      </c>
      <c r="Q46" s="384" t="str">
        <f t="shared" ca="1" si="4"/>
        <v/>
      </c>
      <c r="R46" s="385" t="str">
        <f t="shared" ca="1" si="5"/>
        <v/>
      </c>
      <c r="S46" s="386">
        <f t="shared" ca="1" si="6"/>
        <v>0</v>
      </c>
      <c r="T46" s="387" t="str">
        <f t="shared" ca="1" si="7"/>
        <v/>
      </c>
      <c r="U46" s="5"/>
      <c r="V46" s="6"/>
      <c r="W46" s="4"/>
      <c r="X46" s="4">
        <v>10</v>
      </c>
      <c r="Y46" s="104">
        <f t="shared" si="8"/>
        <v>40</v>
      </c>
      <c r="Z46" s="104">
        <f t="shared" si="29"/>
        <v>0</v>
      </c>
      <c r="AA46" s="4"/>
      <c r="AB46" s="53">
        <f t="shared" si="52"/>
        <v>0</v>
      </c>
      <c r="AC46" s="54">
        <f>IF(SUM(AB46:AB$116)=0,0,F46&gt;0)</f>
        <v>0</v>
      </c>
      <c r="AD46" s="53">
        <f t="shared" si="53"/>
        <v>0</v>
      </c>
      <c r="AE46" s="54">
        <f>IF(SUM(AB46:AB$116)=0,0,AND(AC46=FALSE,AD46=0,SUM(AD46:AD$116)&gt;0))</f>
        <v>0</v>
      </c>
      <c r="AF46" s="54">
        <f t="shared" si="30"/>
        <v>0</v>
      </c>
      <c r="AG46" s="54">
        <f t="shared" si="31"/>
        <v>0</v>
      </c>
      <c r="AH46" s="56">
        <f t="shared" si="32"/>
        <v>0</v>
      </c>
      <c r="AI46" s="56">
        <f t="shared" si="33"/>
        <v>0</v>
      </c>
      <c r="AJ46" s="54">
        <f t="shared" si="34"/>
        <v>0</v>
      </c>
      <c r="AK46" s="54" t="str">
        <f t="shared" si="35"/>
        <v/>
      </c>
      <c r="AL46" s="54">
        <f t="shared" si="36"/>
        <v>0</v>
      </c>
      <c r="AM46" s="54">
        <f t="shared" si="37"/>
        <v>0</v>
      </c>
      <c r="AN46" s="54">
        <f t="shared" si="38"/>
        <v>0</v>
      </c>
      <c r="AO46" s="54">
        <f t="shared" si="39"/>
        <v>0</v>
      </c>
      <c r="AP46" s="54">
        <f t="shared" si="40"/>
        <v>0</v>
      </c>
      <c r="AQ46" s="54">
        <f t="shared" si="41"/>
        <v>0</v>
      </c>
      <c r="AR46" s="53">
        <f t="shared" si="42"/>
        <v>0</v>
      </c>
      <c r="AS46" s="409" t="str">
        <f t="shared" si="43"/>
        <v/>
      </c>
      <c r="AT46" s="54">
        <f t="shared" si="10"/>
        <v>0</v>
      </c>
      <c r="AU46" s="54">
        <f t="shared" si="11"/>
        <v>0</v>
      </c>
      <c r="AV46" s="54">
        <f t="shared" si="12"/>
        <v>0</v>
      </c>
      <c r="AW46" s="55" t="b">
        <f t="shared" ca="1" si="13"/>
        <v>0</v>
      </c>
      <c r="AX46" s="69"/>
      <c r="AY46" s="203">
        <f t="shared" ca="1" si="14"/>
        <v>0</v>
      </c>
      <c r="AZ46" s="72">
        <f t="shared" ca="1" si="15"/>
        <v>0</v>
      </c>
      <c r="BA46" s="72">
        <f t="shared" ca="1" si="44"/>
        <v>0</v>
      </c>
      <c r="BB46" s="75">
        <f t="shared" ca="1" si="16"/>
        <v>0</v>
      </c>
      <c r="BC46" s="209">
        <f t="shared" si="17"/>
        <v>0</v>
      </c>
      <c r="BD46" s="72">
        <f t="shared" si="45"/>
        <v>0</v>
      </c>
      <c r="BE46" s="72">
        <f t="shared" si="46"/>
        <v>0</v>
      </c>
      <c r="BF46" s="72">
        <f t="shared" si="47"/>
        <v>0</v>
      </c>
      <c r="BG46" s="200">
        <f t="shared" ca="1" si="48"/>
        <v>0</v>
      </c>
      <c r="BH46" s="69"/>
      <c r="BI46" s="198">
        <f t="shared" si="18"/>
        <v>0</v>
      </c>
      <c r="BJ46" s="71">
        <f t="shared" si="19"/>
        <v>0</v>
      </c>
      <c r="BK46" s="72">
        <f t="shared" si="49"/>
        <v>0</v>
      </c>
      <c r="BL46" s="72">
        <f t="shared" ca="1" si="50"/>
        <v>0</v>
      </c>
      <c r="BM46" s="200">
        <f t="shared" ca="1" si="20"/>
        <v>0</v>
      </c>
      <c r="BN46" s="69"/>
      <c r="BO46" s="198">
        <f t="shared" si="21"/>
        <v>0</v>
      </c>
      <c r="BP46" s="72">
        <f t="shared" ca="1" si="22"/>
        <v>0</v>
      </c>
      <c r="BQ46" s="78">
        <f t="shared" si="51"/>
        <v>0</v>
      </c>
      <c r="BR46" s="78">
        <f t="shared" si="23"/>
        <v>0</v>
      </c>
      <c r="BS46" s="80">
        <f t="shared" ca="1" si="24"/>
        <v>0</v>
      </c>
      <c r="BT46" s="80">
        <f t="shared" ca="1" si="25"/>
        <v>0</v>
      </c>
      <c r="BU46" s="259" t="str">
        <f t="shared" ca="1" si="26"/>
        <v/>
      </c>
      <c r="BV46" s="206" t="str">
        <f t="shared" ca="1" si="27"/>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row>
    <row r="47" spans="1:116">
      <c r="A47" s="5"/>
      <c r="B47" s="327">
        <f t="shared" si="28"/>
        <v>40</v>
      </c>
      <c r="C47" s="398">
        <v>11</v>
      </c>
      <c r="D47" s="931"/>
      <c r="E47" s="941"/>
      <c r="F47" s="476"/>
      <c r="G47" s="483"/>
      <c r="H47" s="466"/>
      <c r="I47" s="467"/>
      <c r="J47" s="489"/>
      <c r="K47" s="490"/>
      <c r="L47" s="491"/>
      <c r="M47" s="492"/>
      <c r="N47" s="373" t="str">
        <f t="shared" ca="1" si="1"/>
        <v/>
      </c>
      <c r="O47" s="374" t="str">
        <f t="shared" ca="1" si="2"/>
        <v/>
      </c>
      <c r="P47" s="375">
        <f t="shared" ca="1" si="3"/>
        <v>0</v>
      </c>
      <c r="Q47" s="384" t="str">
        <f t="shared" ca="1" si="4"/>
        <v/>
      </c>
      <c r="R47" s="385" t="str">
        <f t="shared" ca="1" si="5"/>
        <v/>
      </c>
      <c r="S47" s="386">
        <f t="shared" ca="1" si="6"/>
        <v>0</v>
      </c>
      <c r="T47" s="387" t="str">
        <f t="shared" ca="1" si="7"/>
        <v/>
      </c>
      <c r="U47" s="5"/>
      <c r="V47" s="6"/>
      <c r="W47" s="4"/>
      <c r="X47" s="4">
        <v>11</v>
      </c>
      <c r="Y47" s="104">
        <f t="shared" si="8"/>
        <v>40</v>
      </c>
      <c r="Z47" s="104">
        <f t="shared" si="29"/>
        <v>0</v>
      </c>
      <c r="AA47" s="4"/>
      <c r="AB47" s="53">
        <f t="shared" si="52"/>
        <v>0</v>
      </c>
      <c r="AC47" s="54">
        <f>IF(SUM(AB47:AB$116)=0,0,F47&gt;0)</f>
        <v>0</v>
      </c>
      <c r="AD47" s="53">
        <f t="shared" si="53"/>
        <v>0</v>
      </c>
      <c r="AE47" s="54">
        <f>IF(SUM(AB47:AB$116)=0,0,AND(AC47=FALSE,AD47=0,SUM(AD47:AD$116)&gt;0))</f>
        <v>0</v>
      </c>
      <c r="AF47" s="54">
        <f t="shared" si="30"/>
        <v>0</v>
      </c>
      <c r="AG47" s="54">
        <f t="shared" si="31"/>
        <v>0</v>
      </c>
      <c r="AH47" s="56">
        <f t="shared" si="32"/>
        <v>0</v>
      </c>
      <c r="AI47" s="56">
        <f t="shared" si="33"/>
        <v>0</v>
      </c>
      <c r="AJ47" s="54">
        <f t="shared" si="34"/>
        <v>0</v>
      </c>
      <c r="AK47" s="54" t="str">
        <f t="shared" si="35"/>
        <v/>
      </c>
      <c r="AL47" s="54">
        <f t="shared" si="36"/>
        <v>0</v>
      </c>
      <c r="AM47" s="54">
        <f t="shared" si="37"/>
        <v>0</v>
      </c>
      <c r="AN47" s="54">
        <f t="shared" si="38"/>
        <v>0</v>
      </c>
      <c r="AO47" s="54">
        <f t="shared" si="39"/>
        <v>0</v>
      </c>
      <c r="AP47" s="54">
        <f t="shared" si="40"/>
        <v>0</v>
      </c>
      <c r="AQ47" s="54">
        <f t="shared" si="41"/>
        <v>0</v>
      </c>
      <c r="AR47" s="53">
        <f t="shared" si="42"/>
        <v>0</v>
      </c>
      <c r="AS47" s="409" t="str">
        <f t="shared" si="43"/>
        <v/>
      </c>
      <c r="AT47" s="54">
        <f t="shared" si="10"/>
        <v>0</v>
      </c>
      <c r="AU47" s="54">
        <f t="shared" si="11"/>
        <v>0</v>
      </c>
      <c r="AV47" s="54">
        <f t="shared" si="12"/>
        <v>0</v>
      </c>
      <c r="AW47" s="55" t="b">
        <f t="shared" ca="1" si="13"/>
        <v>0</v>
      </c>
      <c r="AX47" s="69"/>
      <c r="AY47" s="203">
        <f t="shared" ca="1" si="14"/>
        <v>0</v>
      </c>
      <c r="AZ47" s="72">
        <f t="shared" ca="1" si="15"/>
        <v>0</v>
      </c>
      <c r="BA47" s="72">
        <f t="shared" ca="1" si="44"/>
        <v>0</v>
      </c>
      <c r="BB47" s="75">
        <f t="shared" ca="1" si="16"/>
        <v>0</v>
      </c>
      <c r="BC47" s="209">
        <f t="shared" si="17"/>
        <v>0</v>
      </c>
      <c r="BD47" s="72">
        <f t="shared" si="45"/>
        <v>0</v>
      </c>
      <c r="BE47" s="72">
        <f t="shared" si="46"/>
        <v>0</v>
      </c>
      <c r="BF47" s="72">
        <f t="shared" si="47"/>
        <v>0</v>
      </c>
      <c r="BG47" s="200">
        <f t="shared" ca="1" si="48"/>
        <v>0</v>
      </c>
      <c r="BH47" s="69"/>
      <c r="BI47" s="198">
        <f t="shared" si="18"/>
        <v>0</v>
      </c>
      <c r="BJ47" s="71">
        <f t="shared" si="19"/>
        <v>0</v>
      </c>
      <c r="BK47" s="72">
        <f t="shared" si="49"/>
        <v>0</v>
      </c>
      <c r="BL47" s="72">
        <f t="shared" ca="1" si="50"/>
        <v>0</v>
      </c>
      <c r="BM47" s="200">
        <f t="shared" ca="1" si="20"/>
        <v>0</v>
      </c>
      <c r="BN47" s="69"/>
      <c r="BO47" s="198">
        <f t="shared" si="21"/>
        <v>0</v>
      </c>
      <c r="BP47" s="72">
        <f t="shared" ca="1" si="22"/>
        <v>0</v>
      </c>
      <c r="BQ47" s="78">
        <f t="shared" si="51"/>
        <v>0</v>
      </c>
      <c r="BR47" s="78">
        <f t="shared" si="23"/>
        <v>0</v>
      </c>
      <c r="BS47" s="80">
        <f t="shared" ca="1" si="24"/>
        <v>0</v>
      </c>
      <c r="BT47" s="80">
        <f t="shared" ca="1" si="25"/>
        <v>0</v>
      </c>
      <c r="BU47" s="259" t="str">
        <f t="shared" ca="1" si="26"/>
        <v/>
      </c>
      <c r="BV47" s="206" t="str">
        <f t="shared" ca="1" si="27"/>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row>
    <row r="48" spans="1:116" ht="12.75" customHeight="1">
      <c r="A48" s="5"/>
      <c r="B48" s="327">
        <f t="shared" si="28"/>
        <v>40</v>
      </c>
      <c r="C48" s="398">
        <v>12</v>
      </c>
      <c r="D48" s="931"/>
      <c r="E48" s="932"/>
      <c r="F48" s="476"/>
      <c r="G48" s="483"/>
      <c r="H48" s="466"/>
      <c r="I48" s="467"/>
      <c r="J48" s="489"/>
      <c r="K48" s="490"/>
      <c r="L48" s="491"/>
      <c r="M48" s="492"/>
      <c r="N48" s="373" t="str">
        <f t="shared" ca="1" si="1"/>
        <v/>
      </c>
      <c r="O48" s="374" t="str">
        <f t="shared" ca="1" si="2"/>
        <v/>
      </c>
      <c r="P48" s="375">
        <f t="shared" ca="1" si="3"/>
        <v>0</v>
      </c>
      <c r="Q48" s="384" t="str">
        <f t="shared" ca="1" si="4"/>
        <v/>
      </c>
      <c r="R48" s="385" t="str">
        <f t="shared" ca="1" si="5"/>
        <v/>
      </c>
      <c r="S48" s="386">
        <f t="shared" ca="1" si="6"/>
        <v>0</v>
      </c>
      <c r="T48" s="387" t="str">
        <f t="shared" ca="1" si="7"/>
        <v/>
      </c>
      <c r="U48" s="5"/>
      <c r="V48" s="6"/>
      <c r="W48" s="4"/>
      <c r="X48" s="4">
        <v>12</v>
      </c>
      <c r="Y48" s="104">
        <f t="shared" si="8"/>
        <v>40</v>
      </c>
      <c r="Z48" s="104">
        <f t="shared" si="29"/>
        <v>0</v>
      </c>
      <c r="AA48" s="4"/>
      <c r="AB48" s="53">
        <f t="shared" si="52"/>
        <v>0</v>
      </c>
      <c r="AC48" s="54">
        <f>IF(SUM(AB48:AB$116)=0,0,F48&gt;0)</f>
        <v>0</v>
      </c>
      <c r="AD48" s="53">
        <f t="shared" si="53"/>
        <v>0</v>
      </c>
      <c r="AE48" s="54">
        <f>IF(SUM(AB48:AB$116)=0,0,AND(AC48=FALSE,AD48=0,SUM(AD48:AD$116)&gt;0))</f>
        <v>0</v>
      </c>
      <c r="AF48" s="54">
        <f t="shared" si="30"/>
        <v>0</v>
      </c>
      <c r="AG48" s="54">
        <f t="shared" si="31"/>
        <v>0</v>
      </c>
      <c r="AH48" s="56">
        <f t="shared" si="32"/>
        <v>0</v>
      </c>
      <c r="AI48" s="56">
        <f t="shared" si="33"/>
        <v>0</v>
      </c>
      <c r="AJ48" s="54">
        <f t="shared" si="34"/>
        <v>0</v>
      </c>
      <c r="AK48" s="54" t="str">
        <f t="shared" si="35"/>
        <v/>
      </c>
      <c r="AL48" s="54">
        <f t="shared" si="36"/>
        <v>0</v>
      </c>
      <c r="AM48" s="54">
        <f t="shared" si="37"/>
        <v>0</v>
      </c>
      <c r="AN48" s="54">
        <f t="shared" si="38"/>
        <v>0</v>
      </c>
      <c r="AO48" s="54">
        <f t="shared" si="39"/>
        <v>0</v>
      </c>
      <c r="AP48" s="54">
        <f t="shared" si="40"/>
        <v>0</v>
      </c>
      <c r="AQ48" s="54">
        <f t="shared" si="41"/>
        <v>0</v>
      </c>
      <c r="AR48" s="53">
        <f t="shared" si="42"/>
        <v>0</v>
      </c>
      <c r="AS48" s="409" t="str">
        <f t="shared" si="43"/>
        <v/>
      </c>
      <c r="AT48" s="54">
        <f t="shared" si="10"/>
        <v>0</v>
      </c>
      <c r="AU48" s="54">
        <f t="shared" si="11"/>
        <v>0</v>
      </c>
      <c r="AV48" s="54">
        <f t="shared" si="12"/>
        <v>0</v>
      </c>
      <c r="AW48" s="55" t="b">
        <f t="shared" ca="1" si="13"/>
        <v>0</v>
      </c>
      <c r="AX48" s="69"/>
      <c r="AY48" s="203">
        <f t="shared" ca="1" si="14"/>
        <v>0</v>
      </c>
      <c r="AZ48" s="72">
        <f t="shared" ca="1" si="15"/>
        <v>0</v>
      </c>
      <c r="BA48" s="72">
        <f t="shared" ca="1" si="44"/>
        <v>0</v>
      </c>
      <c r="BB48" s="75">
        <f t="shared" ca="1" si="16"/>
        <v>0</v>
      </c>
      <c r="BC48" s="209">
        <f t="shared" si="17"/>
        <v>0</v>
      </c>
      <c r="BD48" s="72">
        <f t="shared" si="45"/>
        <v>0</v>
      </c>
      <c r="BE48" s="72">
        <f t="shared" si="46"/>
        <v>0</v>
      </c>
      <c r="BF48" s="72">
        <f t="shared" si="47"/>
        <v>0</v>
      </c>
      <c r="BG48" s="200">
        <f t="shared" ca="1" si="48"/>
        <v>0</v>
      </c>
      <c r="BH48" s="69"/>
      <c r="BI48" s="198">
        <f t="shared" si="18"/>
        <v>0</v>
      </c>
      <c r="BJ48" s="71">
        <f t="shared" si="19"/>
        <v>0</v>
      </c>
      <c r="BK48" s="72">
        <f t="shared" si="49"/>
        <v>0</v>
      </c>
      <c r="BL48" s="72">
        <f t="shared" ca="1" si="50"/>
        <v>0</v>
      </c>
      <c r="BM48" s="200">
        <f t="shared" ca="1" si="20"/>
        <v>0</v>
      </c>
      <c r="BN48" s="69"/>
      <c r="BO48" s="198">
        <f t="shared" si="21"/>
        <v>0</v>
      </c>
      <c r="BP48" s="72">
        <f t="shared" ca="1" si="22"/>
        <v>0</v>
      </c>
      <c r="BQ48" s="78">
        <f t="shared" si="51"/>
        <v>0</v>
      </c>
      <c r="BR48" s="78">
        <f t="shared" si="23"/>
        <v>0</v>
      </c>
      <c r="BS48" s="80">
        <f t="shared" ca="1" si="24"/>
        <v>0</v>
      </c>
      <c r="BT48" s="80">
        <f t="shared" ca="1" si="25"/>
        <v>0</v>
      </c>
      <c r="BU48" s="259" t="str">
        <f t="shared" ca="1" si="26"/>
        <v/>
      </c>
      <c r="BV48" s="206" t="str">
        <f t="shared" ca="1" si="27"/>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row>
    <row r="49" spans="1:116" ht="12.75" customHeight="1">
      <c r="A49" s="5"/>
      <c r="B49" s="327">
        <f t="shared" si="28"/>
        <v>40</v>
      </c>
      <c r="C49" s="398">
        <v>13</v>
      </c>
      <c r="D49" s="931"/>
      <c r="E49" s="932"/>
      <c r="F49" s="476"/>
      <c r="G49" s="483"/>
      <c r="H49" s="466"/>
      <c r="I49" s="467"/>
      <c r="J49" s="489"/>
      <c r="K49" s="490"/>
      <c r="L49" s="491"/>
      <c r="M49" s="492"/>
      <c r="N49" s="373" t="str">
        <f t="shared" ca="1" si="1"/>
        <v/>
      </c>
      <c r="O49" s="374" t="str">
        <f t="shared" ca="1" si="2"/>
        <v/>
      </c>
      <c r="P49" s="375">
        <f t="shared" ca="1" si="3"/>
        <v>0</v>
      </c>
      <c r="Q49" s="384" t="str">
        <f t="shared" ca="1" si="4"/>
        <v/>
      </c>
      <c r="R49" s="385" t="str">
        <f t="shared" ca="1" si="5"/>
        <v/>
      </c>
      <c r="S49" s="386">
        <f t="shared" ca="1" si="6"/>
        <v>0</v>
      </c>
      <c r="T49" s="387" t="str">
        <f t="shared" ca="1" si="7"/>
        <v/>
      </c>
      <c r="U49" s="5"/>
      <c r="V49" s="6"/>
      <c r="W49" s="4"/>
      <c r="X49" s="4">
        <v>13</v>
      </c>
      <c r="Y49" s="104">
        <f t="shared" si="8"/>
        <v>40</v>
      </c>
      <c r="Z49" s="104">
        <f t="shared" si="29"/>
        <v>0</v>
      </c>
      <c r="AA49" s="4"/>
      <c r="AB49" s="53">
        <f t="shared" si="52"/>
        <v>0</v>
      </c>
      <c r="AC49" s="54">
        <f>IF(SUM(AB49:AB$116)=0,0,F49&gt;0)</f>
        <v>0</v>
      </c>
      <c r="AD49" s="53">
        <f t="shared" si="53"/>
        <v>0</v>
      </c>
      <c r="AE49" s="54">
        <f>IF(SUM(AB49:AB$116)=0,0,AND(AC49=FALSE,AD49=0,SUM(AD49:AD$116)&gt;0))</f>
        <v>0</v>
      </c>
      <c r="AF49" s="54">
        <f t="shared" si="30"/>
        <v>0</v>
      </c>
      <c r="AG49" s="54">
        <f t="shared" si="31"/>
        <v>0</v>
      </c>
      <c r="AH49" s="56">
        <f t="shared" si="32"/>
        <v>0</v>
      </c>
      <c r="AI49" s="56">
        <f t="shared" si="33"/>
        <v>0</v>
      </c>
      <c r="AJ49" s="54">
        <f t="shared" si="34"/>
        <v>0</v>
      </c>
      <c r="AK49" s="54" t="str">
        <f t="shared" si="35"/>
        <v/>
      </c>
      <c r="AL49" s="54">
        <f t="shared" si="36"/>
        <v>0</v>
      </c>
      <c r="AM49" s="54">
        <f t="shared" si="37"/>
        <v>0</v>
      </c>
      <c r="AN49" s="54">
        <f t="shared" si="38"/>
        <v>0</v>
      </c>
      <c r="AO49" s="54">
        <f t="shared" si="39"/>
        <v>0</v>
      </c>
      <c r="AP49" s="54">
        <f t="shared" si="40"/>
        <v>0</v>
      </c>
      <c r="AQ49" s="54">
        <f t="shared" si="41"/>
        <v>0</v>
      </c>
      <c r="AR49" s="53">
        <f t="shared" si="42"/>
        <v>0</v>
      </c>
      <c r="AS49" s="409" t="str">
        <f t="shared" si="43"/>
        <v/>
      </c>
      <c r="AT49" s="54">
        <f t="shared" si="10"/>
        <v>0</v>
      </c>
      <c r="AU49" s="54">
        <f t="shared" si="11"/>
        <v>0</v>
      </c>
      <c r="AV49" s="54">
        <f t="shared" si="12"/>
        <v>0</v>
      </c>
      <c r="AW49" s="55" t="b">
        <f t="shared" ca="1" si="13"/>
        <v>0</v>
      </c>
      <c r="AX49" s="69"/>
      <c r="AY49" s="203">
        <f t="shared" ca="1" si="14"/>
        <v>0</v>
      </c>
      <c r="AZ49" s="72">
        <f t="shared" ca="1" si="15"/>
        <v>0</v>
      </c>
      <c r="BA49" s="72">
        <f t="shared" ca="1" si="44"/>
        <v>0</v>
      </c>
      <c r="BB49" s="75">
        <f t="shared" ca="1" si="16"/>
        <v>0</v>
      </c>
      <c r="BC49" s="209">
        <f t="shared" si="17"/>
        <v>0</v>
      </c>
      <c r="BD49" s="72">
        <f t="shared" si="45"/>
        <v>0</v>
      </c>
      <c r="BE49" s="72">
        <f t="shared" si="46"/>
        <v>0</v>
      </c>
      <c r="BF49" s="72">
        <f t="shared" si="47"/>
        <v>0</v>
      </c>
      <c r="BG49" s="200">
        <f t="shared" ca="1" si="48"/>
        <v>0</v>
      </c>
      <c r="BH49" s="69"/>
      <c r="BI49" s="198">
        <f t="shared" si="18"/>
        <v>0</v>
      </c>
      <c r="BJ49" s="71">
        <f t="shared" si="19"/>
        <v>0</v>
      </c>
      <c r="BK49" s="72">
        <f t="shared" si="49"/>
        <v>0</v>
      </c>
      <c r="BL49" s="72">
        <f t="shared" ca="1" si="50"/>
        <v>0</v>
      </c>
      <c r="BM49" s="200">
        <f t="shared" ca="1" si="20"/>
        <v>0</v>
      </c>
      <c r="BN49" s="69"/>
      <c r="BO49" s="198">
        <f t="shared" si="21"/>
        <v>0</v>
      </c>
      <c r="BP49" s="72">
        <f t="shared" ca="1" si="22"/>
        <v>0</v>
      </c>
      <c r="BQ49" s="78">
        <f t="shared" si="51"/>
        <v>0</v>
      </c>
      <c r="BR49" s="78">
        <f t="shared" si="23"/>
        <v>0</v>
      </c>
      <c r="BS49" s="80">
        <f t="shared" ca="1" si="24"/>
        <v>0</v>
      </c>
      <c r="BT49" s="80">
        <f t="shared" ca="1" si="25"/>
        <v>0</v>
      </c>
      <c r="BU49" s="259" t="str">
        <f t="shared" ca="1" si="26"/>
        <v/>
      </c>
      <c r="BV49" s="206" t="str">
        <f t="shared" ca="1" si="27"/>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row>
    <row r="50" spans="1:116" ht="12.75" customHeight="1">
      <c r="A50" s="5"/>
      <c r="B50" s="327">
        <f t="shared" si="28"/>
        <v>40</v>
      </c>
      <c r="C50" s="398">
        <v>14</v>
      </c>
      <c r="D50" s="931"/>
      <c r="E50" s="932"/>
      <c r="F50" s="476"/>
      <c r="G50" s="483"/>
      <c r="H50" s="466"/>
      <c r="I50" s="467"/>
      <c r="J50" s="489"/>
      <c r="K50" s="490"/>
      <c r="L50" s="491"/>
      <c r="M50" s="492"/>
      <c r="N50" s="373" t="str">
        <f t="shared" ca="1" si="1"/>
        <v/>
      </c>
      <c r="O50" s="374" t="str">
        <f t="shared" ca="1" si="2"/>
        <v/>
      </c>
      <c r="P50" s="375">
        <f t="shared" ca="1" si="3"/>
        <v>0</v>
      </c>
      <c r="Q50" s="384" t="str">
        <f t="shared" ca="1" si="4"/>
        <v/>
      </c>
      <c r="R50" s="385" t="str">
        <f t="shared" ca="1" si="5"/>
        <v/>
      </c>
      <c r="S50" s="386">
        <f t="shared" ca="1" si="6"/>
        <v>0</v>
      </c>
      <c r="T50" s="387" t="str">
        <f t="shared" ca="1" si="7"/>
        <v/>
      </c>
      <c r="U50" s="5"/>
      <c r="V50" s="6"/>
      <c r="W50" s="4"/>
      <c r="X50" s="4">
        <v>14</v>
      </c>
      <c r="Y50" s="104">
        <f t="shared" si="8"/>
        <v>40</v>
      </c>
      <c r="Z50" s="104">
        <f t="shared" si="29"/>
        <v>0</v>
      </c>
      <c r="AA50" s="4"/>
      <c r="AB50" s="53">
        <f t="shared" si="52"/>
        <v>0</v>
      </c>
      <c r="AC50" s="54">
        <f>IF(SUM(AB50:AB$116)=0,0,F50&gt;0)</f>
        <v>0</v>
      </c>
      <c r="AD50" s="53">
        <f t="shared" si="53"/>
        <v>0</v>
      </c>
      <c r="AE50" s="54">
        <f>IF(SUM(AB50:AB$116)=0,0,AND(AC50=FALSE,AD50=0,SUM(AD50:AD$116)&gt;0))</f>
        <v>0</v>
      </c>
      <c r="AF50" s="54">
        <f t="shared" si="30"/>
        <v>0</v>
      </c>
      <c r="AG50" s="54">
        <f t="shared" si="31"/>
        <v>0</v>
      </c>
      <c r="AH50" s="56">
        <f t="shared" si="32"/>
        <v>0</v>
      </c>
      <c r="AI50" s="56">
        <f t="shared" si="33"/>
        <v>0</v>
      </c>
      <c r="AJ50" s="54">
        <f t="shared" si="34"/>
        <v>0</v>
      </c>
      <c r="AK50" s="54" t="str">
        <f t="shared" si="35"/>
        <v/>
      </c>
      <c r="AL50" s="54">
        <f t="shared" si="36"/>
        <v>0</v>
      </c>
      <c r="AM50" s="54">
        <f t="shared" si="37"/>
        <v>0</v>
      </c>
      <c r="AN50" s="54">
        <f t="shared" si="38"/>
        <v>0</v>
      </c>
      <c r="AO50" s="54">
        <f t="shared" si="39"/>
        <v>0</v>
      </c>
      <c r="AP50" s="54">
        <f t="shared" si="40"/>
        <v>0</v>
      </c>
      <c r="AQ50" s="54">
        <f t="shared" si="41"/>
        <v>0</v>
      </c>
      <c r="AR50" s="53">
        <f t="shared" si="42"/>
        <v>0</v>
      </c>
      <c r="AS50" s="409" t="str">
        <f t="shared" si="43"/>
        <v/>
      </c>
      <c r="AT50" s="54">
        <f t="shared" si="10"/>
        <v>0</v>
      </c>
      <c r="AU50" s="54">
        <f t="shared" si="11"/>
        <v>0</v>
      </c>
      <c r="AV50" s="54">
        <f t="shared" si="12"/>
        <v>0</v>
      </c>
      <c r="AW50" s="55" t="b">
        <f t="shared" ca="1" si="13"/>
        <v>0</v>
      </c>
      <c r="AX50" s="69"/>
      <c r="AY50" s="203">
        <f t="shared" ca="1" si="14"/>
        <v>0</v>
      </c>
      <c r="AZ50" s="72">
        <f t="shared" ca="1" si="15"/>
        <v>0</v>
      </c>
      <c r="BA50" s="72">
        <f t="shared" ca="1" si="44"/>
        <v>0</v>
      </c>
      <c r="BB50" s="75">
        <f t="shared" ca="1" si="16"/>
        <v>0</v>
      </c>
      <c r="BC50" s="209">
        <f t="shared" si="17"/>
        <v>0</v>
      </c>
      <c r="BD50" s="72">
        <f t="shared" si="45"/>
        <v>0</v>
      </c>
      <c r="BE50" s="72">
        <f t="shared" si="46"/>
        <v>0</v>
      </c>
      <c r="BF50" s="72">
        <f t="shared" si="47"/>
        <v>0</v>
      </c>
      <c r="BG50" s="200">
        <f t="shared" ca="1" si="48"/>
        <v>0</v>
      </c>
      <c r="BH50" s="69"/>
      <c r="BI50" s="198">
        <f t="shared" si="18"/>
        <v>0</v>
      </c>
      <c r="BJ50" s="71">
        <f t="shared" si="19"/>
        <v>0</v>
      </c>
      <c r="BK50" s="72">
        <f t="shared" si="49"/>
        <v>0</v>
      </c>
      <c r="BL50" s="72">
        <f t="shared" ca="1" si="50"/>
        <v>0</v>
      </c>
      <c r="BM50" s="200">
        <f t="shared" ca="1" si="20"/>
        <v>0</v>
      </c>
      <c r="BN50" s="69"/>
      <c r="BO50" s="198">
        <f t="shared" si="21"/>
        <v>0</v>
      </c>
      <c r="BP50" s="72">
        <f t="shared" ca="1" si="22"/>
        <v>0</v>
      </c>
      <c r="BQ50" s="78">
        <f t="shared" si="51"/>
        <v>0</v>
      </c>
      <c r="BR50" s="78">
        <f t="shared" si="23"/>
        <v>0</v>
      </c>
      <c r="BS50" s="80">
        <f t="shared" ca="1" si="24"/>
        <v>0</v>
      </c>
      <c r="BT50" s="80">
        <f t="shared" ca="1" si="25"/>
        <v>0</v>
      </c>
      <c r="BU50" s="259" t="str">
        <f t="shared" ca="1" si="26"/>
        <v/>
      </c>
      <c r="BV50" s="206" t="str">
        <f t="shared" ca="1" si="27"/>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row>
    <row r="51" spans="1:116" ht="12.75" customHeight="1">
      <c r="A51" s="5"/>
      <c r="B51" s="327">
        <f t="shared" si="28"/>
        <v>40</v>
      </c>
      <c r="C51" s="398">
        <v>15</v>
      </c>
      <c r="D51" s="931"/>
      <c r="E51" s="932"/>
      <c r="F51" s="476"/>
      <c r="G51" s="483"/>
      <c r="H51" s="466"/>
      <c r="I51" s="467"/>
      <c r="J51" s="489"/>
      <c r="K51" s="490"/>
      <c r="L51" s="491"/>
      <c r="M51" s="492"/>
      <c r="N51" s="373" t="str">
        <f t="shared" ca="1" si="1"/>
        <v/>
      </c>
      <c r="O51" s="374" t="str">
        <f t="shared" ca="1" si="2"/>
        <v/>
      </c>
      <c r="P51" s="375">
        <f t="shared" ca="1" si="3"/>
        <v>0</v>
      </c>
      <c r="Q51" s="384" t="str">
        <f t="shared" ca="1" si="4"/>
        <v/>
      </c>
      <c r="R51" s="385" t="str">
        <f t="shared" ca="1" si="5"/>
        <v/>
      </c>
      <c r="S51" s="386">
        <f t="shared" ca="1" si="6"/>
        <v>0</v>
      </c>
      <c r="T51" s="387" t="str">
        <f t="shared" ca="1" si="7"/>
        <v/>
      </c>
      <c r="U51" s="5"/>
      <c r="V51" s="6"/>
      <c r="W51" s="4"/>
      <c r="X51" s="4">
        <v>15</v>
      </c>
      <c r="Y51" s="104">
        <f t="shared" si="8"/>
        <v>40</v>
      </c>
      <c r="Z51" s="104">
        <f t="shared" si="29"/>
        <v>0</v>
      </c>
      <c r="AA51" s="4"/>
      <c r="AB51" s="53">
        <f t="shared" si="52"/>
        <v>0</v>
      </c>
      <c r="AC51" s="54">
        <f>IF(SUM(AB51:AB$116)=0,0,F51&gt;0)</f>
        <v>0</v>
      </c>
      <c r="AD51" s="53">
        <f t="shared" si="53"/>
        <v>0</v>
      </c>
      <c r="AE51" s="54">
        <f>IF(SUM(AB51:AB$116)=0,0,AND(AC51=FALSE,AD51=0,SUM(AD51:AD$116)&gt;0))</f>
        <v>0</v>
      </c>
      <c r="AF51" s="54">
        <f t="shared" si="30"/>
        <v>0</v>
      </c>
      <c r="AG51" s="54">
        <f t="shared" si="31"/>
        <v>0</v>
      </c>
      <c r="AH51" s="56">
        <f t="shared" si="32"/>
        <v>0</v>
      </c>
      <c r="AI51" s="56">
        <f t="shared" si="33"/>
        <v>0</v>
      </c>
      <c r="AJ51" s="54">
        <f t="shared" si="34"/>
        <v>0</v>
      </c>
      <c r="AK51" s="54" t="str">
        <f t="shared" si="35"/>
        <v/>
      </c>
      <c r="AL51" s="54">
        <f t="shared" si="36"/>
        <v>0</v>
      </c>
      <c r="AM51" s="54">
        <f t="shared" si="37"/>
        <v>0</v>
      </c>
      <c r="AN51" s="54">
        <f t="shared" si="38"/>
        <v>0</v>
      </c>
      <c r="AO51" s="54">
        <f t="shared" si="39"/>
        <v>0</v>
      </c>
      <c r="AP51" s="54">
        <f t="shared" si="40"/>
        <v>0</v>
      </c>
      <c r="AQ51" s="54">
        <f t="shared" si="41"/>
        <v>0</v>
      </c>
      <c r="AR51" s="53">
        <f t="shared" si="42"/>
        <v>0</v>
      </c>
      <c r="AS51" s="409" t="str">
        <f t="shared" si="43"/>
        <v/>
      </c>
      <c r="AT51" s="54">
        <f t="shared" si="10"/>
        <v>0</v>
      </c>
      <c r="AU51" s="54">
        <f t="shared" si="11"/>
        <v>0</v>
      </c>
      <c r="AV51" s="54">
        <f t="shared" si="12"/>
        <v>0</v>
      </c>
      <c r="AW51" s="55" t="b">
        <f t="shared" ca="1" si="13"/>
        <v>0</v>
      </c>
      <c r="AX51" s="69"/>
      <c r="AY51" s="203">
        <f t="shared" ca="1" si="14"/>
        <v>0</v>
      </c>
      <c r="AZ51" s="72">
        <f t="shared" ca="1" si="15"/>
        <v>0</v>
      </c>
      <c r="BA51" s="72">
        <f t="shared" ca="1" si="44"/>
        <v>0</v>
      </c>
      <c r="BB51" s="75">
        <f t="shared" ca="1" si="16"/>
        <v>0</v>
      </c>
      <c r="BC51" s="209">
        <f t="shared" si="17"/>
        <v>0</v>
      </c>
      <c r="BD51" s="72">
        <f t="shared" si="45"/>
        <v>0</v>
      </c>
      <c r="BE51" s="72">
        <f t="shared" si="46"/>
        <v>0</v>
      </c>
      <c r="BF51" s="72">
        <f t="shared" si="47"/>
        <v>0</v>
      </c>
      <c r="BG51" s="200">
        <f t="shared" ca="1" si="48"/>
        <v>0</v>
      </c>
      <c r="BH51" s="69"/>
      <c r="BI51" s="198">
        <f t="shared" si="18"/>
        <v>0</v>
      </c>
      <c r="BJ51" s="71">
        <f t="shared" si="19"/>
        <v>0</v>
      </c>
      <c r="BK51" s="72">
        <f t="shared" si="49"/>
        <v>0</v>
      </c>
      <c r="BL51" s="72">
        <f t="shared" ca="1" si="50"/>
        <v>0</v>
      </c>
      <c r="BM51" s="200">
        <f t="shared" ca="1" si="20"/>
        <v>0</v>
      </c>
      <c r="BN51" s="69"/>
      <c r="BO51" s="198">
        <f t="shared" si="21"/>
        <v>0</v>
      </c>
      <c r="BP51" s="72">
        <f t="shared" ca="1" si="22"/>
        <v>0</v>
      </c>
      <c r="BQ51" s="78">
        <f t="shared" si="51"/>
        <v>0</v>
      </c>
      <c r="BR51" s="78">
        <f t="shared" si="23"/>
        <v>0</v>
      </c>
      <c r="BS51" s="80">
        <f t="shared" ca="1" si="24"/>
        <v>0</v>
      </c>
      <c r="BT51" s="80">
        <f t="shared" ca="1" si="25"/>
        <v>0</v>
      </c>
      <c r="BU51" s="259" t="str">
        <f t="shared" ca="1" si="26"/>
        <v/>
      </c>
      <c r="BV51" s="206" t="str">
        <f t="shared" ca="1" si="27"/>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row>
    <row r="52" spans="1:116" ht="12.75" customHeight="1">
      <c r="A52" s="5"/>
      <c r="B52" s="327">
        <f t="shared" si="28"/>
        <v>40</v>
      </c>
      <c r="C52" s="398">
        <v>16</v>
      </c>
      <c r="D52" s="931"/>
      <c r="E52" s="932"/>
      <c r="F52" s="476"/>
      <c r="G52" s="483"/>
      <c r="H52" s="466"/>
      <c r="I52" s="467"/>
      <c r="J52" s="489"/>
      <c r="K52" s="490"/>
      <c r="L52" s="491"/>
      <c r="M52" s="492"/>
      <c r="N52" s="373" t="str">
        <f t="shared" ca="1" si="1"/>
        <v/>
      </c>
      <c r="O52" s="374" t="str">
        <f t="shared" ca="1" si="2"/>
        <v/>
      </c>
      <c r="P52" s="375">
        <f t="shared" ca="1" si="3"/>
        <v>0</v>
      </c>
      <c r="Q52" s="384" t="str">
        <f t="shared" ca="1" si="4"/>
        <v/>
      </c>
      <c r="R52" s="385" t="str">
        <f t="shared" ca="1" si="5"/>
        <v/>
      </c>
      <c r="S52" s="386">
        <f t="shared" ca="1" si="6"/>
        <v>0</v>
      </c>
      <c r="T52" s="387" t="str">
        <f t="shared" ca="1" si="7"/>
        <v/>
      </c>
      <c r="U52" s="5"/>
      <c r="V52" s="6"/>
      <c r="W52" s="4"/>
      <c r="X52" s="4">
        <v>16</v>
      </c>
      <c r="Y52" s="104">
        <f t="shared" si="8"/>
        <v>40</v>
      </c>
      <c r="Z52" s="104">
        <f t="shared" si="29"/>
        <v>0</v>
      </c>
      <c r="AA52" s="4"/>
      <c r="AB52" s="53">
        <f t="shared" si="52"/>
        <v>0</v>
      </c>
      <c r="AC52" s="54">
        <f>IF(SUM(AB52:AB$116)=0,0,F52&gt;0)</f>
        <v>0</v>
      </c>
      <c r="AD52" s="53">
        <f t="shared" si="53"/>
        <v>0</v>
      </c>
      <c r="AE52" s="54">
        <f>IF(SUM(AB52:AB$116)=0,0,AND(AC52=FALSE,AD52=0,SUM(AD52:AD$116)&gt;0))</f>
        <v>0</v>
      </c>
      <c r="AF52" s="54">
        <f t="shared" si="30"/>
        <v>0</v>
      </c>
      <c r="AG52" s="54">
        <f t="shared" si="31"/>
        <v>0</v>
      </c>
      <c r="AH52" s="56">
        <f t="shared" si="32"/>
        <v>0</v>
      </c>
      <c r="AI52" s="56">
        <f t="shared" si="33"/>
        <v>0</v>
      </c>
      <c r="AJ52" s="54">
        <f t="shared" si="34"/>
        <v>0</v>
      </c>
      <c r="AK52" s="54" t="str">
        <f t="shared" si="35"/>
        <v/>
      </c>
      <c r="AL52" s="54">
        <f t="shared" si="36"/>
        <v>0</v>
      </c>
      <c r="AM52" s="54">
        <f t="shared" si="37"/>
        <v>0</v>
      </c>
      <c r="AN52" s="54">
        <f t="shared" si="38"/>
        <v>0</v>
      </c>
      <c r="AO52" s="54">
        <f t="shared" si="39"/>
        <v>0</v>
      </c>
      <c r="AP52" s="54">
        <f t="shared" si="40"/>
        <v>0</v>
      </c>
      <c r="AQ52" s="54">
        <f t="shared" si="41"/>
        <v>0</v>
      </c>
      <c r="AR52" s="53">
        <f t="shared" si="42"/>
        <v>0</v>
      </c>
      <c r="AS52" s="409" t="str">
        <f t="shared" si="43"/>
        <v/>
      </c>
      <c r="AT52" s="54">
        <f t="shared" si="10"/>
        <v>0</v>
      </c>
      <c r="AU52" s="54">
        <f t="shared" si="11"/>
        <v>0</v>
      </c>
      <c r="AV52" s="54">
        <f t="shared" si="12"/>
        <v>0</v>
      </c>
      <c r="AW52" s="55" t="b">
        <f t="shared" ca="1" si="13"/>
        <v>0</v>
      </c>
      <c r="AX52" s="69"/>
      <c r="AY52" s="203">
        <f t="shared" ca="1" si="14"/>
        <v>0</v>
      </c>
      <c r="AZ52" s="72">
        <f t="shared" ca="1" si="15"/>
        <v>0</v>
      </c>
      <c r="BA52" s="72">
        <f t="shared" ca="1" si="44"/>
        <v>0</v>
      </c>
      <c r="BB52" s="75">
        <f t="shared" ca="1" si="16"/>
        <v>0</v>
      </c>
      <c r="BC52" s="209">
        <f t="shared" si="17"/>
        <v>0</v>
      </c>
      <c r="BD52" s="72">
        <f t="shared" si="45"/>
        <v>0</v>
      </c>
      <c r="BE52" s="72">
        <f t="shared" si="46"/>
        <v>0</v>
      </c>
      <c r="BF52" s="72">
        <f t="shared" si="47"/>
        <v>0</v>
      </c>
      <c r="BG52" s="200">
        <f t="shared" ca="1" si="48"/>
        <v>0</v>
      </c>
      <c r="BH52" s="69"/>
      <c r="BI52" s="198">
        <f t="shared" si="18"/>
        <v>0</v>
      </c>
      <c r="BJ52" s="71">
        <f t="shared" si="19"/>
        <v>0</v>
      </c>
      <c r="BK52" s="72">
        <f t="shared" si="49"/>
        <v>0</v>
      </c>
      <c r="BL52" s="72">
        <f t="shared" ca="1" si="50"/>
        <v>0</v>
      </c>
      <c r="BM52" s="200">
        <f t="shared" ca="1" si="20"/>
        <v>0</v>
      </c>
      <c r="BN52" s="69"/>
      <c r="BO52" s="198">
        <f t="shared" si="21"/>
        <v>0</v>
      </c>
      <c r="BP52" s="72">
        <f t="shared" ca="1" si="22"/>
        <v>0</v>
      </c>
      <c r="BQ52" s="78">
        <f t="shared" si="51"/>
        <v>0</v>
      </c>
      <c r="BR52" s="78">
        <f t="shared" si="23"/>
        <v>0</v>
      </c>
      <c r="BS52" s="80">
        <f t="shared" ca="1" si="24"/>
        <v>0</v>
      </c>
      <c r="BT52" s="80">
        <f t="shared" ca="1" si="25"/>
        <v>0</v>
      </c>
      <c r="BU52" s="259" t="str">
        <f t="shared" ca="1" si="26"/>
        <v/>
      </c>
      <c r="BV52" s="206" t="str">
        <f t="shared" ca="1" si="27"/>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row>
    <row r="53" spans="1:116" ht="12.75" customHeight="1">
      <c r="A53" s="5"/>
      <c r="B53" s="327">
        <f t="shared" si="28"/>
        <v>40</v>
      </c>
      <c r="C53" s="398">
        <v>17</v>
      </c>
      <c r="D53" s="931"/>
      <c r="E53" s="932"/>
      <c r="F53" s="476"/>
      <c r="G53" s="483"/>
      <c r="H53" s="466"/>
      <c r="I53" s="467"/>
      <c r="J53" s="489"/>
      <c r="K53" s="490"/>
      <c r="L53" s="491"/>
      <c r="M53" s="492"/>
      <c r="N53" s="373" t="str">
        <f t="shared" ca="1" si="1"/>
        <v/>
      </c>
      <c r="O53" s="374" t="str">
        <f t="shared" ca="1" si="2"/>
        <v/>
      </c>
      <c r="P53" s="375">
        <f t="shared" ca="1" si="3"/>
        <v>0</v>
      </c>
      <c r="Q53" s="384" t="str">
        <f t="shared" ca="1" si="4"/>
        <v/>
      </c>
      <c r="R53" s="385" t="str">
        <f t="shared" ca="1" si="5"/>
        <v/>
      </c>
      <c r="S53" s="386">
        <f t="shared" ca="1" si="6"/>
        <v>0</v>
      </c>
      <c r="T53" s="387" t="str">
        <f t="shared" ca="1" si="7"/>
        <v/>
      </c>
      <c r="U53" s="5"/>
      <c r="V53" s="6"/>
      <c r="W53" s="4"/>
      <c r="X53" s="4">
        <v>17</v>
      </c>
      <c r="Y53" s="104">
        <f t="shared" si="8"/>
        <v>40</v>
      </c>
      <c r="Z53" s="104">
        <f t="shared" si="29"/>
        <v>0</v>
      </c>
      <c r="AA53" s="4"/>
      <c r="AB53" s="53">
        <f t="shared" si="52"/>
        <v>0</v>
      </c>
      <c r="AC53" s="54">
        <f>IF(SUM(AB53:AB$116)=0,0,F53&gt;0)</f>
        <v>0</v>
      </c>
      <c r="AD53" s="53">
        <f t="shared" si="53"/>
        <v>0</v>
      </c>
      <c r="AE53" s="54">
        <f>IF(SUM(AB53:AB$116)=0,0,AND(AC53=FALSE,AD53=0,SUM(AD53:AD$116)&gt;0))</f>
        <v>0</v>
      </c>
      <c r="AF53" s="54">
        <f t="shared" si="30"/>
        <v>0</v>
      </c>
      <c r="AG53" s="54">
        <f t="shared" si="31"/>
        <v>0</v>
      </c>
      <c r="AH53" s="56">
        <f t="shared" si="32"/>
        <v>0</v>
      </c>
      <c r="AI53" s="56">
        <f t="shared" si="33"/>
        <v>0</v>
      </c>
      <c r="AJ53" s="54">
        <f t="shared" si="34"/>
        <v>0</v>
      </c>
      <c r="AK53" s="54" t="str">
        <f t="shared" si="35"/>
        <v/>
      </c>
      <c r="AL53" s="54">
        <f t="shared" si="36"/>
        <v>0</v>
      </c>
      <c r="AM53" s="54">
        <f t="shared" si="37"/>
        <v>0</v>
      </c>
      <c r="AN53" s="54">
        <f t="shared" si="38"/>
        <v>0</v>
      </c>
      <c r="AO53" s="54">
        <f t="shared" si="39"/>
        <v>0</v>
      </c>
      <c r="AP53" s="54">
        <f t="shared" si="40"/>
        <v>0</v>
      </c>
      <c r="AQ53" s="54">
        <f t="shared" si="41"/>
        <v>0</v>
      </c>
      <c r="AR53" s="53">
        <f t="shared" si="42"/>
        <v>0</v>
      </c>
      <c r="AS53" s="409" t="str">
        <f t="shared" si="43"/>
        <v/>
      </c>
      <c r="AT53" s="54">
        <f t="shared" si="10"/>
        <v>0</v>
      </c>
      <c r="AU53" s="54">
        <f t="shared" si="11"/>
        <v>0</v>
      </c>
      <c r="AV53" s="54">
        <f t="shared" si="12"/>
        <v>0</v>
      </c>
      <c r="AW53" s="55" t="b">
        <f t="shared" ca="1" si="13"/>
        <v>0</v>
      </c>
      <c r="AX53" s="69"/>
      <c r="AY53" s="203">
        <f t="shared" ca="1" si="14"/>
        <v>0</v>
      </c>
      <c r="AZ53" s="72">
        <f t="shared" ca="1" si="15"/>
        <v>0</v>
      </c>
      <c r="BA53" s="72">
        <f t="shared" ca="1" si="44"/>
        <v>0</v>
      </c>
      <c r="BB53" s="75">
        <f t="shared" ca="1" si="16"/>
        <v>0</v>
      </c>
      <c r="BC53" s="209">
        <f t="shared" si="17"/>
        <v>0</v>
      </c>
      <c r="BD53" s="72">
        <f t="shared" si="45"/>
        <v>0</v>
      </c>
      <c r="BE53" s="72">
        <f t="shared" si="46"/>
        <v>0</v>
      </c>
      <c r="BF53" s="72">
        <f t="shared" si="47"/>
        <v>0</v>
      </c>
      <c r="BG53" s="200">
        <f t="shared" ca="1" si="48"/>
        <v>0</v>
      </c>
      <c r="BH53" s="69"/>
      <c r="BI53" s="198">
        <f t="shared" si="18"/>
        <v>0</v>
      </c>
      <c r="BJ53" s="71">
        <f t="shared" si="19"/>
        <v>0</v>
      </c>
      <c r="BK53" s="72">
        <f t="shared" si="49"/>
        <v>0</v>
      </c>
      <c r="BL53" s="72">
        <f t="shared" ca="1" si="50"/>
        <v>0</v>
      </c>
      <c r="BM53" s="200">
        <f t="shared" ca="1" si="20"/>
        <v>0</v>
      </c>
      <c r="BN53" s="69"/>
      <c r="BO53" s="198">
        <f t="shared" si="21"/>
        <v>0</v>
      </c>
      <c r="BP53" s="72">
        <f t="shared" ca="1" si="22"/>
        <v>0</v>
      </c>
      <c r="BQ53" s="78">
        <f t="shared" si="51"/>
        <v>0</v>
      </c>
      <c r="BR53" s="78">
        <f t="shared" si="23"/>
        <v>0</v>
      </c>
      <c r="BS53" s="80">
        <f t="shared" ca="1" si="24"/>
        <v>0</v>
      </c>
      <c r="BT53" s="80">
        <f t="shared" ca="1" si="25"/>
        <v>0</v>
      </c>
      <c r="BU53" s="259" t="str">
        <f t="shared" ca="1" si="26"/>
        <v/>
      </c>
      <c r="BV53" s="206" t="str">
        <f t="shared" ca="1" si="27"/>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row>
    <row r="54" spans="1:116" ht="12.75" customHeight="1">
      <c r="A54" s="5"/>
      <c r="B54" s="327">
        <f t="shared" si="28"/>
        <v>40</v>
      </c>
      <c r="C54" s="398">
        <v>18</v>
      </c>
      <c r="D54" s="931"/>
      <c r="E54" s="932"/>
      <c r="F54" s="476"/>
      <c r="G54" s="483"/>
      <c r="H54" s="466"/>
      <c r="I54" s="467"/>
      <c r="J54" s="489"/>
      <c r="K54" s="490"/>
      <c r="L54" s="491"/>
      <c r="M54" s="492"/>
      <c r="N54" s="373" t="str">
        <f t="shared" ca="1" si="1"/>
        <v/>
      </c>
      <c r="O54" s="374" t="str">
        <f t="shared" ca="1" si="2"/>
        <v/>
      </c>
      <c r="P54" s="375">
        <f t="shared" ca="1" si="3"/>
        <v>0</v>
      </c>
      <c r="Q54" s="384" t="str">
        <f t="shared" ca="1" si="4"/>
        <v/>
      </c>
      <c r="R54" s="385" t="str">
        <f t="shared" ca="1" si="5"/>
        <v/>
      </c>
      <c r="S54" s="386">
        <f t="shared" ca="1" si="6"/>
        <v>0</v>
      </c>
      <c r="T54" s="387" t="str">
        <f t="shared" ca="1" si="7"/>
        <v/>
      </c>
      <c r="U54" s="5"/>
      <c r="V54" s="6"/>
      <c r="W54" s="4"/>
      <c r="X54" s="4">
        <v>18</v>
      </c>
      <c r="Y54" s="104">
        <f t="shared" si="8"/>
        <v>40</v>
      </c>
      <c r="Z54" s="104">
        <f t="shared" si="29"/>
        <v>0</v>
      </c>
      <c r="AA54" s="4"/>
      <c r="AB54" s="53">
        <f t="shared" si="52"/>
        <v>0</v>
      </c>
      <c r="AC54" s="54">
        <f>IF(SUM(AB54:AB$116)=0,0,F54&gt;0)</f>
        <v>0</v>
      </c>
      <c r="AD54" s="53">
        <f t="shared" si="53"/>
        <v>0</v>
      </c>
      <c r="AE54" s="54">
        <f>IF(SUM(AB54:AB$116)=0,0,AND(AC54=FALSE,AD54=0,SUM(AD54:AD$116)&gt;0))</f>
        <v>0</v>
      </c>
      <c r="AF54" s="54">
        <f t="shared" si="30"/>
        <v>0</v>
      </c>
      <c r="AG54" s="54">
        <f t="shared" si="31"/>
        <v>0</v>
      </c>
      <c r="AH54" s="56">
        <f t="shared" si="32"/>
        <v>0</v>
      </c>
      <c r="AI54" s="56">
        <f t="shared" si="33"/>
        <v>0</v>
      </c>
      <c r="AJ54" s="54">
        <f t="shared" si="34"/>
        <v>0</v>
      </c>
      <c r="AK54" s="54" t="str">
        <f t="shared" si="35"/>
        <v/>
      </c>
      <c r="AL54" s="54">
        <f t="shared" si="36"/>
        <v>0</v>
      </c>
      <c r="AM54" s="54">
        <f t="shared" si="37"/>
        <v>0</v>
      </c>
      <c r="AN54" s="54">
        <f t="shared" si="38"/>
        <v>0</v>
      </c>
      <c r="AO54" s="54">
        <f t="shared" si="39"/>
        <v>0</v>
      </c>
      <c r="AP54" s="54">
        <f t="shared" si="40"/>
        <v>0</v>
      </c>
      <c r="AQ54" s="54">
        <f t="shared" si="41"/>
        <v>0</v>
      </c>
      <c r="AR54" s="53">
        <f t="shared" si="42"/>
        <v>0</v>
      </c>
      <c r="AS54" s="409" t="str">
        <f t="shared" si="43"/>
        <v/>
      </c>
      <c r="AT54" s="54">
        <f t="shared" si="10"/>
        <v>0</v>
      </c>
      <c r="AU54" s="54">
        <f t="shared" si="11"/>
        <v>0</v>
      </c>
      <c r="AV54" s="54">
        <f t="shared" si="12"/>
        <v>0</v>
      </c>
      <c r="AW54" s="55" t="b">
        <f t="shared" ca="1" si="13"/>
        <v>0</v>
      </c>
      <c r="AX54" s="69"/>
      <c r="AY54" s="203">
        <f t="shared" ca="1" si="14"/>
        <v>0</v>
      </c>
      <c r="AZ54" s="72">
        <f t="shared" ca="1" si="15"/>
        <v>0</v>
      </c>
      <c r="BA54" s="72">
        <f t="shared" ca="1" si="44"/>
        <v>0</v>
      </c>
      <c r="BB54" s="75">
        <f t="shared" ca="1" si="16"/>
        <v>0</v>
      </c>
      <c r="BC54" s="209">
        <f t="shared" si="17"/>
        <v>0</v>
      </c>
      <c r="BD54" s="72">
        <f t="shared" si="45"/>
        <v>0</v>
      </c>
      <c r="BE54" s="72">
        <f t="shared" si="46"/>
        <v>0</v>
      </c>
      <c r="BF54" s="72">
        <f t="shared" si="47"/>
        <v>0</v>
      </c>
      <c r="BG54" s="200">
        <f t="shared" ca="1" si="48"/>
        <v>0</v>
      </c>
      <c r="BH54" s="69"/>
      <c r="BI54" s="198">
        <f t="shared" si="18"/>
        <v>0</v>
      </c>
      <c r="BJ54" s="71">
        <f t="shared" si="19"/>
        <v>0</v>
      </c>
      <c r="BK54" s="72">
        <f t="shared" si="49"/>
        <v>0</v>
      </c>
      <c r="BL54" s="72">
        <f t="shared" ca="1" si="50"/>
        <v>0</v>
      </c>
      <c r="BM54" s="200">
        <f t="shared" ca="1" si="20"/>
        <v>0</v>
      </c>
      <c r="BN54" s="69"/>
      <c r="BO54" s="198">
        <f t="shared" si="21"/>
        <v>0</v>
      </c>
      <c r="BP54" s="72">
        <f t="shared" ca="1" si="22"/>
        <v>0</v>
      </c>
      <c r="BQ54" s="78">
        <f t="shared" si="51"/>
        <v>0</v>
      </c>
      <c r="BR54" s="78">
        <f t="shared" si="23"/>
        <v>0</v>
      </c>
      <c r="BS54" s="80">
        <f t="shared" ca="1" si="24"/>
        <v>0</v>
      </c>
      <c r="BT54" s="80">
        <f t="shared" ca="1" si="25"/>
        <v>0</v>
      </c>
      <c r="BU54" s="259" t="str">
        <f t="shared" ca="1" si="26"/>
        <v/>
      </c>
      <c r="BV54" s="206" t="str">
        <f t="shared" ca="1" si="27"/>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row>
    <row r="55" spans="1:116" ht="12.75" customHeight="1">
      <c r="A55" s="5"/>
      <c r="B55" s="327">
        <f t="shared" si="28"/>
        <v>40</v>
      </c>
      <c r="C55" s="398">
        <v>19</v>
      </c>
      <c r="D55" s="931"/>
      <c r="E55" s="932"/>
      <c r="F55" s="476"/>
      <c r="G55" s="483"/>
      <c r="H55" s="466"/>
      <c r="I55" s="467"/>
      <c r="J55" s="489"/>
      <c r="K55" s="490"/>
      <c r="L55" s="491"/>
      <c r="M55" s="492"/>
      <c r="N55" s="373" t="str">
        <f t="shared" ca="1" si="1"/>
        <v/>
      </c>
      <c r="O55" s="374" t="str">
        <f t="shared" ca="1" si="2"/>
        <v/>
      </c>
      <c r="P55" s="375">
        <f t="shared" ca="1" si="3"/>
        <v>0</v>
      </c>
      <c r="Q55" s="384" t="str">
        <f t="shared" ca="1" si="4"/>
        <v/>
      </c>
      <c r="R55" s="385" t="str">
        <f t="shared" ca="1" si="5"/>
        <v/>
      </c>
      <c r="S55" s="386">
        <f t="shared" ca="1" si="6"/>
        <v>0</v>
      </c>
      <c r="T55" s="387" t="str">
        <f t="shared" ca="1" si="7"/>
        <v/>
      </c>
      <c r="U55" s="5"/>
      <c r="V55" s="6"/>
      <c r="W55" s="4"/>
      <c r="X55" s="4">
        <v>19</v>
      </c>
      <c r="Y55" s="104">
        <f t="shared" si="8"/>
        <v>40</v>
      </c>
      <c r="Z55" s="104">
        <f t="shared" si="29"/>
        <v>0</v>
      </c>
      <c r="AA55" s="4"/>
      <c r="AB55" s="53">
        <f t="shared" si="52"/>
        <v>0</v>
      </c>
      <c r="AC55" s="54">
        <f>IF(SUM(AB55:AB$116)=0,0,F55&gt;0)</f>
        <v>0</v>
      </c>
      <c r="AD55" s="53">
        <f t="shared" si="53"/>
        <v>0</v>
      </c>
      <c r="AE55" s="54">
        <f>IF(SUM(AB55:AB$116)=0,0,AND(AC55=FALSE,AD55=0,SUM(AD55:AD$116)&gt;0))</f>
        <v>0</v>
      </c>
      <c r="AF55" s="54">
        <f t="shared" si="30"/>
        <v>0</v>
      </c>
      <c r="AG55" s="54">
        <f t="shared" si="31"/>
        <v>0</v>
      </c>
      <c r="AH55" s="56">
        <f t="shared" si="32"/>
        <v>0</v>
      </c>
      <c r="AI55" s="56">
        <f t="shared" si="33"/>
        <v>0</v>
      </c>
      <c r="AJ55" s="54">
        <f t="shared" si="34"/>
        <v>0</v>
      </c>
      <c r="AK55" s="54" t="str">
        <f t="shared" si="35"/>
        <v/>
      </c>
      <c r="AL55" s="54">
        <f t="shared" si="36"/>
        <v>0</v>
      </c>
      <c r="AM55" s="54">
        <f t="shared" si="37"/>
        <v>0</v>
      </c>
      <c r="AN55" s="54">
        <f t="shared" si="38"/>
        <v>0</v>
      </c>
      <c r="AO55" s="54">
        <f t="shared" si="39"/>
        <v>0</v>
      </c>
      <c r="AP55" s="54">
        <f t="shared" si="40"/>
        <v>0</v>
      </c>
      <c r="AQ55" s="54">
        <f t="shared" si="41"/>
        <v>0</v>
      </c>
      <c r="AR55" s="53">
        <f t="shared" si="42"/>
        <v>0</v>
      </c>
      <c r="AS55" s="409" t="str">
        <f t="shared" si="43"/>
        <v/>
      </c>
      <c r="AT55" s="54">
        <f t="shared" si="10"/>
        <v>0</v>
      </c>
      <c r="AU55" s="54">
        <f t="shared" si="11"/>
        <v>0</v>
      </c>
      <c r="AV55" s="54">
        <f t="shared" si="12"/>
        <v>0</v>
      </c>
      <c r="AW55" s="55" t="b">
        <f t="shared" ca="1" si="13"/>
        <v>0</v>
      </c>
      <c r="AX55" s="69"/>
      <c r="AY55" s="203">
        <f t="shared" ca="1" si="14"/>
        <v>0</v>
      </c>
      <c r="AZ55" s="72">
        <f t="shared" ca="1" si="15"/>
        <v>0</v>
      </c>
      <c r="BA55" s="72">
        <f t="shared" ca="1" si="44"/>
        <v>0</v>
      </c>
      <c r="BB55" s="75">
        <f t="shared" ca="1" si="16"/>
        <v>0</v>
      </c>
      <c r="BC55" s="209">
        <f t="shared" si="17"/>
        <v>0</v>
      </c>
      <c r="BD55" s="72">
        <f t="shared" si="45"/>
        <v>0</v>
      </c>
      <c r="BE55" s="72">
        <f t="shared" si="46"/>
        <v>0</v>
      </c>
      <c r="BF55" s="72">
        <f t="shared" si="47"/>
        <v>0</v>
      </c>
      <c r="BG55" s="200">
        <f t="shared" ca="1" si="48"/>
        <v>0</v>
      </c>
      <c r="BH55" s="69"/>
      <c r="BI55" s="198">
        <f t="shared" si="18"/>
        <v>0</v>
      </c>
      <c r="BJ55" s="71">
        <f t="shared" si="19"/>
        <v>0</v>
      </c>
      <c r="BK55" s="72">
        <f t="shared" si="49"/>
        <v>0</v>
      </c>
      <c r="BL55" s="72">
        <f t="shared" ca="1" si="50"/>
        <v>0</v>
      </c>
      <c r="BM55" s="200">
        <f t="shared" ca="1" si="20"/>
        <v>0</v>
      </c>
      <c r="BN55" s="69"/>
      <c r="BO55" s="198">
        <f t="shared" si="21"/>
        <v>0</v>
      </c>
      <c r="BP55" s="72">
        <f t="shared" ca="1" si="22"/>
        <v>0</v>
      </c>
      <c r="BQ55" s="78">
        <f t="shared" si="51"/>
        <v>0</v>
      </c>
      <c r="BR55" s="78">
        <f t="shared" si="23"/>
        <v>0</v>
      </c>
      <c r="BS55" s="80">
        <f t="shared" ca="1" si="24"/>
        <v>0</v>
      </c>
      <c r="BT55" s="80">
        <f t="shared" ca="1" si="25"/>
        <v>0</v>
      </c>
      <c r="BU55" s="259" t="str">
        <f t="shared" ca="1" si="26"/>
        <v/>
      </c>
      <c r="BV55" s="206" t="str">
        <f t="shared" ca="1" si="27"/>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row>
    <row r="56" spans="1:116" ht="12.75" customHeight="1">
      <c r="A56" s="5"/>
      <c r="B56" s="327">
        <f t="shared" si="28"/>
        <v>40</v>
      </c>
      <c r="C56" s="398">
        <v>20</v>
      </c>
      <c r="D56" s="931"/>
      <c r="E56" s="932"/>
      <c r="F56" s="476"/>
      <c r="G56" s="483"/>
      <c r="H56" s="466"/>
      <c r="I56" s="467"/>
      <c r="J56" s="489"/>
      <c r="K56" s="490"/>
      <c r="L56" s="491"/>
      <c r="M56" s="492"/>
      <c r="N56" s="373" t="str">
        <f t="shared" ca="1" si="1"/>
        <v/>
      </c>
      <c r="O56" s="374" t="str">
        <f t="shared" ca="1" si="2"/>
        <v/>
      </c>
      <c r="P56" s="375">
        <f t="shared" ca="1" si="3"/>
        <v>0</v>
      </c>
      <c r="Q56" s="384" t="str">
        <f t="shared" ca="1" si="4"/>
        <v/>
      </c>
      <c r="R56" s="385" t="str">
        <f t="shared" ca="1" si="5"/>
        <v/>
      </c>
      <c r="S56" s="386">
        <f t="shared" ca="1" si="6"/>
        <v>0</v>
      </c>
      <c r="T56" s="387" t="str">
        <f t="shared" ca="1" si="7"/>
        <v/>
      </c>
      <c r="U56" s="5"/>
      <c r="V56" s="6"/>
      <c r="W56" s="4"/>
      <c r="X56" s="4">
        <v>20</v>
      </c>
      <c r="Y56" s="104">
        <f t="shared" si="8"/>
        <v>40</v>
      </c>
      <c r="Z56" s="104">
        <f t="shared" si="29"/>
        <v>0</v>
      </c>
      <c r="AA56" s="4"/>
      <c r="AB56" s="53">
        <f t="shared" si="52"/>
        <v>0</v>
      </c>
      <c r="AC56" s="54">
        <f>IF(SUM(AB56:AB$116)=0,0,F56&gt;0)</f>
        <v>0</v>
      </c>
      <c r="AD56" s="53">
        <f t="shared" si="53"/>
        <v>0</v>
      </c>
      <c r="AE56" s="54">
        <f>IF(SUM(AB56:AB$116)=0,0,AND(AC56=FALSE,AD56=0,SUM(AD56:AD$116)&gt;0))</f>
        <v>0</v>
      </c>
      <c r="AF56" s="54">
        <f t="shared" si="30"/>
        <v>0</v>
      </c>
      <c r="AG56" s="54">
        <f t="shared" si="31"/>
        <v>0</v>
      </c>
      <c r="AH56" s="56">
        <f t="shared" si="32"/>
        <v>0</v>
      </c>
      <c r="AI56" s="56">
        <f t="shared" si="33"/>
        <v>0</v>
      </c>
      <c r="AJ56" s="54">
        <f t="shared" si="34"/>
        <v>0</v>
      </c>
      <c r="AK56" s="54" t="str">
        <f t="shared" si="35"/>
        <v/>
      </c>
      <c r="AL56" s="54">
        <f t="shared" si="36"/>
        <v>0</v>
      </c>
      <c r="AM56" s="54">
        <f t="shared" si="37"/>
        <v>0</v>
      </c>
      <c r="AN56" s="54">
        <f t="shared" si="38"/>
        <v>0</v>
      </c>
      <c r="AO56" s="54">
        <f t="shared" si="39"/>
        <v>0</v>
      </c>
      <c r="AP56" s="54">
        <f t="shared" si="40"/>
        <v>0</v>
      </c>
      <c r="AQ56" s="54">
        <f t="shared" si="41"/>
        <v>0</v>
      </c>
      <c r="AR56" s="53">
        <f t="shared" si="42"/>
        <v>0</v>
      </c>
      <c r="AS56" s="409" t="str">
        <f t="shared" si="43"/>
        <v/>
      </c>
      <c r="AT56" s="54">
        <f t="shared" si="10"/>
        <v>0</v>
      </c>
      <c r="AU56" s="54">
        <f t="shared" si="11"/>
        <v>0</v>
      </c>
      <c r="AV56" s="54">
        <f t="shared" si="12"/>
        <v>0</v>
      </c>
      <c r="AW56" s="55" t="b">
        <f t="shared" ca="1" si="13"/>
        <v>0</v>
      </c>
      <c r="AX56" s="69"/>
      <c r="AY56" s="203">
        <f t="shared" ca="1" si="14"/>
        <v>0</v>
      </c>
      <c r="AZ56" s="72">
        <f t="shared" ca="1" si="15"/>
        <v>0</v>
      </c>
      <c r="BA56" s="72">
        <f t="shared" ca="1" si="44"/>
        <v>0</v>
      </c>
      <c r="BB56" s="75">
        <f t="shared" ca="1" si="16"/>
        <v>0</v>
      </c>
      <c r="BC56" s="209">
        <f t="shared" si="17"/>
        <v>0</v>
      </c>
      <c r="BD56" s="72">
        <f t="shared" si="45"/>
        <v>0</v>
      </c>
      <c r="BE56" s="72">
        <f t="shared" si="46"/>
        <v>0</v>
      </c>
      <c r="BF56" s="72">
        <f t="shared" si="47"/>
        <v>0</v>
      </c>
      <c r="BG56" s="200">
        <f t="shared" ca="1" si="48"/>
        <v>0</v>
      </c>
      <c r="BH56" s="69"/>
      <c r="BI56" s="198">
        <f t="shared" si="18"/>
        <v>0</v>
      </c>
      <c r="BJ56" s="71">
        <f t="shared" si="19"/>
        <v>0</v>
      </c>
      <c r="BK56" s="72">
        <f t="shared" si="49"/>
        <v>0</v>
      </c>
      <c r="BL56" s="72">
        <f t="shared" ca="1" si="50"/>
        <v>0</v>
      </c>
      <c r="BM56" s="200">
        <f t="shared" ca="1" si="20"/>
        <v>0</v>
      </c>
      <c r="BN56" s="69"/>
      <c r="BO56" s="198">
        <f t="shared" si="21"/>
        <v>0</v>
      </c>
      <c r="BP56" s="72">
        <f t="shared" ca="1" si="22"/>
        <v>0</v>
      </c>
      <c r="BQ56" s="78">
        <f t="shared" si="51"/>
        <v>0</v>
      </c>
      <c r="BR56" s="78">
        <f t="shared" si="23"/>
        <v>0</v>
      </c>
      <c r="BS56" s="80">
        <f t="shared" ca="1" si="24"/>
        <v>0</v>
      </c>
      <c r="BT56" s="80">
        <f t="shared" ca="1" si="25"/>
        <v>0</v>
      </c>
      <c r="BU56" s="259" t="str">
        <f t="shared" ca="1" si="26"/>
        <v/>
      </c>
      <c r="BV56" s="206" t="str">
        <f t="shared" ca="1" si="27"/>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row>
    <row r="57" spans="1:116" ht="12.75" customHeight="1">
      <c r="A57" s="5"/>
      <c r="B57" s="327">
        <f t="shared" si="28"/>
        <v>40</v>
      </c>
      <c r="C57" s="398">
        <v>21</v>
      </c>
      <c r="D57" s="931"/>
      <c r="E57" s="932"/>
      <c r="F57" s="476"/>
      <c r="G57" s="483"/>
      <c r="H57" s="466"/>
      <c r="I57" s="467"/>
      <c r="J57" s="489"/>
      <c r="K57" s="490"/>
      <c r="L57" s="491"/>
      <c r="M57" s="492"/>
      <c r="N57" s="373" t="str">
        <f t="shared" ca="1" si="1"/>
        <v/>
      </c>
      <c r="O57" s="374" t="str">
        <f t="shared" ca="1" si="2"/>
        <v/>
      </c>
      <c r="P57" s="375">
        <f t="shared" ca="1" si="3"/>
        <v>0</v>
      </c>
      <c r="Q57" s="384" t="str">
        <f t="shared" ca="1" si="4"/>
        <v/>
      </c>
      <c r="R57" s="385" t="str">
        <f t="shared" ca="1" si="5"/>
        <v/>
      </c>
      <c r="S57" s="386">
        <f t="shared" ca="1" si="6"/>
        <v>0</v>
      </c>
      <c r="T57" s="387" t="str">
        <f t="shared" ca="1" si="7"/>
        <v/>
      </c>
      <c r="U57" s="5"/>
      <c r="V57" s="6"/>
      <c r="W57" s="4"/>
      <c r="X57" s="4">
        <v>21</v>
      </c>
      <c r="Y57" s="104">
        <f t="shared" si="8"/>
        <v>40</v>
      </c>
      <c r="Z57" s="104">
        <f t="shared" si="29"/>
        <v>0</v>
      </c>
      <c r="AA57" s="4"/>
      <c r="AB57" s="53">
        <f t="shared" si="52"/>
        <v>0</v>
      </c>
      <c r="AC57" s="54">
        <f>IF(SUM(AB57:AB$116)=0,0,F57&gt;0)</f>
        <v>0</v>
      </c>
      <c r="AD57" s="53">
        <f t="shared" si="53"/>
        <v>0</v>
      </c>
      <c r="AE57" s="54">
        <f>IF(SUM(AB57:AB$116)=0,0,AND(AC57=FALSE,AD57=0,SUM(AD57:AD$116)&gt;0))</f>
        <v>0</v>
      </c>
      <c r="AF57" s="54">
        <f t="shared" si="30"/>
        <v>0</v>
      </c>
      <c r="AG57" s="54">
        <f t="shared" si="31"/>
        <v>0</v>
      </c>
      <c r="AH57" s="56">
        <f t="shared" si="32"/>
        <v>0</v>
      </c>
      <c r="AI57" s="56">
        <f t="shared" si="33"/>
        <v>0</v>
      </c>
      <c r="AJ57" s="54">
        <f t="shared" si="34"/>
        <v>0</v>
      </c>
      <c r="AK57" s="54" t="str">
        <f t="shared" si="35"/>
        <v/>
      </c>
      <c r="AL57" s="54">
        <f t="shared" si="36"/>
        <v>0</v>
      </c>
      <c r="AM57" s="54">
        <f t="shared" si="37"/>
        <v>0</v>
      </c>
      <c r="AN57" s="54">
        <f t="shared" si="38"/>
        <v>0</v>
      </c>
      <c r="AO57" s="54">
        <f t="shared" si="39"/>
        <v>0</v>
      </c>
      <c r="AP57" s="54">
        <f t="shared" si="40"/>
        <v>0</v>
      </c>
      <c r="AQ57" s="54">
        <f t="shared" si="41"/>
        <v>0</v>
      </c>
      <c r="AR57" s="53">
        <f t="shared" si="42"/>
        <v>0</v>
      </c>
      <c r="AS57" s="409" t="str">
        <f t="shared" si="43"/>
        <v/>
      </c>
      <c r="AT57" s="54">
        <f t="shared" si="10"/>
        <v>0</v>
      </c>
      <c r="AU57" s="54">
        <f t="shared" si="11"/>
        <v>0</v>
      </c>
      <c r="AV57" s="54">
        <f t="shared" si="12"/>
        <v>0</v>
      </c>
      <c r="AW57" s="55" t="b">
        <f t="shared" ca="1" si="13"/>
        <v>0</v>
      </c>
      <c r="AX57" s="69"/>
      <c r="AY57" s="203">
        <f t="shared" ca="1" si="14"/>
        <v>0</v>
      </c>
      <c r="AZ57" s="72">
        <f t="shared" ca="1" si="15"/>
        <v>0</v>
      </c>
      <c r="BA57" s="72">
        <f t="shared" ca="1" si="44"/>
        <v>0</v>
      </c>
      <c r="BB57" s="75">
        <f t="shared" ca="1" si="16"/>
        <v>0</v>
      </c>
      <c r="BC57" s="209">
        <f t="shared" si="17"/>
        <v>0</v>
      </c>
      <c r="BD57" s="72">
        <f t="shared" si="45"/>
        <v>0</v>
      </c>
      <c r="BE57" s="72">
        <f t="shared" si="46"/>
        <v>0</v>
      </c>
      <c r="BF57" s="72">
        <f t="shared" si="47"/>
        <v>0</v>
      </c>
      <c r="BG57" s="200">
        <f t="shared" ca="1" si="48"/>
        <v>0</v>
      </c>
      <c r="BH57" s="69"/>
      <c r="BI57" s="198">
        <f t="shared" si="18"/>
        <v>0</v>
      </c>
      <c r="BJ57" s="71">
        <f t="shared" si="19"/>
        <v>0</v>
      </c>
      <c r="BK57" s="72">
        <f t="shared" si="49"/>
        <v>0</v>
      </c>
      <c r="BL57" s="72">
        <f t="shared" ca="1" si="50"/>
        <v>0</v>
      </c>
      <c r="BM57" s="200">
        <f t="shared" ca="1" si="20"/>
        <v>0</v>
      </c>
      <c r="BN57" s="69"/>
      <c r="BO57" s="198">
        <f t="shared" si="21"/>
        <v>0</v>
      </c>
      <c r="BP57" s="72">
        <f t="shared" ca="1" si="22"/>
        <v>0</v>
      </c>
      <c r="BQ57" s="78">
        <f t="shared" si="51"/>
        <v>0</v>
      </c>
      <c r="BR57" s="78">
        <f t="shared" si="23"/>
        <v>0</v>
      </c>
      <c r="BS57" s="80">
        <f t="shared" ca="1" si="24"/>
        <v>0</v>
      </c>
      <c r="BT57" s="80">
        <f t="shared" ca="1" si="25"/>
        <v>0</v>
      </c>
      <c r="BU57" s="259" t="str">
        <f t="shared" ca="1" si="26"/>
        <v/>
      </c>
      <c r="BV57" s="206" t="str">
        <f t="shared" ca="1" si="27"/>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row>
    <row r="58" spans="1:116" ht="12.75" customHeight="1">
      <c r="A58" s="5"/>
      <c r="B58" s="327">
        <f t="shared" si="28"/>
        <v>40</v>
      </c>
      <c r="C58" s="398">
        <v>22</v>
      </c>
      <c r="D58" s="931"/>
      <c r="E58" s="932"/>
      <c r="F58" s="476"/>
      <c r="G58" s="483"/>
      <c r="H58" s="466"/>
      <c r="I58" s="467"/>
      <c r="J58" s="489"/>
      <c r="K58" s="490"/>
      <c r="L58" s="491"/>
      <c r="M58" s="492"/>
      <c r="N58" s="373" t="str">
        <f t="shared" ca="1" si="1"/>
        <v/>
      </c>
      <c r="O58" s="374" t="str">
        <f t="shared" ca="1" si="2"/>
        <v/>
      </c>
      <c r="P58" s="375">
        <f t="shared" ca="1" si="3"/>
        <v>0</v>
      </c>
      <c r="Q58" s="384" t="str">
        <f t="shared" ca="1" si="4"/>
        <v/>
      </c>
      <c r="R58" s="385" t="str">
        <f t="shared" ca="1" si="5"/>
        <v/>
      </c>
      <c r="S58" s="386">
        <f t="shared" ca="1" si="6"/>
        <v>0</v>
      </c>
      <c r="T58" s="387" t="str">
        <f t="shared" ca="1" si="7"/>
        <v/>
      </c>
      <c r="U58" s="5"/>
      <c r="V58" s="6"/>
      <c r="W58" s="4"/>
      <c r="X58" s="4">
        <v>22</v>
      </c>
      <c r="Y58" s="104">
        <f t="shared" si="8"/>
        <v>40</v>
      </c>
      <c r="Z58" s="104">
        <f t="shared" si="29"/>
        <v>0</v>
      </c>
      <c r="AA58" s="4"/>
      <c r="AB58" s="53">
        <f t="shared" si="52"/>
        <v>0</v>
      </c>
      <c r="AC58" s="54">
        <f>IF(SUM(AB58:AB$116)=0,0,F58&gt;0)</f>
        <v>0</v>
      </c>
      <c r="AD58" s="53">
        <f t="shared" si="53"/>
        <v>0</v>
      </c>
      <c r="AE58" s="54">
        <f>IF(SUM(AB58:AB$116)=0,0,AND(AC58=FALSE,AD58=0,SUM(AD58:AD$116)&gt;0))</f>
        <v>0</v>
      </c>
      <c r="AF58" s="54">
        <f t="shared" si="30"/>
        <v>0</v>
      </c>
      <c r="AG58" s="54">
        <f t="shared" si="31"/>
        <v>0</v>
      </c>
      <c r="AH58" s="56">
        <f t="shared" si="32"/>
        <v>0</v>
      </c>
      <c r="AI58" s="56">
        <f t="shared" si="33"/>
        <v>0</v>
      </c>
      <c r="AJ58" s="54">
        <f t="shared" si="34"/>
        <v>0</v>
      </c>
      <c r="AK58" s="54" t="str">
        <f t="shared" si="35"/>
        <v/>
      </c>
      <c r="AL58" s="54">
        <f t="shared" si="36"/>
        <v>0</v>
      </c>
      <c r="AM58" s="54">
        <f t="shared" si="37"/>
        <v>0</v>
      </c>
      <c r="AN58" s="54">
        <f t="shared" si="38"/>
        <v>0</v>
      </c>
      <c r="AO58" s="54">
        <f t="shared" si="39"/>
        <v>0</v>
      </c>
      <c r="AP58" s="54">
        <f t="shared" si="40"/>
        <v>0</v>
      </c>
      <c r="AQ58" s="54">
        <f t="shared" si="41"/>
        <v>0</v>
      </c>
      <c r="AR58" s="53">
        <f t="shared" si="42"/>
        <v>0</v>
      </c>
      <c r="AS58" s="409" t="str">
        <f t="shared" si="43"/>
        <v/>
      </c>
      <c r="AT58" s="54">
        <f t="shared" si="10"/>
        <v>0</v>
      </c>
      <c r="AU58" s="54">
        <f t="shared" si="11"/>
        <v>0</v>
      </c>
      <c r="AV58" s="54">
        <f t="shared" si="12"/>
        <v>0</v>
      </c>
      <c r="AW58" s="55" t="b">
        <f t="shared" ca="1" si="13"/>
        <v>0</v>
      </c>
      <c r="AX58" s="69"/>
      <c r="AY58" s="203">
        <f t="shared" ca="1" si="14"/>
        <v>0</v>
      </c>
      <c r="AZ58" s="72">
        <f t="shared" ca="1" si="15"/>
        <v>0</v>
      </c>
      <c r="BA58" s="72">
        <f t="shared" ca="1" si="44"/>
        <v>0</v>
      </c>
      <c r="BB58" s="75">
        <f t="shared" ca="1" si="16"/>
        <v>0</v>
      </c>
      <c r="BC58" s="209">
        <f t="shared" si="17"/>
        <v>0</v>
      </c>
      <c r="BD58" s="72">
        <f t="shared" si="45"/>
        <v>0</v>
      </c>
      <c r="BE58" s="72">
        <f t="shared" si="46"/>
        <v>0</v>
      </c>
      <c r="BF58" s="72">
        <f t="shared" si="47"/>
        <v>0</v>
      </c>
      <c r="BG58" s="200">
        <f t="shared" ca="1" si="48"/>
        <v>0</v>
      </c>
      <c r="BH58" s="69"/>
      <c r="BI58" s="198">
        <f t="shared" si="18"/>
        <v>0</v>
      </c>
      <c r="BJ58" s="71">
        <f t="shared" si="19"/>
        <v>0</v>
      </c>
      <c r="BK58" s="72">
        <f t="shared" si="49"/>
        <v>0</v>
      </c>
      <c r="BL58" s="72">
        <f t="shared" ca="1" si="50"/>
        <v>0</v>
      </c>
      <c r="BM58" s="200">
        <f t="shared" ca="1" si="20"/>
        <v>0</v>
      </c>
      <c r="BN58" s="69"/>
      <c r="BO58" s="198">
        <f t="shared" si="21"/>
        <v>0</v>
      </c>
      <c r="BP58" s="72">
        <f t="shared" ca="1" si="22"/>
        <v>0</v>
      </c>
      <c r="BQ58" s="78">
        <f t="shared" si="51"/>
        <v>0</v>
      </c>
      <c r="BR58" s="78">
        <f t="shared" si="23"/>
        <v>0</v>
      </c>
      <c r="BS58" s="80">
        <f t="shared" ca="1" si="24"/>
        <v>0</v>
      </c>
      <c r="BT58" s="80">
        <f t="shared" ca="1" si="25"/>
        <v>0</v>
      </c>
      <c r="BU58" s="259" t="str">
        <f t="shared" ca="1" si="26"/>
        <v/>
      </c>
      <c r="BV58" s="206" t="str">
        <f t="shared" ca="1" si="27"/>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row>
    <row r="59" spans="1:116" ht="12.75" customHeight="1">
      <c r="A59" s="5"/>
      <c r="B59" s="327">
        <f t="shared" si="28"/>
        <v>40</v>
      </c>
      <c r="C59" s="398">
        <v>23</v>
      </c>
      <c r="D59" s="931"/>
      <c r="E59" s="932"/>
      <c r="F59" s="476"/>
      <c r="G59" s="483"/>
      <c r="H59" s="466"/>
      <c r="I59" s="467"/>
      <c r="J59" s="489"/>
      <c r="K59" s="490"/>
      <c r="L59" s="491"/>
      <c r="M59" s="492"/>
      <c r="N59" s="373" t="str">
        <f t="shared" ca="1" si="1"/>
        <v/>
      </c>
      <c r="O59" s="374" t="str">
        <f t="shared" ca="1" si="2"/>
        <v/>
      </c>
      <c r="P59" s="375">
        <f t="shared" ca="1" si="3"/>
        <v>0</v>
      </c>
      <c r="Q59" s="384" t="str">
        <f t="shared" ca="1" si="4"/>
        <v/>
      </c>
      <c r="R59" s="385" t="str">
        <f t="shared" ca="1" si="5"/>
        <v/>
      </c>
      <c r="S59" s="386">
        <f t="shared" ca="1" si="6"/>
        <v>0</v>
      </c>
      <c r="T59" s="387" t="str">
        <f t="shared" ca="1" si="7"/>
        <v/>
      </c>
      <c r="U59" s="5"/>
      <c r="V59" s="6"/>
      <c r="W59" s="4"/>
      <c r="X59" s="4">
        <v>23</v>
      </c>
      <c r="Y59" s="104">
        <f t="shared" si="8"/>
        <v>40</v>
      </c>
      <c r="Z59" s="104">
        <f t="shared" si="29"/>
        <v>0</v>
      </c>
      <c r="AA59" s="4"/>
      <c r="AB59" s="53">
        <f t="shared" si="52"/>
        <v>0</v>
      </c>
      <c r="AC59" s="54">
        <f>IF(SUM(AB59:AB$116)=0,0,F59&gt;0)</f>
        <v>0</v>
      </c>
      <c r="AD59" s="53">
        <f t="shared" si="53"/>
        <v>0</v>
      </c>
      <c r="AE59" s="54">
        <f>IF(SUM(AB59:AB$116)=0,0,AND(AC59=FALSE,AD59=0,SUM(AD59:AD$116)&gt;0))</f>
        <v>0</v>
      </c>
      <c r="AF59" s="54">
        <f t="shared" si="30"/>
        <v>0</v>
      </c>
      <c r="AG59" s="54">
        <f t="shared" si="31"/>
        <v>0</v>
      </c>
      <c r="AH59" s="56">
        <f t="shared" si="32"/>
        <v>0</v>
      </c>
      <c r="AI59" s="56">
        <f t="shared" si="33"/>
        <v>0</v>
      </c>
      <c r="AJ59" s="54">
        <f t="shared" si="34"/>
        <v>0</v>
      </c>
      <c r="AK59" s="54" t="str">
        <f t="shared" si="35"/>
        <v/>
      </c>
      <c r="AL59" s="54">
        <f t="shared" si="36"/>
        <v>0</v>
      </c>
      <c r="AM59" s="54">
        <f t="shared" si="37"/>
        <v>0</v>
      </c>
      <c r="AN59" s="54">
        <f t="shared" si="38"/>
        <v>0</v>
      </c>
      <c r="AO59" s="54">
        <f t="shared" si="39"/>
        <v>0</v>
      </c>
      <c r="AP59" s="54">
        <f t="shared" si="40"/>
        <v>0</v>
      </c>
      <c r="AQ59" s="54">
        <f t="shared" si="41"/>
        <v>0</v>
      </c>
      <c r="AR59" s="53">
        <f t="shared" si="42"/>
        <v>0</v>
      </c>
      <c r="AS59" s="409" t="str">
        <f t="shared" si="43"/>
        <v/>
      </c>
      <c r="AT59" s="54">
        <f t="shared" si="10"/>
        <v>0</v>
      </c>
      <c r="AU59" s="54">
        <f t="shared" si="11"/>
        <v>0</v>
      </c>
      <c r="AV59" s="54">
        <f t="shared" si="12"/>
        <v>0</v>
      </c>
      <c r="AW59" s="55" t="b">
        <f t="shared" ca="1" si="13"/>
        <v>0</v>
      </c>
      <c r="AX59" s="69"/>
      <c r="AY59" s="203">
        <f t="shared" ca="1" si="14"/>
        <v>0</v>
      </c>
      <c r="AZ59" s="72">
        <f t="shared" ca="1" si="15"/>
        <v>0</v>
      </c>
      <c r="BA59" s="72">
        <f t="shared" ca="1" si="44"/>
        <v>0</v>
      </c>
      <c r="BB59" s="75">
        <f t="shared" ca="1" si="16"/>
        <v>0</v>
      </c>
      <c r="BC59" s="209">
        <f t="shared" si="17"/>
        <v>0</v>
      </c>
      <c r="BD59" s="72">
        <f t="shared" si="45"/>
        <v>0</v>
      </c>
      <c r="BE59" s="72">
        <f t="shared" si="46"/>
        <v>0</v>
      </c>
      <c r="BF59" s="72">
        <f t="shared" si="47"/>
        <v>0</v>
      </c>
      <c r="BG59" s="200">
        <f t="shared" ca="1" si="48"/>
        <v>0</v>
      </c>
      <c r="BH59" s="69"/>
      <c r="BI59" s="198">
        <f t="shared" si="18"/>
        <v>0</v>
      </c>
      <c r="BJ59" s="71">
        <f t="shared" si="19"/>
        <v>0</v>
      </c>
      <c r="BK59" s="72">
        <f t="shared" si="49"/>
        <v>0</v>
      </c>
      <c r="BL59" s="72">
        <f t="shared" ca="1" si="50"/>
        <v>0</v>
      </c>
      <c r="BM59" s="200">
        <f t="shared" ca="1" si="20"/>
        <v>0</v>
      </c>
      <c r="BN59" s="69"/>
      <c r="BO59" s="198">
        <f t="shared" si="21"/>
        <v>0</v>
      </c>
      <c r="BP59" s="72">
        <f t="shared" ca="1" si="22"/>
        <v>0</v>
      </c>
      <c r="BQ59" s="78">
        <f t="shared" si="51"/>
        <v>0</v>
      </c>
      <c r="BR59" s="78">
        <f t="shared" si="23"/>
        <v>0</v>
      </c>
      <c r="BS59" s="80">
        <f t="shared" ca="1" si="24"/>
        <v>0</v>
      </c>
      <c r="BT59" s="80">
        <f t="shared" ca="1" si="25"/>
        <v>0</v>
      </c>
      <c r="BU59" s="259" t="str">
        <f t="shared" ca="1" si="26"/>
        <v/>
      </c>
      <c r="BV59" s="206" t="str">
        <f t="shared" ca="1" si="27"/>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row>
    <row r="60" spans="1:116" ht="12.75" customHeight="1">
      <c r="A60" s="5"/>
      <c r="B60" s="327">
        <f t="shared" si="28"/>
        <v>40</v>
      </c>
      <c r="C60" s="398">
        <v>24</v>
      </c>
      <c r="D60" s="931"/>
      <c r="E60" s="932"/>
      <c r="F60" s="476"/>
      <c r="G60" s="483"/>
      <c r="H60" s="466"/>
      <c r="I60" s="467"/>
      <c r="J60" s="489"/>
      <c r="K60" s="490"/>
      <c r="L60" s="491"/>
      <c r="M60" s="492"/>
      <c r="N60" s="373" t="str">
        <f t="shared" ca="1" si="1"/>
        <v/>
      </c>
      <c r="O60" s="374" t="str">
        <f t="shared" ca="1" si="2"/>
        <v/>
      </c>
      <c r="P60" s="375">
        <f t="shared" ca="1" si="3"/>
        <v>0</v>
      </c>
      <c r="Q60" s="384" t="str">
        <f t="shared" ca="1" si="4"/>
        <v/>
      </c>
      <c r="R60" s="385" t="str">
        <f t="shared" ca="1" si="5"/>
        <v/>
      </c>
      <c r="S60" s="386">
        <f t="shared" ca="1" si="6"/>
        <v>0</v>
      </c>
      <c r="T60" s="387" t="str">
        <f t="shared" ca="1" si="7"/>
        <v/>
      </c>
      <c r="U60" s="5"/>
      <c r="V60" s="6"/>
      <c r="W60" s="4"/>
      <c r="X60" s="4">
        <v>24</v>
      </c>
      <c r="Y60" s="104">
        <f t="shared" si="8"/>
        <v>40</v>
      </c>
      <c r="Z60" s="104">
        <f t="shared" si="29"/>
        <v>0</v>
      </c>
      <c r="AA60" s="4"/>
      <c r="AB60" s="53">
        <f t="shared" si="52"/>
        <v>0</v>
      </c>
      <c r="AC60" s="54">
        <f>IF(SUM(AB60:AB$116)=0,0,F60&gt;0)</f>
        <v>0</v>
      </c>
      <c r="AD60" s="53">
        <f t="shared" si="53"/>
        <v>0</v>
      </c>
      <c r="AE60" s="54">
        <f>IF(SUM(AB60:AB$116)=0,0,AND(AC60=FALSE,AD60=0,SUM(AD60:AD$116)&gt;0))</f>
        <v>0</v>
      </c>
      <c r="AF60" s="54">
        <f t="shared" si="30"/>
        <v>0</v>
      </c>
      <c r="AG60" s="54">
        <f t="shared" si="31"/>
        <v>0</v>
      </c>
      <c r="AH60" s="56">
        <f t="shared" si="32"/>
        <v>0</v>
      </c>
      <c r="AI60" s="56">
        <f t="shared" si="33"/>
        <v>0</v>
      </c>
      <c r="AJ60" s="54">
        <f t="shared" si="34"/>
        <v>0</v>
      </c>
      <c r="AK60" s="54" t="str">
        <f t="shared" si="35"/>
        <v/>
      </c>
      <c r="AL60" s="54">
        <f t="shared" si="36"/>
        <v>0</v>
      </c>
      <c r="AM60" s="54">
        <f t="shared" si="37"/>
        <v>0</v>
      </c>
      <c r="AN60" s="54">
        <f t="shared" si="38"/>
        <v>0</v>
      </c>
      <c r="AO60" s="54">
        <f t="shared" si="39"/>
        <v>0</v>
      </c>
      <c r="AP60" s="54">
        <f t="shared" si="40"/>
        <v>0</v>
      </c>
      <c r="AQ60" s="54">
        <f t="shared" si="41"/>
        <v>0</v>
      </c>
      <c r="AR60" s="53">
        <f t="shared" si="42"/>
        <v>0</v>
      </c>
      <c r="AS60" s="409" t="str">
        <f t="shared" si="43"/>
        <v/>
      </c>
      <c r="AT60" s="54">
        <f t="shared" si="10"/>
        <v>0</v>
      </c>
      <c r="AU60" s="54">
        <f t="shared" si="11"/>
        <v>0</v>
      </c>
      <c r="AV60" s="54">
        <f t="shared" si="12"/>
        <v>0</v>
      </c>
      <c r="AW60" s="55" t="b">
        <f t="shared" ca="1" si="13"/>
        <v>0</v>
      </c>
      <c r="AX60" s="69"/>
      <c r="AY60" s="203">
        <f t="shared" ca="1" si="14"/>
        <v>0</v>
      </c>
      <c r="AZ60" s="72">
        <f t="shared" ca="1" si="15"/>
        <v>0</v>
      </c>
      <c r="BA60" s="72">
        <f t="shared" ca="1" si="44"/>
        <v>0</v>
      </c>
      <c r="BB60" s="75">
        <f t="shared" ca="1" si="16"/>
        <v>0</v>
      </c>
      <c r="BC60" s="209">
        <f t="shared" si="17"/>
        <v>0</v>
      </c>
      <c r="BD60" s="72">
        <f t="shared" si="45"/>
        <v>0</v>
      </c>
      <c r="BE60" s="72">
        <f t="shared" si="46"/>
        <v>0</v>
      </c>
      <c r="BF60" s="72">
        <f t="shared" si="47"/>
        <v>0</v>
      </c>
      <c r="BG60" s="200">
        <f t="shared" ca="1" si="48"/>
        <v>0</v>
      </c>
      <c r="BH60" s="69"/>
      <c r="BI60" s="198">
        <f t="shared" si="18"/>
        <v>0</v>
      </c>
      <c r="BJ60" s="71">
        <f t="shared" si="19"/>
        <v>0</v>
      </c>
      <c r="BK60" s="72">
        <f t="shared" si="49"/>
        <v>0</v>
      </c>
      <c r="BL60" s="72">
        <f t="shared" ca="1" si="50"/>
        <v>0</v>
      </c>
      <c r="BM60" s="200">
        <f t="shared" ca="1" si="20"/>
        <v>0</v>
      </c>
      <c r="BN60" s="69"/>
      <c r="BO60" s="198">
        <f t="shared" si="21"/>
        <v>0</v>
      </c>
      <c r="BP60" s="72">
        <f t="shared" ca="1" si="22"/>
        <v>0</v>
      </c>
      <c r="BQ60" s="78">
        <f t="shared" si="51"/>
        <v>0</v>
      </c>
      <c r="BR60" s="78">
        <f t="shared" si="23"/>
        <v>0</v>
      </c>
      <c r="BS60" s="80">
        <f t="shared" ca="1" si="24"/>
        <v>0</v>
      </c>
      <c r="BT60" s="80">
        <f t="shared" ca="1" si="25"/>
        <v>0</v>
      </c>
      <c r="BU60" s="259" t="str">
        <f t="shared" ca="1" si="26"/>
        <v/>
      </c>
      <c r="BV60" s="206" t="str">
        <f t="shared" ca="1" si="27"/>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row>
    <row r="61" spans="1:116" ht="12.75" customHeight="1">
      <c r="A61" s="5"/>
      <c r="B61" s="327">
        <f t="shared" si="28"/>
        <v>40</v>
      </c>
      <c r="C61" s="398">
        <v>25</v>
      </c>
      <c r="D61" s="931"/>
      <c r="E61" s="932"/>
      <c r="F61" s="476"/>
      <c r="G61" s="483"/>
      <c r="H61" s="466"/>
      <c r="I61" s="467"/>
      <c r="J61" s="489"/>
      <c r="K61" s="490"/>
      <c r="L61" s="491"/>
      <c r="M61" s="492"/>
      <c r="N61" s="373" t="str">
        <f t="shared" ca="1" si="1"/>
        <v/>
      </c>
      <c r="O61" s="374" t="str">
        <f t="shared" ca="1" si="2"/>
        <v/>
      </c>
      <c r="P61" s="375">
        <f t="shared" ca="1" si="3"/>
        <v>0</v>
      </c>
      <c r="Q61" s="384" t="str">
        <f t="shared" ca="1" si="4"/>
        <v/>
      </c>
      <c r="R61" s="385" t="str">
        <f t="shared" ca="1" si="5"/>
        <v/>
      </c>
      <c r="S61" s="386">
        <f t="shared" ca="1" si="6"/>
        <v>0</v>
      </c>
      <c r="T61" s="387" t="str">
        <f t="shared" ca="1" si="7"/>
        <v/>
      </c>
      <c r="U61" s="5"/>
      <c r="V61" s="6"/>
      <c r="W61" s="4"/>
      <c r="X61" s="4">
        <v>25</v>
      </c>
      <c r="Y61" s="104">
        <f t="shared" si="8"/>
        <v>40</v>
      </c>
      <c r="Z61" s="104">
        <f t="shared" si="29"/>
        <v>0</v>
      </c>
      <c r="AA61" s="4"/>
      <c r="AB61" s="53">
        <f t="shared" si="52"/>
        <v>0</v>
      </c>
      <c r="AC61" s="54">
        <f>IF(SUM(AB61:AB$116)=0,0,F61&gt;0)</f>
        <v>0</v>
      </c>
      <c r="AD61" s="53">
        <f t="shared" si="53"/>
        <v>0</v>
      </c>
      <c r="AE61" s="54">
        <f>IF(SUM(AB61:AB$116)=0,0,AND(AC61=FALSE,AD61=0,SUM(AD61:AD$116)&gt;0))</f>
        <v>0</v>
      </c>
      <c r="AF61" s="54">
        <f t="shared" si="30"/>
        <v>0</v>
      </c>
      <c r="AG61" s="54">
        <f t="shared" si="31"/>
        <v>0</v>
      </c>
      <c r="AH61" s="56">
        <f t="shared" si="32"/>
        <v>0</v>
      </c>
      <c r="AI61" s="56">
        <f t="shared" si="33"/>
        <v>0</v>
      </c>
      <c r="AJ61" s="54">
        <f t="shared" si="34"/>
        <v>0</v>
      </c>
      <c r="AK61" s="54" t="str">
        <f t="shared" si="35"/>
        <v/>
      </c>
      <c r="AL61" s="54">
        <f t="shared" si="36"/>
        <v>0</v>
      </c>
      <c r="AM61" s="54">
        <f t="shared" si="37"/>
        <v>0</v>
      </c>
      <c r="AN61" s="54">
        <f t="shared" si="38"/>
        <v>0</v>
      </c>
      <c r="AO61" s="54">
        <f t="shared" si="39"/>
        <v>0</v>
      </c>
      <c r="AP61" s="54">
        <f t="shared" si="40"/>
        <v>0</v>
      </c>
      <c r="AQ61" s="54">
        <f t="shared" si="41"/>
        <v>0</v>
      </c>
      <c r="AR61" s="53">
        <f t="shared" si="42"/>
        <v>0</v>
      </c>
      <c r="AS61" s="409" t="str">
        <f t="shared" si="43"/>
        <v/>
      </c>
      <c r="AT61" s="54">
        <f t="shared" si="10"/>
        <v>0</v>
      </c>
      <c r="AU61" s="54">
        <f t="shared" si="11"/>
        <v>0</v>
      </c>
      <c r="AV61" s="54">
        <f t="shared" si="12"/>
        <v>0</v>
      </c>
      <c r="AW61" s="55" t="b">
        <f t="shared" ca="1" si="13"/>
        <v>0</v>
      </c>
      <c r="AX61" s="69"/>
      <c r="AY61" s="203">
        <f t="shared" ca="1" si="14"/>
        <v>0</v>
      </c>
      <c r="AZ61" s="72">
        <f t="shared" ca="1" si="15"/>
        <v>0</v>
      </c>
      <c r="BA61" s="72">
        <f t="shared" ca="1" si="44"/>
        <v>0</v>
      </c>
      <c r="BB61" s="75">
        <f t="shared" ca="1" si="16"/>
        <v>0</v>
      </c>
      <c r="BC61" s="209">
        <f t="shared" si="17"/>
        <v>0</v>
      </c>
      <c r="BD61" s="72">
        <f t="shared" si="45"/>
        <v>0</v>
      </c>
      <c r="BE61" s="72">
        <f t="shared" si="46"/>
        <v>0</v>
      </c>
      <c r="BF61" s="72">
        <f t="shared" si="47"/>
        <v>0</v>
      </c>
      <c r="BG61" s="200">
        <f t="shared" ca="1" si="48"/>
        <v>0</v>
      </c>
      <c r="BH61" s="69"/>
      <c r="BI61" s="198">
        <f t="shared" si="18"/>
        <v>0</v>
      </c>
      <c r="BJ61" s="71">
        <f t="shared" si="19"/>
        <v>0</v>
      </c>
      <c r="BK61" s="72">
        <f t="shared" si="49"/>
        <v>0</v>
      </c>
      <c r="BL61" s="72">
        <f t="shared" ca="1" si="50"/>
        <v>0</v>
      </c>
      <c r="BM61" s="200">
        <f t="shared" ca="1" si="20"/>
        <v>0</v>
      </c>
      <c r="BN61" s="69"/>
      <c r="BO61" s="198">
        <f t="shared" si="21"/>
        <v>0</v>
      </c>
      <c r="BP61" s="72">
        <f t="shared" ca="1" si="22"/>
        <v>0</v>
      </c>
      <c r="BQ61" s="78">
        <f t="shared" si="51"/>
        <v>0</v>
      </c>
      <c r="BR61" s="78">
        <f t="shared" si="23"/>
        <v>0</v>
      </c>
      <c r="BS61" s="80">
        <f t="shared" ca="1" si="24"/>
        <v>0</v>
      </c>
      <c r="BT61" s="80">
        <f t="shared" ca="1" si="25"/>
        <v>0</v>
      </c>
      <c r="BU61" s="259" t="str">
        <f t="shared" ca="1" si="26"/>
        <v/>
      </c>
      <c r="BV61" s="206" t="str">
        <f t="shared" ca="1" si="27"/>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row>
    <row r="62" spans="1:116" ht="12.75" customHeight="1">
      <c r="A62" s="5"/>
      <c r="B62" s="327">
        <f t="shared" si="28"/>
        <v>40</v>
      </c>
      <c r="C62" s="398">
        <v>26</v>
      </c>
      <c r="D62" s="931"/>
      <c r="E62" s="932"/>
      <c r="F62" s="476"/>
      <c r="G62" s="483"/>
      <c r="H62" s="466"/>
      <c r="I62" s="467"/>
      <c r="J62" s="489"/>
      <c r="K62" s="490"/>
      <c r="L62" s="491"/>
      <c r="M62" s="492"/>
      <c r="N62" s="373" t="str">
        <f t="shared" ca="1" si="1"/>
        <v/>
      </c>
      <c r="O62" s="374" t="str">
        <f t="shared" ca="1" si="2"/>
        <v/>
      </c>
      <c r="P62" s="375">
        <f t="shared" ca="1" si="3"/>
        <v>0</v>
      </c>
      <c r="Q62" s="384" t="str">
        <f t="shared" ca="1" si="4"/>
        <v/>
      </c>
      <c r="R62" s="385" t="str">
        <f t="shared" ca="1" si="5"/>
        <v/>
      </c>
      <c r="S62" s="386">
        <f t="shared" ca="1" si="6"/>
        <v>0</v>
      </c>
      <c r="T62" s="387" t="str">
        <f t="shared" ca="1" si="7"/>
        <v/>
      </c>
      <c r="U62" s="5"/>
      <c r="V62" s="6"/>
      <c r="W62" s="4"/>
      <c r="X62" s="4">
        <v>26</v>
      </c>
      <c r="Y62" s="104">
        <f t="shared" si="8"/>
        <v>40</v>
      </c>
      <c r="Z62" s="104">
        <f t="shared" si="29"/>
        <v>0</v>
      </c>
      <c r="AA62" s="4"/>
      <c r="AB62" s="53">
        <f t="shared" si="52"/>
        <v>0</v>
      </c>
      <c r="AC62" s="54">
        <f>IF(SUM(AB62:AB$116)=0,0,F62&gt;0)</f>
        <v>0</v>
      </c>
      <c r="AD62" s="53">
        <f t="shared" si="53"/>
        <v>0</v>
      </c>
      <c r="AE62" s="54">
        <f>IF(SUM(AB62:AB$116)=0,0,AND(AC62=FALSE,AD62=0,SUM(AD62:AD$116)&gt;0))</f>
        <v>0</v>
      </c>
      <c r="AF62" s="54">
        <f t="shared" si="30"/>
        <v>0</v>
      </c>
      <c r="AG62" s="54">
        <f t="shared" si="31"/>
        <v>0</v>
      </c>
      <c r="AH62" s="56">
        <f t="shared" si="32"/>
        <v>0</v>
      </c>
      <c r="AI62" s="56">
        <f t="shared" si="33"/>
        <v>0</v>
      </c>
      <c r="AJ62" s="54">
        <f t="shared" si="34"/>
        <v>0</v>
      </c>
      <c r="AK62" s="54" t="str">
        <f t="shared" si="35"/>
        <v/>
      </c>
      <c r="AL62" s="54">
        <f t="shared" si="36"/>
        <v>0</v>
      </c>
      <c r="AM62" s="54">
        <f t="shared" si="37"/>
        <v>0</v>
      </c>
      <c r="AN62" s="54">
        <f t="shared" si="38"/>
        <v>0</v>
      </c>
      <c r="AO62" s="54">
        <f t="shared" si="39"/>
        <v>0</v>
      </c>
      <c r="AP62" s="54">
        <f t="shared" si="40"/>
        <v>0</v>
      </c>
      <c r="AQ62" s="54">
        <f t="shared" si="41"/>
        <v>0</v>
      </c>
      <c r="AR62" s="53">
        <f t="shared" si="42"/>
        <v>0</v>
      </c>
      <c r="AS62" s="409" t="str">
        <f t="shared" si="43"/>
        <v/>
      </c>
      <c r="AT62" s="54">
        <f t="shared" si="10"/>
        <v>0</v>
      </c>
      <c r="AU62" s="54">
        <f t="shared" si="11"/>
        <v>0</v>
      </c>
      <c r="AV62" s="54">
        <f t="shared" si="12"/>
        <v>0</v>
      </c>
      <c r="AW62" s="55" t="b">
        <f t="shared" ca="1" si="13"/>
        <v>0</v>
      </c>
      <c r="AX62" s="69"/>
      <c r="AY62" s="203">
        <f t="shared" ca="1" si="14"/>
        <v>0</v>
      </c>
      <c r="AZ62" s="72">
        <f t="shared" ca="1" si="15"/>
        <v>0</v>
      </c>
      <c r="BA62" s="72">
        <f t="shared" ca="1" si="44"/>
        <v>0</v>
      </c>
      <c r="BB62" s="75">
        <f t="shared" ca="1" si="16"/>
        <v>0</v>
      </c>
      <c r="BC62" s="209">
        <f t="shared" si="17"/>
        <v>0</v>
      </c>
      <c r="BD62" s="72">
        <f t="shared" si="45"/>
        <v>0</v>
      </c>
      <c r="BE62" s="72">
        <f t="shared" si="46"/>
        <v>0</v>
      </c>
      <c r="BF62" s="72">
        <f t="shared" si="47"/>
        <v>0</v>
      </c>
      <c r="BG62" s="200">
        <f t="shared" ca="1" si="48"/>
        <v>0</v>
      </c>
      <c r="BH62" s="69"/>
      <c r="BI62" s="198">
        <f t="shared" si="18"/>
        <v>0</v>
      </c>
      <c r="BJ62" s="71">
        <f t="shared" si="19"/>
        <v>0</v>
      </c>
      <c r="BK62" s="72">
        <f t="shared" si="49"/>
        <v>0</v>
      </c>
      <c r="BL62" s="72">
        <f t="shared" ca="1" si="50"/>
        <v>0</v>
      </c>
      <c r="BM62" s="200">
        <f t="shared" ca="1" si="20"/>
        <v>0</v>
      </c>
      <c r="BN62" s="69"/>
      <c r="BO62" s="198">
        <f t="shared" si="21"/>
        <v>0</v>
      </c>
      <c r="BP62" s="72">
        <f t="shared" ca="1" si="22"/>
        <v>0</v>
      </c>
      <c r="BQ62" s="78">
        <f t="shared" si="51"/>
        <v>0</v>
      </c>
      <c r="BR62" s="78">
        <f t="shared" si="23"/>
        <v>0</v>
      </c>
      <c r="BS62" s="80">
        <f t="shared" ca="1" si="24"/>
        <v>0</v>
      </c>
      <c r="BT62" s="80">
        <f t="shared" ca="1" si="25"/>
        <v>0</v>
      </c>
      <c r="BU62" s="259" t="str">
        <f t="shared" ca="1" si="26"/>
        <v/>
      </c>
      <c r="BV62" s="206" t="str">
        <f t="shared" ca="1" si="27"/>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row>
    <row r="63" spans="1:116" ht="12.75" customHeight="1">
      <c r="A63" s="5"/>
      <c r="B63" s="327">
        <f t="shared" si="28"/>
        <v>40</v>
      </c>
      <c r="C63" s="398">
        <v>27</v>
      </c>
      <c r="D63" s="931"/>
      <c r="E63" s="932"/>
      <c r="F63" s="476"/>
      <c r="G63" s="483"/>
      <c r="H63" s="466"/>
      <c r="I63" s="467"/>
      <c r="J63" s="489"/>
      <c r="K63" s="490"/>
      <c r="L63" s="491"/>
      <c r="M63" s="492"/>
      <c r="N63" s="373" t="str">
        <f t="shared" ca="1" si="1"/>
        <v/>
      </c>
      <c r="O63" s="374" t="str">
        <f t="shared" ca="1" si="2"/>
        <v/>
      </c>
      <c r="P63" s="375">
        <f t="shared" ca="1" si="3"/>
        <v>0</v>
      </c>
      <c r="Q63" s="384" t="str">
        <f t="shared" ca="1" si="4"/>
        <v/>
      </c>
      <c r="R63" s="385" t="str">
        <f t="shared" ca="1" si="5"/>
        <v/>
      </c>
      <c r="S63" s="386">
        <f t="shared" ca="1" si="6"/>
        <v>0</v>
      </c>
      <c r="T63" s="387" t="str">
        <f t="shared" ca="1" si="7"/>
        <v/>
      </c>
      <c r="U63" s="5"/>
      <c r="V63" s="6"/>
      <c r="W63" s="4"/>
      <c r="X63" s="4">
        <v>27</v>
      </c>
      <c r="Y63" s="104">
        <f t="shared" si="8"/>
        <v>40</v>
      </c>
      <c r="Z63" s="104">
        <f t="shared" si="29"/>
        <v>0</v>
      </c>
      <c r="AA63" s="4"/>
      <c r="AB63" s="53">
        <f t="shared" si="52"/>
        <v>0</v>
      </c>
      <c r="AC63" s="54">
        <f>IF(SUM(AB63:AB$116)=0,0,F63&gt;0)</f>
        <v>0</v>
      </c>
      <c r="AD63" s="53">
        <f t="shared" si="53"/>
        <v>0</v>
      </c>
      <c r="AE63" s="54">
        <f>IF(SUM(AB63:AB$116)=0,0,AND(AC63=FALSE,AD63=0,SUM(AD63:AD$116)&gt;0))</f>
        <v>0</v>
      </c>
      <c r="AF63" s="54">
        <f t="shared" si="30"/>
        <v>0</v>
      </c>
      <c r="AG63" s="54">
        <f t="shared" si="31"/>
        <v>0</v>
      </c>
      <c r="AH63" s="56">
        <f t="shared" si="32"/>
        <v>0</v>
      </c>
      <c r="AI63" s="56">
        <f t="shared" si="33"/>
        <v>0</v>
      </c>
      <c r="AJ63" s="54">
        <f t="shared" si="34"/>
        <v>0</v>
      </c>
      <c r="AK63" s="54" t="str">
        <f t="shared" si="35"/>
        <v/>
      </c>
      <c r="AL63" s="54">
        <f t="shared" si="36"/>
        <v>0</v>
      </c>
      <c r="AM63" s="54">
        <f t="shared" si="37"/>
        <v>0</v>
      </c>
      <c r="AN63" s="54">
        <f t="shared" si="38"/>
        <v>0</v>
      </c>
      <c r="AO63" s="54">
        <f t="shared" si="39"/>
        <v>0</v>
      </c>
      <c r="AP63" s="54">
        <f t="shared" si="40"/>
        <v>0</v>
      </c>
      <c r="AQ63" s="54">
        <f t="shared" si="41"/>
        <v>0</v>
      </c>
      <c r="AR63" s="53">
        <f t="shared" si="42"/>
        <v>0</v>
      </c>
      <c r="AS63" s="409" t="str">
        <f t="shared" si="43"/>
        <v/>
      </c>
      <c r="AT63" s="54">
        <f t="shared" si="10"/>
        <v>0</v>
      </c>
      <c r="AU63" s="54">
        <f t="shared" si="11"/>
        <v>0</v>
      </c>
      <c r="AV63" s="54">
        <f t="shared" si="12"/>
        <v>0</v>
      </c>
      <c r="AW63" s="55" t="b">
        <f t="shared" ca="1" si="13"/>
        <v>0</v>
      </c>
      <c r="AX63" s="69"/>
      <c r="AY63" s="203">
        <f t="shared" ca="1" si="14"/>
        <v>0</v>
      </c>
      <c r="AZ63" s="72">
        <f t="shared" ca="1" si="15"/>
        <v>0</v>
      </c>
      <c r="BA63" s="72">
        <f t="shared" ca="1" si="44"/>
        <v>0</v>
      </c>
      <c r="BB63" s="75">
        <f t="shared" ca="1" si="16"/>
        <v>0</v>
      </c>
      <c r="BC63" s="209">
        <f t="shared" si="17"/>
        <v>0</v>
      </c>
      <c r="BD63" s="72">
        <f t="shared" si="45"/>
        <v>0</v>
      </c>
      <c r="BE63" s="72">
        <f t="shared" si="46"/>
        <v>0</v>
      </c>
      <c r="BF63" s="72">
        <f t="shared" si="47"/>
        <v>0</v>
      </c>
      <c r="BG63" s="200">
        <f t="shared" ca="1" si="48"/>
        <v>0</v>
      </c>
      <c r="BH63" s="69"/>
      <c r="BI63" s="198">
        <f t="shared" si="18"/>
        <v>0</v>
      </c>
      <c r="BJ63" s="71">
        <f t="shared" si="19"/>
        <v>0</v>
      </c>
      <c r="BK63" s="72">
        <f t="shared" si="49"/>
        <v>0</v>
      </c>
      <c r="BL63" s="72">
        <f t="shared" ca="1" si="50"/>
        <v>0</v>
      </c>
      <c r="BM63" s="200">
        <f t="shared" ca="1" si="20"/>
        <v>0</v>
      </c>
      <c r="BN63" s="69"/>
      <c r="BO63" s="198">
        <f t="shared" si="21"/>
        <v>0</v>
      </c>
      <c r="BP63" s="72">
        <f t="shared" ca="1" si="22"/>
        <v>0</v>
      </c>
      <c r="BQ63" s="78">
        <f t="shared" si="51"/>
        <v>0</v>
      </c>
      <c r="BR63" s="78">
        <f t="shared" si="23"/>
        <v>0</v>
      </c>
      <c r="BS63" s="80">
        <f t="shared" ca="1" si="24"/>
        <v>0</v>
      </c>
      <c r="BT63" s="80">
        <f t="shared" ca="1" si="25"/>
        <v>0</v>
      </c>
      <c r="BU63" s="259" t="str">
        <f t="shared" ca="1" si="26"/>
        <v/>
      </c>
      <c r="BV63" s="206" t="str">
        <f t="shared" ca="1" si="27"/>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row>
    <row r="64" spans="1:116" ht="12.75" customHeight="1">
      <c r="A64" s="5"/>
      <c r="B64" s="327">
        <f t="shared" si="28"/>
        <v>40</v>
      </c>
      <c r="C64" s="398">
        <v>28</v>
      </c>
      <c r="D64" s="931"/>
      <c r="E64" s="932"/>
      <c r="F64" s="476"/>
      <c r="G64" s="483"/>
      <c r="H64" s="466"/>
      <c r="I64" s="467"/>
      <c r="J64" s="489"/>
      <c r="K64" s="490"/>
      <c r="L64" s="491"/>
      <c r="M64" s="492"/>
      <c r="N64" s="373" t="str">
        <f t="shared" ca="1" si="1"/>
        <v/>
      </c>
      <c r="O64" s="374" t="str">
        <f t="shared" ca="1" si="2"/>
        <v/>
      </c>
      <c r="P64" s="375">
        <f t="shared" ca="1" si="3"/>
        <v>0</v>
      </c>
      <c r="Q64" s="384" t="str">
        <f t="shared" ca="1" si="4"/>
        <v/>
      </c>
      <c r="R64" s="385" t="str">
        <f t="shared" ca="1" si="5"/>
        <v/>
      </c>
      <c r="S64" s="386">
        <f t="shared" ca="1" si="6"/>
        <v>0</v>
      </c>
      <c r="T64" s="387" t="str">
        <f t="shared" ca="1" si="7"/>
        <v/>
      </c>
      <c r="U64" s="5"/>
      <c r="V64" s="6"/>
      <c r="W64" s="4"/>
      <c r="X64" s="4">
        <v>28</v>
      </c>
      <c r="Y64" s="104">
        <f t="shared" si="8"/>
        <v>40</v>
      </c>
      <c r="Z64" s="104">
        <f t="shared" si="29"/>
        <v>0</v>
      </c>
      <c r="AA64" s="4"/>
      <c r="AB64" s="53">
        <f t="shared" si="52"/>
        <v>0</v>
      </c>
      <c r="AC64" s="54">
        <f>IF(SUM(AB64:AB$116)=0,0,F64&gt;0)</f>
        <v>0</v>
      </c>
      <c r="AD64" s="53">
        <f t="shared" si="53"/>
        <v>0</v>
      </c>
      <c r="AE64" s="54">
        <f>IF(SUM(AB64:AB$116)=0,0,AND(AC64=FALSE,AD64=0,SUM(AD64:AD$116)&gt;0))</f>
        <v>0</v>
      </c>
      <c r="AF64" s="54">
        <f t="shared" si="30"/>
        <v>0</v>
      </c>
      <c r="AG64" s="54">
        <f t="shared" si="31"/>
        <v>0</v>
      </c>
      <c r="AH64" s="56">
        <f t="shared" si="32"/>
        <v>0</v>
      </c>
      <c r="AI64" s="56">
        <f t="shared" si="33"/>
        <v>0</v>
      </c>
      <c r="AJ64" s="54">
        <f t="shared" si="34"/>
        <v>0</v>
      </c>
      <c r="AK64" s="54" t="str">
        <f t="shared" si="35"/>
        <v/>
      </c>
      <c r="AL64" s="54">
        <f t="shared" si="36"/>
        <v>0</v>
      </c>
      <c r="AM64" s="54">
        <f t="shared" si="37"/>
        <v>0</v>
      </c>
      <c r="AN64" s="54">
        <f t="shared" si="38"/>
        <v>0</v>
      </c>
      <c r="AO64" s="54">
        <f t="shared" si="39"/>
        <v>0</v>
      </c>
      <c r="AP64" s="54">
        <f t="shared" si="40"/>
        <v>0</v>
      </c>
      <c r="AQ64" s="54">
        <f t="shared" si="41"/>
        <v>0</v>
      </c>
      <c r="AR64" s="53">
        <f t="shared" si="42"/>
        <v>0</v>
      </c>
      <c r="AS64" s="409" t="str">
        <f t="shared" si="43"/>
        <v/>
      </c>
      <c r="AT64" s="54">
        <f t="shared" si="10"/>
        <v>0</v>
      </c>
      <c r="AU64" s="54">
        <f t="shared" si="11"/>
        <v>0</v>
      </c>
      <c r="AV64" s="54">
        <f t="shared" si="12"/>
        <v>0</v>
      </c>
      <c r="AW64" s="55" t="b">
        <f t="shared" ca="1" si="13"/>
        <v>0</v>
      </c>
      <c r="AX64" s="69"/>
      <c r="AY64" s="203">
        <f t="shared" ca="1" si="14"/>
        <v>0</v>
      </c>
      <c r="AZ64" s="72">
        <f t="shared" ca="1" si="15"/>
        <v>0</v>
      </c>
      <c r="BA64" s="72">
        <f t="shared" ca="1" si="44"/>
        <v>0</v>
      </c>
      <c r="BB64" s="75">
        <f t="shared" ca="1" si="16"/>
        <v>0</v>
      </c>
      <c r="BC64" s="209">
        <f t="shared" si="17"/>
        <v>0</v>
      </c>
      <c r="BD64" s="72">
        <f t="shared" si="45"/>
        <v>0</v>
      </c>
      <c r="BE64" s="72">
        <f t="shared" si="46"/>
        <v>0</v>
      </c>
      <c r="BF64" s="72">
        <f t="shared" si="47"/>
        <v>0</v>
      </c>
      <c r="BG64" s="200">
        <f t="shared" ca="1" si="48"/>
        <v>0</v>
      </c>
      <c r="BH64" s="69"/>
      <c r="BI64" s="198">
        <f t="shared" si="18"/>
        <v>0</v>
      </c>
      <c r="BJ64" s="71">
        <f t="shared" si="19"/>
        <v>0</v>
      </c>
      <c r="BK64" s="72">
        <f t="shared" si="49"/>
        <v>0</v>
      </c>
      <c r="BL64" s="72">
        <f t="shared" ca="1" si="50"/>
        <v>0</v>
      </c>
      <c r="BM64" s="200">
        <f t="shared" ca="1" si="20"/>
        <v>0</v>
      </c>
      <c r="BN64" s="69"/>
      <c r="BO64" s="198">
        <f t="shared" si="21"/>
        <v>0</v>
      </c>
      <c r="BP64" s="72">
        <f t="shared" ca="1" si="22"/>
        <v>0</v>
      </c>
      <c r="BQ64" s="78">
        <f t="shared" si="51"/>
        <v>0</v>
      </c>
      <c r="BR64" s="78">
        <f t="shared" si="23"/>
        <v>0</v>
      </c>
      <c r="BS64" s="80">
        <f t="shared" ca="1" si="24"/>
        <v>0</v>
      </c>
      <c r="BT64" s="80">
        <f t="shared" ca="1" si="25"/>
        <v>0</v>
      </c>
      <c r="BU64" s="259" t="str">
        <f t="shared" ca="1" si="26"/>
        <v/>
      </c>
      <c r="BV64" s="206" t="str">
        <f t="shared" ca="1" si="27"/>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row>
    <row r="65" spans="1:116" ht="12.75" customHeight="1">
      <c r="A65" s="5"/>
      <c r="B65" s="327">
        <f t="shared" si="28"/>
        <v>40</v>
      </c>
      <c r="C65" s="398">
        <v>29</v>
      </c>
      <c r="D65" s="931"/>
      <c r="E65" s="932"/>
      <c r="F65" s="476"/>
      <c r="G65" s="483"/>
      <c r="H65" s="466"/>
      <c r="I65" s="467"/>
      <c r="J65" s="489"/>
      <c r="K65" s="490"/>
      <c r="L65" s="491"/>
      <c r="M65" s="492"/>
      <c r="N65" s="373" t="str">
        <f t="shared" ca="1" si="1"/>
        <v/>
      </c>
      <c r="O65" s="374" t="str">
        <f t="shared" ca="1" si="2"/>
        <v/>
      </c>
      <c r="P65" s="375">
        <f t="shared" ca="1" si="3"/>
        <v>0</v>
      </c>
      <c r="Q65" s="384" t="str">
        <f t="shared" ca="1" si="4"/>
        <v/>
      </c>
      <c r="R65" s="385" t="str">
        <f t="shared" ca="1" si="5"/>
        <v/>
      </c>
      <c r="S65" s="386">
        <f t="shared" ca="1" si="6"/>
        <v>0</v>
      </c>
      <c r="T65" s="387" t="str">
        <f t="shared" ca="1" si="7"/>
        <v/>
      </c>
      <c r="U65" s="5"/>
      <c r="V65" s="6"/>
      <c r="W65" s="4"/>
      <c r="X65" s="4">
        <v>29</v>
      </c>
      <c r="Y65" s="104">
        <f t="shared" si="8"/>
        <v>40</v>
      </c>
      <c r="Z65" s="104">
        <f t="shared" si="29"/>
        <v>0</v>
      </c>
      <c r="AA65" s="4"/>
      <c r="AB65" s="53">
        <f t="shared" si="52"/>
        <v>0</v>
      </c>
      <c r="AC65" s="54">
        <f>IF(SUM(AB65:AB$116)=0,0,F65&gt;0)</f>
        <v>0</v>
      </c>
      <c r="AD65" s="53">
        <f t="shared" si="53"/>
        <v>0</v>
      </c>
      <c r="AE65" s="54">
        <f>IF(SUM(AB65:AB$116)=0,0,AND(AC65=FALSE,AD65=0,SUM(AD65:AD$116)&gt;0))</f>
        <v>0</v>
      </c>
      <c r="AF65" s="54">
        <f t="shared" si="30"/>
        <v>0</v>
      </c>
      <c r="AG65" s="54">
        <f t="shared" si="31"/>
        <v>0</v>
      </c>
      <c r="AH65" s="56">
        <f t="shared" si="32"/>
        <v>0</v>
      </c>
      <c r="AI65" s="56">
        <f t="shared" si="33"/>
        <v>0</v>
      </c>
      <c r="AJ65" s="54">
        <f t="shared" si="34"/>
        <v>0</v>
      </c>
      <c r="AK65" s="54" t="str">
        <f t="shared" si="35"/>
        <v/>
      </c>
      <c r="AL65" s="54">
        <f t="shared" si="36"/>
        <v>0</v>
      </c>
      <c r="AM65" s="54">
        <f t="shared" si="37"/>
        <v>0</v>
      </c>
      <c r="AN65" s="54">
        <f t="shared" si="38"/>
        <v>0</v>
      </c>
      <c r="AO65" s="54">
        <f t="shared" si="39"/>
        <v>0</v>
      </c>
      <c r="AP65" s="54">
        <f t="shared" si="40"/>
        <v>0</v>
      </c>
      <c r="AQ65" s="54">
        <f t="shared" si="41"/>
        <v>0</v>
      </c>
      <c r="AR65" s="53">
        <f t="shared" si="42"/>
        <v>0</v>
      </c>
      <c r="AS65" s="409" t="str">
        <f t="shared" si="43"/>
        <v/>
      </c>
      <c r="AT65" s="54">
        <f t="shared" si="10"/>
        <v>0</v>
      </c>
      <c r="AU65" s="54">
        <f t="shared" si="11"/>
        <v>0</v>
      </c>
      <c r="AV65" s="54">
        <f t="shared" si="12"/>
        <v>0</v>
      </c>
      <c r="AW65" s="55" t="b">
        <f t="shared" ca="1" si="13"/>
        <v>0</v>
      </c>
      <c r="AX65" s="69"/>
      <c r="AY65" s="203">
        <f t="shared" ca="1" si="14"/>
        <v>0</v>
      </c>
      <c r="AZ65" s="72">
        <f t="shared" ca="1" si="15"/>
        <v>0</v>
      </c>
      <c r="BA65" s="72">
        <f t="shared" ca="1" si="44"/>
        <v>0</v>
      </c>
      <c r="BB65" s="75">
        <f t="shared" ca="1" si="16"/>
        <v>0</v>
      </c>
      <c r="BC65" s="209">
        <f t="shared" si="17"/>
        <v>0</v>
      </c>
      <c r="BD65" s="72">
        <f t="shared" si="45"/>
        <v>0</v>
      </c>
      <c r="BE65" s="72">
        <f t="shared" si="46"/>
        <v>0</v>
      </c>
      <c r="BF65" s="72">
        <f t="shared" si="47"/>
        <v>0</v>
      </c>
      <c r="BG65" s="200">
        <f t="shared" ca="1" si="48"/>
        <v>0</v>
      </c>
      <c r="BH65" s="69"/>
      <c r="BI65" s="198">
        <f t="shared" si="18"/>
        <v>0</v>
      </c>
      <c r="BJ65" s="71">
        <f t="shared" si="19"/>
        <v>0</v>
      </c>
      <c r="BK65" s="72">
        <f t="shared" si="49"/>
        <v>0</v>
      </c>
      <c r="BL65" s="72">
        <f t="shared" ca="1" si="50"/>
        <v>0</v>
      </c>
      <c r="BM65" s="200">
        <f t="shared" ca="1" si="20"/>
        <v>0</v>
      </c>
      <c r="BN65" s="69"/>
      <c r="BO65" s="198">
        <f t="shared" si="21"/>
        <v>0</v>
      </c>
      <c r="BP65" s="72">
        <f t="shared" ca="1" si="22"/>
        <v>0</v>
      </c>
      <c r="BQ65" s="78">
        <f t="shared" si="51"/>
        <v>0</v>
      </c>
      <c r="BR65" s="78">
        <f t="shared" si="23"/>
        <v>0</v>
      </c>
      <c r="BS65" s="80">
        <f t="shared" ca="1" si="24"/>
        <v>0</v>
      </c>
      <c r="BT65" s="80">
        <f t="shared" ca="1" si="25"/>
        <v>0</v>
      </c>
      <c r="BU65" s="259" t="str">
        <f t="shared" ca="1" si="26"/>
        <v/>
      </c>
      <c r="BV65" s="206" t="str">
        <f t="shared" ca="1" si="27"/>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row>
    <row r="66" spans="1:116" ht="12.75" customHeight="1">
      <c r="A66" s="5"/>
      <c r="B66" s="327">
        <f t="shared" si="28"/>
        <v>40</v>
      </c>
      <c r="C66" s="398">
        <v>30</v>
      </c>
      <c r="D66" s="931"/>
      <c r="E66" s="932"/>
      <c r="F66" s="476"/>
      <c r="G66" s="483"/>
      <c r="H66" s="466"/>
      <c r="I66" s="467"/>
      <c r="J66" s="489"/>
      <c r="K66" s="490"/>
      <c r="L66" s="491"/>
      <c r="M66" s="492"/>
      <c r="N66" s="373" t="str">
        <f t="shared" ca="1" si="1"/>
        <v/>
      </c>
      <c r="O66" s="374" t="str">
        <f t="shared" ca="1" si="2"/>
        <v/>
      </c>
      <c r="P66" s="375">
        <f t="shared" ca="1" si="3"/>
        <v>0</v>
      </c>
      <c r="Q66" s="384" t="str">
        <f t="shared" ca="1" si="4"/>
        <v/>
      </c>
      <c r="R66" s="385" t="str">
        <f t="shared" ca="1" si="5"/>
        <v/>
      </c>
      <c r="S66" s="386">
        <f t="shared" ca="1" si="6"/>
        <v>0</v>
      </c>
      <c r="T66" s="387" t="str">
        <f t="shared" ca="1" si="7"/>
        <v/>
      </c>
      <c r="U66" s="5"/>
      <c r="V66" s="6"/>
      <c r="W66" s="4"/>
      <c r="X66" s="4">
        <v>30</v>
      </c>
      <c r="Y66" s="104">
        <f t="shared" si="8"/>
        <v>40</v>
      </c>
      <c r="Z66" s="104">
        <f t="shared" si="29"/>
        <v>0</v>
      </c>
      <c r="AA66" s="4"/>
      <c r="AB66" s="53">
        <f t="shared" si="52"/>
        <v>0</v>
      </c>
      <c r="AC66" s="54">
        <f>IF(SUM(AB66:AB$116)=0,0,F66&gt;0)</f>
        <v>0</v>
      </c>
      <c r="AD66" s="53">
        <f t="shared" si="53"/>
        <v>0</v>
      </c>
      <c r="AE66" s="54">
        <f>IF(SUM(AB66:AB$116)=0,0,AND(AC66=FALSE,AD66=0,SUM(AD66:AD$116)&gt;0))</f>
        <v>0</v>
      </c>
      <c r="AF66" s="54">
        <f t="shared" si="30"/>
        <v>0</v>
      </c>
      <c r="AG66" s="54">
        <f t="shared" si="31"/>
        <v>0</v>
      </c>
      <c r="AH66" s="56">
        <f t="shared" si="32"/>
        <v>0</v>
      </c>
      <c r="AI66" s="56">
        <f t="shared" si="33"/>
        <v>0</v>
      </c>
      <c r="AJ66" s="54">
        <f t="shared" si="34"/>
        <v>0</v>
      </c>
      <c r="AK66" s="54" t="str">
        <f t="shared" si="35"/>
        <v/>
      </c>
      <c r="AL66" s="54">
        <f t="shared" si="36"/>
        <v>0</v>
      </c>
      <c r="AM66" s="54">
        <f t="shared" si="37"/>
        <v>0</v>
      </c>
      <c r="AN66" s="54">
        <f t="shared" si="38"/>
        <v>0</v>
      </c>
      <c r="AO66" s="54">
        <f t="shared" si="39"/>
        <v>0</v>
      </c>
      <c r="AP66" s="54">
        <f t="shared" si="40"/>
        <v>0</v>
      </c>
      <c r="AQ66" s="54">
        <f t="shared" si="41"/>
        <v>0</v>
      </c>
      <c r="AR66" s="53">
        <f t="shared" si="42"/>
        <v>0</v>
      </c>
      <c r="AS66" s="409" t="str">
        <f t="shared" si="43"/>
        <v/>
      </c>
      <c r="AT66" s="54">
        <f t="shared" si="10"/>
        <v>0</v>
      </c>
      <c r="AU66" s="54">
        <f t="shared" si="11"/>
        <v>0</v>
      </c>
      <c r="AV66" s="54">
        <f t="shared" si="12"/>
        <v>0</v>
      </c>
      <c r="AW66" s="55" t="b">
        <f t="shared" ca="1" si="13"/>
        <v>0</v>
      </c>
      <c r="AX66" s="69"/>
      <c r="AY66" s="203">
        <f t="shared" ca="1" si="14"/>
        <v>0</v>
      </c>
      <c r="AZ66" s="72">
        <f t="shared" ca="1" si="15"/>
        <v>0</v>
      </c>
      <c r="BA66" s="72">
        <f t="shared" ca="1" si="44"/>
        <v>0</v>
      </c>
      <c r="BB66" s="75">
        <f t="shared" ca="1" si="16"/>
        <v>0</v>
      </c>
      <c r="BC66" s="209">
        <f t="shared" si="17"/>
        <v>0</v>
      </c>
      <c r="BD66" s="72">
        <f t="shared" si="45"/>
        <v>0</v>
      </c>
      <c r="BE66" s="72">
        <f t="shared" si="46"/>
        <v>0</v>
      </c>
      <c r="BF66" s="72">
        <f t="shared" si="47"/>
        <v>0</v>
      </c>
      <c r="BG66" s="200">
        <f t="shared" ca="1" si="48"/>
        <v>0</v>
      </c>
      <c r="BH66" s="69"/>
      <c r="BI66" s="198">
        <f t="shared" si="18"/>
        <v>0</v>
      </c>
      <c r="BJ66" s="71">
        <f t="shared" si="19"/>
        <v>0</v>
      </c>
      <c r="BK66" s="72">
        <f t="shared" si="49"/>
        <v>0</v>
      </c>
      <c r="BL66" s="72">
        <f t="shared" ca="1" si="50"/>
        <v>0</v>
      </c>
      <c r="BM66" s="200">
        <f t="shared" ca="1" si="20"/>
        <v>0</v>
      </c>
      <c r="BN66" s="69"/>
      <c r="BO66" s="198">
        <f t="shared" si="21"/>
        <v>0</v>
      </c>
      <c r="BP66" s="72">
        <f t="shared" ca="1" si="22"/>
        <v>0</v>
      </c>
      <c r="BQ66" s="78">
        <f t="shared" si="51"/>
        <v>0</v>
      </c>
      <c r="BR66" s="78">
        <f t="shared" si="23"/>
        <v>0</v>
      </c>
      <c r="BS66" s="80">
        <f t="shared" ca="1" si="24"/>
        <v>0</v>
      </c>
      <c r="BT66" s="80">
        <f t="shared" ca="1" si="25"/>
        <v>0</v>
      </c>
      <c r="BU66" s="259" t="str">
        <f t="shared" ca="1" si="26"/>
        <v/>
      </c>
      <c r="BV66" s="206" t="str">
        <f t="shared" ca="1" si="27"/>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row>
    <row r="67" spans="1:116" ht="12.75" customHeight="1">
      <c r="A67" s="5"/>
      <c r="B67" s="327">
        <f t="shared" si="28"/>
        <v>40</v>
      </c>
      <c r="C67" s="398">
        <v>31</v>
      </c>
      <c r="D67" s="931"/>
      <c r="E67" s="932"/>
      <c r="F67" s="476"/>
      <c r="G67" s="483"/>
      <c r="H67" s="466"/>
      <c r="I67" s="467"/>
      <c r="J67" s="489"/>
      <c r="K67" s="490"/>
      <c r="L67" s="491"/>
      <c r="M67" s="492"/>
      <c r="N67" s="373" t="str">
        <f t="shared" ca="1" si="1"/>
        <v/>
      </c>
      <c r="O67" s="374" t="str">
        <f t="shared" ca="1" si="2"/>
        <v/>
      </c>
      <c r="P67" s="375">
        <f t="shared" ca="1" si="3"/>
        <v>0</v>
      </c>
      <c r="Q67" s="384" t="str">
        <f t="shared" ca="1" si="4"/>
        <v/>
      </c>
      <c r="R67" s="385" t="str">
        <f t="shared" ca="1" si="5"/>
        <v/>
      </c>
      <c r="S67" s="386">
        <f t="shared" ca="1" si="6"/>
        <v>0</v>
      </c>
      <c r="T67" s="387" t="str">
        <f t="shared" ca="1" si="7"/>
        <v/>
      </c>
      <c r="U67" s="5"/>
      <c r="V67" s="6"/>
      <c r="W67" s="4"/>
      <c r="X67" s="4">
        <v>31</v>
      </c>
      <c r="Y67" s="104">
        <f t="shared" si="8"/>
        <v>40</v>
      </c>
      <c r="Z67" s="104">
        <f t="shared" si="29"/>
        <v>0</v>
      </c>
      <c r="AA67" s="4"/>
      <c r="AB67" s="53">
        <f t="shared" si="52"/>
        <v>0</v>
      </c>
      <c r="AC67" s="54">
        <f>IF(SUM(AB67:AB$116)=0,0,F67&gt;0)</f>
        <v>0</v>
      </c>
      <c r="AD67" s="53">
        <f t="shared" si="53"/>
        <v>0</v>
      </c>
      <c r="AE67" s="54">
        <f>IF(SUM(AB67:AB$116)=0,0,AND(AC67=FALSE,AD67=0,SUM(AD67:AD$116)&gt;0))</f>
        <v>0</v>
      </c>
      <c r="AF67" s="54">
        <f t="shared" si="30"/>
        <v>0</v>
      </c>
      <c r="AG67" s="54">
        <f t="shared" si="31"/>
        <v>0</v>
      </c>
      <c r="AH67" s="56">
        <f t="shared" si="32"/>
        <v>0</v>
      </c>
      <c r="AI67" s="56">
        <f t="shared" si="33"/>
        <v>0</v>
      </c>
      <c r="AJ67" s="54">
        <f t="shared" si="34"/>
        <v>0</v>
      </c>
      <c r="AK67" s="54" t="str">
        <f t="shared" si="35"/>
        <v/>
      </c>
      <c r="AL67" s="54">
        <f t="shared" si="36"/>
        <v>0</v>
      </c>
      <c r="AM67" s="54">
        <f t="shared" si="37"/>
        <v>0</v>
      </c>
      <c r="AN67" s="54">
        <f t="shared" si="38"/>
        <v>0</v>
      </c>
      <c r="AO67" s="54">
        <f t="shared" si="39"/>
        <v>0</v>
      </c>
      <c r="AP67" s="54">
        <f t="shared" si="40"/>
        <v>0</v>
      </c>
      <c r="AQ67" s="54">
        <f t="shared" si="41"/>
        <v>0</v>
      </c>
      <c r="AR67" s="53">
        <f t="shared" si="42"/>
        <v>0</v>
      </c>
      <c r="AS67" s="409" t="str">
        <f t="shared" si="43"/>
        <v/>
      </c>
      <c r="AT67" s="54">
        <f t="shared" si="10"/>
        <v>0</v>
      </c>
      <c r="AU67" s="54">
        <f t="shared" si="11"/>
        <v>0</v>
      </c>
      <c r="AV67" s="54">
        <f t="shared" si="12"/>
        <v>0</v>
      </c>
      <c r="AW67" s="55" t="b">
        <f t="shared" ca="1" si="13"/>
        <v>0</v>
      </c>
      <c r="AX67" s="69"/>
      <c r="AY67" s="203">
        <f t="shared" ca="1" si="14"/>
        <v>0</v>
      </c>
      <c r="AZ67" s="72">
        <f t="shared" ca="1" si="15"/>
        <v>0</v>
      </c>
      <c r="BA67" s="72">
        <f t="shared" ca="1" si="44"/>
        <v>0</v>
      </c>
      <c r="BB67" s="75">
        <f t="shared" ca="1" si="16"/>
        <v>0</v>
      </c>
      <c r="BC67" s="209">
        <f t="shared" si="17"/>
        <v>0</v>
      </c>
      <c r="BD67" s="72">
        <f t="shared" si="45"/>
        <v>0</v>
      </c>
      <c r="BE67" s="72">
        <f t="shared" si="46"/>
        <v>0</v>
      </c>
      <c r="BF67" s="72">
        <f t="shared" si="47"/>
        <v>0</v>
      </c>
      <c r="BG67" s="200">
        <f t="shared" ca="1" si="48"/>
        <v>0</v>
      </c>
      <c r="BH67" s="69"/>
      <c r="BI67" s="198">
        <f t="shared" si="18"/>
        <v>0</v>
      </c>
      <c r="BJ67" s="71">
        <f t="shared" si="19"/>
        <v>0</v>
      </c>
      <c r="BK67" s="72">
        <f t="shared" si="49"/>
        <v>0</v>
      </c>
      <c r="BL67" s="72">
        <f t="shared" ca="1" si="50"/>
        <v>0</v>
      </c>
      <c r="BM67" s="200">
        <f t="shared" ca="1" si="20"/>
        <v>0</v>
      </c>
      <c r="BN67" s="69"/>
      <c r="BO67" s="198">
        <f t="shared" si="21"/>
        <v>0</v>
      </c>
      <c r="BP67" s="72">
        <f t="shared" ca="1" si="22"/>
        <v>0</v>
      </c>
      <c r="BQ67" s="78">
        <f t="shared" si="51"/>
        <v>0</v>
      </c>
      <c r="BR67" s="78">
        <f t="shared" si="23"/>
        <v>0</v>
      </c>
      <c r="BS67" s="80">
        <f t="shared" ca="1" si="24"/>
        <v>0</v>
      </c>
      <c r="BT67" s="80">
        <f t="shared" ca="1" si="25"/>
        <v>0</v>
      </c>
      <c r="BU67" s="259" t="str">
        <f t="shared" ca="1" si="26"/>
        <v/>
      </c>
      <c r="BV67" s="206" t="str">
        <f t="shared" ca="1" si="27"/>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row>
    <row r="68" spans="1:116" ht="12.75" customHeight="1">
      <c r="A68" s="5"/>
      <c r="B68" s="327">
        <f t="shared" si="28"/>
        <v>40</v>
      </c>
      <c r="C68" s="398">
        <v>32</v>
      </c>
      <c r="D68" s="931"/>
      <c r="E68" s="932"/>
      <c r="F68" s="476"/>
      <c r="G68" s="483"/>
      <c r="H68" s="466"/>
      <c r="I68" s="467"/>
      <c r="J68" s="489"/>
      <c r="K68" s="490"/>
      <c r="L68" s="491"/>
      <c r="M68" s="492"/>
      <c r="N68" s="373" t="str">
        <f t="shared" ca="1" si="1"/>
        <v/>
      </c>
      <c r="O68" s="374" t="str">
        <f t="shared" ca="1" si="2"/>
        <v/>
      </c>
      <c r="P68" s="375">
        <f t="shared" ca="1" si="3"/>
        <v>0</v>
      </c>
      <c r="Q68" s="384" t="str">
        <f t="shared" ca="1" si="4"/>
        <v/>
      </c>
      <c r="R68" s="385" t="str">
        <f t="shared" ca="1" si="5"/>
        <v/>
      </c>
      <c r="S68" s="386">
        <f t="shared" ca="1" si="6"/>
        <v>0</v>
      </c>
      <c r="T68" s="387" t="str">
        <f t="shared" ca="1" si="7"/>
        <v/>
      </c>
      <c r="U68" s="5"/>
      <c r="V68" s="6"/>
      <c r="W68" s="4"/>
      <c r="X68" s="4">
        <v>32</v>
      </c>
      <c r="Y68" s="104">
        <f t="shared" si="8"/>
        <v>40</v>
      </c>
      <c r="Z68" s="104">
        <f t="shared" si="29"/>
        <v>0</v>
      </c>
      <c r="AA68" s="4"/>
      <c r="AB68" s="53">
        <f t="shared" si="52"/>
        <v>0</v>
      </c>
      <c r="AC68" s="54">
        <f>IF(SUM(AB68:AB$116)=0,0,F68&gt;0)</f>
        <v>0</v>
      </c>
      <c r="AD68" s="53">
        <f t="shared" si="53"/>
        <v>0</v>
      </c>
      <c r="AE68" s="54">
        <f>IF(SUM(AB68:AB$116)=0,0,AND(AC68=FALSE,AD68=0,SUM(AD68:AD$116)&gt;0))</f>
        <v>0</v>
      </c>
      <c r="AF68" s="54">
        <f t="shared" si="30"/>
        <v>0</v>
      </c>
      <c r="AG68" s="54">
        <f t="shared" si="31"/>
        <v>0</v>
      </c>
      <c r="AH68" s="56">
        <f t="shared" si="32"/>
        <v>0</v>
      </c>
      <c r="AI68" s="56">
        <f t="shared" si="33"/>
        <v>0</v>
      </c>
      <c r="AJ68" s="54">
        <f t="shared" si="34"/>
        <v>0</v>
      </c>
      <c r="AK68" s="54" t="str">
        <f t="shared" si="35"/>
        <v/>
      </c>
      <c r="AL68" s="54">
        <f t="shared" si="36"/>
        <v>0</v>
      </c>
      <c r="AM68" s="54">
        <f t="shared" si="37"/>
        <v>0</v>
      </c>
      <c r="AN68" s="54">
        <f t="shared" si="38"/>
        <v>0</v>
      </c>
      <c r="AO68" s="54">
        <f t="shared" si="39"/>
        <v>0</v>
      </c>
      <c r="AP68" s="54">
        <f t="shared" si="40"/>
        <v>0</v>
      </c>
      <c r="AQ68" s="54">
        <f t="shared" si="41"/>
        <v>0</v>
      </c>
      <c r="AR68" s="53">
        <f t="shared" si="42"/>
        <v>0</v>
      </c>
      <c r="AS68" s="409" t="str">
        <f t="shared" si="43"/>
        <v/>
      </c>
      <c r="AT68" s="54">
        <f t="shared" si="10"/>
        <v>0</v>
      </c>
      <c r="AU68" s="54">
        <f t="shared" si="11"/>
        <v>0</v>
      </c>
      <c r="AV68" s="54">
        <f t="shared" si="12"/>
        <v>0</v>
      </c>
      <c r="AW68" s="55" t="b">
        <f t="shared" ca="1" si="13"/>
        <v>0</v>
      </c>
      <c r="AX68" s="69"/>
      <c r="AY68" s="203">
        <f t="shared" ca="1" si="14"/>
        <v>0</v>
      </c>
      <c r="AZ68" s="72">
        <f t="shared" ca="1" si="15"/>
        <v>0</v>
      </c>
      <c r="BA68" s="72">
        <f t="shared" ca="1" si="44"/>
        <v>0</v>
      </c>
      <c r="BB68" s="75">
        <f t="shared" ca="1" si="16"/>
        <v>0</v>
      </c>
      <c r="BC68" s="209">
        <f t="shared" si="17"/>
        <v>0</v>
      </c>
      <c r="BD68" s="72">
        <f t="shared" si="45"/>
        <v>0</v>
      </c>
      <c r="BE68" s="72">
        <f t="shared" si="46"/>
        <v>0</v>
      </c>
      <c r="BF68" s="72">
        <f t="shared" si="47"/>
        <v>0</v>
      </c>
      <c r="BG68" s="200">
        <f t="shared" ca="1" si="48"/>
        <v>0</v>
      </c>
      <c r="BH68" s="69"/>
      <c r="BI68" s="198">
        <f t="shared" si="18"/>
        <v>0</v>
      </c>
      <c r="BJ68" s="71">
        <f t="shared" si="19"/>
        <v>0</v>
      </c>
      <c r="BK68" s="72">
        <f t="shared" si="49"/>
        <v>0</v>
      </c>
      <c r="BL68" s="72">
        <f t="shared" ca="1" si="50"/>
        <v>0</v>
      </c>
      <c r="BM68" s="200">
        <f t="shared" ca="1" si="20"/>
        <v>0</v>
      </c>
      <c r="BN68" s="69"/>
      <c r="BO68" s="198">
        <f t="shared" si="21"/>
        <v>0</v>
      </c>
      <c r="BP68" s="72">
        <f t="shared" ca="1" si="22"/>
        <v>0</v>
      </c>
      <c r="BQ68" s="78">
        <f t="shared" si="51"/>
        <v>0</v>
      </c>
      <c r="BR68" s="78">
        <f t="shared" si="23"/>
        <v>0</v>
      </c>
      <c r="BS68" s="80">
        <f t="shared" ca="1" si="24"/>
        <v>0</v>
      </c>
      <c r="BT68" s="80">
        <f t="shared" ca="1" si="25"/>
        <v>0</v>
      </c>
      <c r="BU68" s="259" t="str">
        <f t="shared" ca="1" si="26"/>
        <v/>
      </c>
      <c r="BV68" s="206" t="str">
        <f t="shared" ca="1" si="27"/>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row>
    <row r="69" spans="1:116" ht="12.75" customHeight="1">
      <c r="A69" s="5"/>
      <c r="B69" s="327">
        <f t="shared" si="28"/>
        <v>40</v>
      </c>
      <c r="C69" s="398">
        <v>33</v>
      </c>
      <c r="D69" s="931"/>
      <c r="E69" s="932"/>
      <c r="F69" s="476"/>
      <c r="G69" s="483"/>
      <c r="H69" s="466"/>
      <c r="I69" s="467"/>
      <c r="J69" s="489"/>
      <c r="K69" s="490"/>
      <c r="L69" s="491"/>
      <c r="M69" s="492"/>
      <c r="N69" s="373" t="str">
        <f t="shared" ref="N69:N100" ca="1" si="54">IF(AND(AP69=TRUE,AQ69=TRUE,InputIssues=0),IF(L69="device",2,IF(AT69=FALSE,1,0.5)*L69/M69),"")</f>
        <v/>
      </c>
      <c r="O69" s="374" t="str">
        <f t="shared" ref="O69:O100" ca="1" si="55">IF(AND(AP69=TRUE,InputIssues=0),IF(O$36=F$182,BG69,IF(O$36=G$182,BL69,BL69/BG69)),"")</f>
        <v/>
      </c>
      <c r="P69" s="375">
        <f t="shared" ref="P69:P100" ca="1" si="56">IF(InputIssues=0,MAX(G69*H69,I69),0)</f>
        <v>0</v>
      </c>
      <c r="Q69" s="384" t="str">
        <f t="shared" ca="1" si="4"/>
        <v/>
      </c>
      <c r="R69" s="385" t="str">
        <f t="shared" ref="R69:R100" ca="1" si="57">IF(AllInputsOK=FALSE,"",BU69)</f>
        <v/>
      </c>
      <c r="S69" s="386">
        <f t="shared" ca="1" si="6"/>
        <v>0</v>
      </c>
      <c r="T69" s="387" t="str">
        <f t="shared" ref="T69:T100" ca="1" si="58">IF(AllInputsOK=FALSE,"",BV69)</f>
        <v/>
      </c>
      <c r="U69" s="5"/>
      <c r="V69" s="6"/>
      <c r="W69" s="4"/>
      <c r="X69" s="4">
        <v>33</v>
      </c>
      <c r="Y69" s="104">
        <f t="shared" si="8"/>
        <v>40</v>
      </c>
      <c r="Z69" s="104">
        <f t="shared" si="29"/>
        <v>0</v>
      </c>
      <c r="AA69" s="4"/>
      <c r="AB69" s="53">
        <f t="shared" si="52"/>
        <v>0</v>
      </c>
      <c r="AC69" s="54">
        <f>IF(SUM(AB69:AB$116)=0,0,F69&gt;0)</f>
        <v>0</v>
      </c>
      <c r="AD69" s="53">
        <f t="shared" si="53"/>
        <v>0</v>
      </c>
      <c r="AE69" s="54">
        <f>IF(SUM(AB69:AB$116)=0,0,AND(AC69=FALSE,AD69=0,SUM(AD69:AD$116)&gt;0))</f>
        <v>0</v>
      </c>
      <c r="AF69" s="54">
        <f t="shared" si="30"/>
        <v>0</v>
      </c>
      <c r="AG69" s="54">
        <f t="shared" si="31"/>
        <v>0</v>
      </c>
      <c r="AH69" s="56">
        <f t="shared" si="32"/>
        <v>0</v>
      </c>
      <c r="AI69" s="56">
        <f t="shared" si="33"/>
        <v>0</v>
      </c>
      <c r="AJ69" s="54">
        <f t="shared" si="34"/>
        <v>0</v>
      </c>
      <c r="AK69" s="54" t="str">
        <f t="shared" si="35"/>
        <v/>
      </c>
      <c r="AL69" s="54">
        <f t="shared" si="36"/>
        <v>0</v>
      </c>
      <c r="AM69" s="54">
        <f t="shared" si="37"/>
        <v>0</v>
      </c>
      <c r="AN69" s="54">
        <f t="shared" si="38"/>
        <v>0</v>
      </c>
      <c r="AO69" s="54">
        <f t="shared" si="39"/>
        <v>0</v>
      </c>
      <c r="AP69" s="54">
        <f t="shared" si="40"/>
        <v>0</v>
      </c>
      <c r="AQ69" s="54">
        <f t="shared" si="41"/>
        <v>0</v>
      </c>
      <c r="AR69" s="53">
        <f t="shared" si="42"/>
        <v>0</v>
      </c>
      <c r="AS69" s="409" t="str">
        <f t="shared" si="43"/>
        <v/>
      </c>
      <c r="AT69" s="54">
        <f t="shared" ref="AT69:AT100" si="59">IF(AB69=0,0,AND(G69&gt;0,M69-G69&gt;0.5))</f>
        <v>0</v>
      </c>
      <c r="AU69" s="54">
        <f t="shared" ref="AU69:AU100" si="60">IF(AB69=0,0,AND(ISNUMBER(N69),N69&gt;2))</f>
        <v>0</v>
      </c>
      <c r="AV69" s="54">
        <f t="shared" ref="AV69:AV100" si="61">IF(AB69=0,0,AND(AC69=TRUE,COUNT(G69:I69)=3,G69*H69&lt;&gt;I69))</f>
        <v>0</v>
      </c>
      <c r="AW69" s="55" t="b">
        <f t="shared" ref="AW69:AW100" ca="1" si="62">AND(UpperInputsAlerts=0,DudTableInputs=0,COUNTIF(BS69:BT69,TRUE)&lt;&gt;0)</f>
        <v>0</v>
      </c>
      <c r="AX69" s="69"/>
      <c r="AY69" s="203">
        <f t="shared" ref="AY69:AY100" ca="1" si="63">IF(N69="",0,INDEX(Projections,MATCH(N69,Projections,1),1))</f>
        <v>0</v>
      </c>
      <c r="AZ69" s="72">
        <f t="shared" ref="AZ69:AZ100" ca="1" si="64">IF(N69="",0,IF(AY69=2,2,INDEX(Projections,MATCH(N69,Projections,1)+1,1)))</f>
        <v>0</v>
      </c>
      <c r="BA69" s="72">
        <f t="shared" ca="1" si="44"/>
        <v>0</v>
      </c>
      <c r="BB69" s="75">
        <f t="shared" ref="BB69:BB100" ca="1" si="65">IF(OR(N69="",BA69=0),0,(N69-AY69)/BA69)</f>
        <v>0</v>
      </c>
      <c r="BC69" s="209">
        <f t="shared" ref="BC69:BC100" si="66">IF(OR(AB69=0,AP69&lt;&gt;TRUE),0,F69)</f>
        <v>0</v>
      </c>
      <c r="BD69" s="72">
        <f t="shared" si="45"/>
        <v>0</v>
      </c>
      <c r="BE69" s="72">
        <f t="shared" si="46"/>
        <v>0</v>
      </c>
      <c r="BF69" s="72">
        <f t="shared" si="47"/>
        <v>0</v>
      </c>
      <c r="BG69" s="200">
        <f t="shared" ca="1" si="48"/>
        <v>0</v>
      </c>
      <c r="BH69" s="69"/>
      <c r="BI69" s="198">
        <f t="shared" si="18"/>
        <v>0</v>
      </c>
      <c r="BJ69" s="71">
        <f t="shared" si="19"/>
        <v>0</v>
      </c>
      <c r="BK69" s="72">
        <f t="shared" si="49"/>
        <v>0</v>
      </c>
      <c r="BL69" s="72">
        <f t="shared" ca="1" si="50"/>
        <v>0</v>
      </c>
      <c r="BM69" s="200">
        <f t="shared" ref="BM69:BM100" ca="1" si="67">P69*K69*BL69</f>
        <v>0</v>
      </c>
      <c r="BN69" s="69"/>
      <c r="BO69" s="198">
        <f t="shared" ref="BO69:BO100" si="68">IF(AP69=TRUE,IF(P69="",0,P69)*J69,0)</f>
        <v>0</v>
      </c>
      <c r="BP69" s="72">
        <f t="shared" ref="BP69:BP100" ca="1" si="69">K69*IF(P69="",0,P69)*BG69</f>
        <v>0</v>
      </c>
      <c r="BQ69" s="78">
        <f t="shared" si="51"/>
        <v>0</v>
      </c>
      <c r="BR69" s="78">
        <f t="shared" si="23"/>
        <v>0</v>
      </c>
      <c r="BS69" s="80">
        <f t="shared" ref="BS69:BS100" ca="1" si="70">IF(SUM(BO69:BP69)=0,0,AND(AC69=TRUE,BO$27&lt;0))</f>
        <v>0</v>
      </c>
      <c r="BT69" s="80">
        <f t="shared" ref="BT69:BT100" ca="1" si="71">IF(SUM(BO69:BP69)=0,0,AND(AC69=TRUE,BP$27&lt;0))</f>
        <v>0</v>
      </c>
      <c r="BU69" s="259" t="str">
        <f t="shared" ca="1" si="26"/>
        <v/>
      </c>
      <c r="BV69" s="206" t="str">
        <f t="shared" ca="1" si="27"/>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row>
    <row r="70" spans="1:116" ht="12.75" customHeight="1">
      <c r="A70" s="5"/>
      <c r="B70" s="327">
        <f t="shared" si="28"/>
        <v>40</v>
      </c>
      <c r="C70" s="398">
        <v>34</v>
      </c>
      <c r="D70" s="931"/>
      <c r="E70" s="932"/>
      <c r="F70" s="476"/>
      <c r="G70" s="483"/>
      <c r="H70" s="466"/>
      <c r="I70" s="467"/>
      <c r="J70" s="489"/>
      <c r="K70" s="490"/>
      <c r="L70" s="491"/>
      <c r="M70" s="492"/>
      <c r="N70" s="373" t="str">
        <f t="shared" ca="1" si="54"/>
        <v/>
      </c>
      <c r="O70" s="374" t="str">
        <f t="shared" ca="1" si="55"/>
        <v/>
      </c>
      <c r="P70" s="375">
        <f t="shared" ca="1" si="56"/>
        <v>0</v>
      </c>
      <c r="Q70" s="384" t="str">
        <f t="shared" ca="1" si="4"/>
        <v/>
      </c>
      <c r="R70" s="385" t="str">
        <f t="shared" ca="1" si="57"/>
        <v/>
      </c>
      <c r="S70" s="386">
        <f t="shared" ca="1" si="6"/>
        <v>0</v>
      </c>
      <c r="T70" s="387" t="str">
        <f t="shared" ca="1" si="58"/>
        <v/>
      </c>
      <c r="U70" s="5"/>
      <c r="V70" s="6"/>
      <c r="W70" s="4"/>
      <c r="X70" s="4">
        <v>34</v>
      </c>
      <c r="Y70" s="104">
        <f t="shared" si="8"/>
        <v>40</v>
      </c>
      <c r="Z70" s="104">
        <f t="shared" si="29"/>
        <v>0</v>
      </c>
      <c r="AA70" s="4"/>
      <c r="AB70" s="53">
        <f t="shared" si="52"/>
        <v>0</v>
      </c>
      <c r="AC70" s="54">
        <f>IF(SUM(AB70:AB$116)=0,0,F70&gt;0)</f>
        <v>0</v>
      </c>
      <c r="AD70" s="53">
        <f t="shared" si="53"/>
        <v>0</v>
      </c>
      <c r="AE70" s="54">
        <f>IF(SUM(AB70:AB$116)=0,0,AND(AC70=FALSE,AD70=0,SUM(AD70:AD$116)&gt;0))</f>
        <v>0</v>
      </c>
      <c r="AF70" s="54">
        <f t="shared" si="30"/>
        <v>0</v>
      </c>
      <c r="AG70" s="54">
        <f t="shared" si="31"/>
        <v>0</v>
      </c>
      <c r="AH70" s="56">
        <f t="shared" si="32"/>
        <v>0</v>
      </c>
      <c r="AI70" s="56">
        <f t="shared" si="33"/>
        <v>0</v>
      </c>
      <c r="AJ70" s="54">
        <f t="shared" si="34"/>
        <v>0</v>
      </c>
      <c r="AK70" s="54" t="str">
        <f t="shared" si="35"/>
        <v/>
      </c>
      <c r="AL70" s="54">
        <f t="shared" si="36"/>
        <v>0</v>
      </c>
      <c r="AM70" s="54">
        <f t="shared" si="37"/>
        <v>0</v>
      </c>
      <c r="AN70" s="54">
        <f t="shared" si="38"/>
        <v>0</v>
      </c>
      <c r="AO70" s="54">
        <f t="shared" si="39"/>
        <v>0</v>
      </c>
      <c r="AP70" s="54">
        <f t="shared" si="40"/>
        <v>0</v>
      </c>
      <c r="AQ70" s="54">
        <f t="shared" si="41"/>
        <v>0</v>
      </c>
      <c r="AR70" s="53">
        <f t="shared" si="42"/>
        <v>0</v>
      </c>
      <c r="AS70" s="409" t="str">
        <f t="shared" si="43"/>
        <v/>
      </c>
      <c r="AT70" s="54">
        <f t="shared" si="59"/>
        <v>0</v>
      </c>
      <c r="AU70" s="54">
        <f t="shared" si="60"/>
        <v>0</v>
      </c>
      <c r="AV70" s="54">
        <f t="shared" si="61"/>
        <v>0</v>
      </c>
      <c r="AW70" s="55" t="b">
        <f t="shared" ca="1" si="62"/>
        <v>0</v>
      </c>
      <c r="AX70" s="69"/>
      <c r="AY70" s="203">
        <f t="shared" ca="1" si="63"/>
        <v>0</v>
      </c>
      <c r="AZ70" s="72">
        <f t="shared" ca="1" si="64"/>
        <v>0</v>
      </c>
      <c r="BA70" s="72">
        <f t="shared" ca="1" si="44"/>
        <v>0</v>
      </c>
      <c r="BB70" s="75">
        <f t="shared" ca="1" si="65"/>
        <v>0</v>
      </c>
      <c r="BC70" s="209">
        <f t="shared" si="66"/>
        <v>0</v>
      </c>
      <c r="BD70" s="72">
        <f t="shared" si="45"/>
        <v>0</v>
      </c>
      <c r="BE70" s="72">
        <f t="shared" si="46"/>
        <v>0</v>
      </c>
      <c r="BF70" s="72">
        <f t="shared" si="47"/>
        <v>0</v>
      </c>
      <c r="BG70" s="200">
        <f t="shared" ca="1" si="48"/>
        <v>0</v>
      </c>
      <c r="BH70" s="69"/>
      <c r="BI70" s="198">
        <f t="shared" si="18"/>
        <v>0</v>
      </c>
      <c r="BJ70" s="71">
        <f t="shared" si="19"/>
        <v>0</v>
      </c>
      <c r="BK70" s="72">
        <f t="shared" si="49"/>
        <v>0</v>
      </c>
      <c r="BL70" s="72">
        <f t="shared" ca="1" si="50"/>
        <v>0</v>
      </c>
      <c r="BM70" s="200">
        <f t="shared" ca="1" si="67"/>
        <v>0</v>
      </c>
      <c r="BN70" s="69"/>
      <c r="BO70" s="198">
        <f t="shared" si="68"/>
        <v>0</v>
      </c>
      <c r="BP70" s="72">
        <f t="shared" ca="1" si="69"/>
        <v>0</v>
      </c>
      <c r="BQ70" s="78">
        <f t="shared" si="51"/>
        <v>0</v>
      </c>
      <c r="BR70" s="78">
        <f t="shared" si="23"/>
        <v>0</v>
      </c>
      <c r="BS70" s="80">
        <f t="shared" ca="1" si="70"/>
        <v>0</v>
      </c>
      <c r="BT70" s="80">
        <f t="shared" ca="1" si="71"/>
        <v>0</v>
      </c>
      <c r="BU70" s="259" t="str">
        <f t="shared" ca="1" si="26"/>
        <v/>
      </c>
      <c r="BV70" s="206" t="str">
        <f t="shared" ca="1" si="27"/>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row>
    <row r="71" spans="1:116" ht="12.75" customHeight="1">
      <c r="A71" s="5"/>
      <c r="B71" s="327">
        <f t="shared" si="28"/>
        <v>40</v>
      </c>
      <c r="C71" s="398">
        <v>35</v>
      </c>
      <c r="D71" s="931"/>
      <c r="E71" s="932"/>
      <c r="F71" s="476"/>
      <c r="G71" s="483"/>
      <c r="H71" s="466"/>
      <c r="I71" s="467"/>
      <c r="J71" s="489"/>
      <c r="K71" s="490"/>
      <c r="L71" s="491"/>
      <c r="M71" s="492"/>
      <c r="N71" s="373" t="str">
        <f t="shared" ca="1" si="54"/>
        <v/>
      </c>
      <c r="O71" s="374" t="str">
        <f t="shared" ca="1" si="55"/>
        <v/>
      </c>
      <c r="P71" s="375">
        <f t="shared" ca="1" si="56"/>
        <v>0</v>
      </c>
      <c r="Q71" s="384" t="str">
        <f t="shared" ca="1" si="4"/>
        <v/>
      </c>
      <c r="R71" s="385" t="str">
        <f t="shared" ca="1" si="57"/>
        <v/>
      </c>
      <c r="S71" s="386">
        <f t="shared" ca="1" si="6"/>
        <v>0</v>
      </c>
      <c r="T71" s="387" t="str">
        <f t="shared" ca="1" si="58"/>
        <v/>
      </c>
      <c r="U71" s="5"/>
      <c r="V71" s="6"/>
      <c r="W71" s="4"/>
      <c r="X71" s="4">
        <v>35</v>
      </c>
      <c r="Y71" s="104">
        <f t="shared" si="8"/>
        <v>40</v>
      </c>
      <c r="Z71" s="104">
        <f t="shared" si="29"/>
        <v>0</v>
      </c>
      <c r="AA71" s="4"/>
      <c r="AB71" s="53">
        <f t="shared" si="52"/>
        <v>0</v>
      </c>
      <c r="AC71" s="54">
        <f>IF(SUM(AB71:AB$116)=0,0,F71&gt;0)</f>
        <v>0</v>
      </c>
      <c r="AD71" s="53">
        <f t="shared" si="53"/>
        <v>0</v>
      </c>
      <c r="AE71" s="54">
        <f>IF(SUM(AB71:AB$116)=0,0,AND(AC71=FALSE,AD71=0,SUM(AD71:AD$116)&gt;0))</f>
        <v>0</v>
      </c>
      <c r="AF71" s="54">
        <f t="shared" si="30"/>
        <v>0</v>
      </c>
      <c r="AG71" s="54">
        <f t="shared" si="31"/>
        <v>0</v>
      </c>
      <c r="AH71" s="56">
        <f t="shared" si="32"/>
        <v>0</v>
      </c>
      <c r="AI71" s="56">
        <f t="shared" si="33"/>
        <v>0</v>
      </c>
      <c r="AJ71" s="54">
        <f t="shared" si="34"/>
        <v>0</v>
      </c>
      <c r="AK71" s="54" t="str">
        <f t="shared" si="35"/>
        <v/>
      </c>
      <c r="AL71" s="54">
        <f t="shared" si="36"/>
        <v>0</v>
      </c>
      <c r="AM71" s="54">
        <f t="shared" si="37"/>
        <v>0</v>
      </c>
      <c r="AN71" s="54">
        <f t="shared" si="38"/>
        <v>0</v>
      </c>
      <c r="AO71" s="54">
        <f t="shared" si="39"/>
        <v>0</v>
      </c>
      <c r="AP71" s="54">
        <f t="shared" si="40"/>
        <v>0</v>
      </c>
      <c r="AQ71" s="54">
        <f t="shared" si="41"/>
        <v>0</v>
      </c>
      <c r="AR71" s="53">
        <f t="shared" si="42"/>
        <v>0</v>
      </c>
      <c r="AS71" s="409" t="str">
        <f t="shared" si="43"/>
        <v/>
      </c>
      <c r="AT71" s="54">
        <f t="shared" si="59"/>
        <v>0</v>
      </c>
      <c r="AU71" s="54">
        <f t="shared" si="60"/>
        <v>0</v>
      </c>
      <c r="AV71" s="54">
        <f t="shared" si="61"/>
        <v>0</v>
      </c>
      <c r="AW71" s="55" t="b">
        <f t="shared" ca="1" si="62"/>
        <v>0</v>
      </c>
      <c r="AX71" s="69"/>
      <c r="AY71" s="203">
        <f t="shared" ca="1" si="63"/>
        <v>0</v>
      </c>
      <c r="AZ71" s="72">
        <f t="shared" ca="1" si="64"/>
        <v>0</v>
      </c>
      <c r="BA71" s="72">
        <f t="shared" ca="1" si="44"/>
        <v>0</v>
      </c>
      <c r="BB71" s="75">
        <f t="shared" ca="1" si="65"/>
        <v>0</v>
      </c>
      <c r="BC71" s="209">
        <f t="shared" si="66"/>
        <v>0</v>
      </c>
      <c r="BD71" s="72">
        <f t="shared" si="45"/>
        <v>0</v>
      </c>
      <c r="BE71" s="72">
        <f t="shared" si="46"/>
        <v>0</v>
      </c>
      <c r="BF71" s="72">
        <f t="shared" si="47"/>
        <v>0</v>
      </c>
      <c r="BG71" s="200">
        <f t="shared" ca="1" si="48"/>
        <v>0</v>
      </c>
      <c r="BH71" s="69"/>
      <c r="BI71" s="198">
        <f t="shared" si="18"/>
        <v>0</v>
      </c>
      <c r="BJ71" s="71">
        <f t="shared" si="19"/>
        <v>0</v>
      </c>
      <c r="BK71" s="72">
        <f t="shared" si="49"/>
        <v>0</v>
      </c>
      <c r="BL71" s="72">
        <f t="shared" ca="1" si="50"/>
        <v>0</v>
      </c>
      <c r="BM71" s="200">
        <f t="shared" ca="1" si="67"/>
        <v>0</v>
      </c>
      <c r="BN71" s="69"/>
      <c r="BO71" s="198">
        <f t="shared" si="68"/>
        <v>0</v>
      </c>
      <c r="BP71" s="72">
        <f t="shared" ca="1" si="69"/>
        <v>0</v>
      </c>
      <c r="BQ71" s="78">
        <f t="shared" si="51"/>
        <v>0</v>
      </c>
      <c r="BR71" s="78">
        <f t="shared" si="23"/>
        <v>0</v>
      </c>
      <c r="BS71" s="80">
        <f t="shared" ca="1" si="70"/>
        <v>0</v>
      </c>
      <c r="BT71" s="80">
        <f t="shared" ca="1" si="71"/>
        <v>0</v>
      </c>
      <c r="BU71" s="259" t="str">
        <f t="shared" ca="1" si="26"/>
        <v/>
      </c>
      <c r="BV71" s="206" t="str">
        <f t="shared" ca="1" si="27"/>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row>
    <row r="72" spans="1:116" ht="12.75" customHeight="1">
      <c r="A72" s="5"/>
      <c r="B72" s="327">
        <f t="shared" si="28"/>
        <v>40</v>
      </c>
      <c r="C72" s="398">
        <v>36</v>
      </c>
      <c r="D72" s="931"/>
      <c r="E72" s="932"/>
      <c r="F72" s="476"/>
      <c r="G72" s="483"/>
      <c r="H72" s="466"/>
      <c r="I72" s="467"/>
      <c r="J72" s="489"/>
      <c r="K72" s="490"/>
      <c r="L72" s="491"/>
      <c r="M72" s="492"/>
      <c r="N72" s="373" t="str">
        <f t="shared" ca="1" si="54"/>
        <v/>
      </c>
      <c r="O72" s="374" t="str">
        <f t="shared" ca="1" si="55"/>
        <v/>
      </c>
      <c r="P72" s="375">
        <f t="shared" ca="1" si="56"/>
        <v>0</v>
      </c>
      <c r="Q72" s="384" t="str">
        <f t="shared" ca="1" si="4"/>
        <v/>
      </c>
      <c r="R72" s="385" t="str">
        <f t="shared" ca="1" si="57"/>
        <v/>
      </c>
      <c r="S72" s="386">
        <f t="shared" ca="1" si="6"/>
        <v>0</v>
      </c>
      <c r="T72" s="387" t="str">
        <f t="shared" ca="1" si="58"/>
        <v/>
      </c>
      <c r="U72" s="5"/>
      <c r="V72" s="6"/>
      <c r="W72" s="4"/>
      <c r="X72" s="4">
        <v>36</v>
      </c>
      <c r="Y72" s="104">
        <f t="shared" si="8"/>
        <v>40</v>
      </c>
      <c r="Z72" s="104">
        <f t="shared" si="29"/>
        <v>0</v>
      </c>
      <c r="AA72" s="4"/>
      <c r="AB72" s="53">
        <f t="shared" si="52"/>
        <v>0</v>
      </c>
      <c r="AC72" s="54">
        <f>IF(SUM(AB72:AB$116)=0,0,F72&gt;0)</f>
        <v>0</v>
      </c>
      <c r="AD72" s="53">
        <f t="shared" si="53"/>
        <v>0</v>
      </c>
      <c r="AE72" s="54">
        <f>IF(SUM(AB72:AB$116)=0,0,AND(AC72=FALSE,AD72=0,SUM(AD72:AD$116)&gt;0))</f>
        <v>0</v>
      </c>
      <c r="AF72" s="54">
        <f t="shared" si="30"/>
        <v>0</v>
      </c>
      <c r="AG72" s="54">
        <f t="shared" si="31"/>
        <v>0</v>
      </c>
      <c r="AH72" s="56">
        <f t="shared" si="32"/>
        <v>0</v>
      </c>
      <c r="AI72" s="56">
        <f t="shared" si="33"/>
        <v>0</v>
      </c>
      <c r="AJ72" s="54">
        <f t="shared" si="34"/>
        <v>0</v>
      </c>
      <c r="AK72" s="54" t="str">
        <f t="shared" si="35"/>
        <v/>
      </c>
      <c r="AL72" s="54">
        <f t="shared" si="36"/>
        <v>0</v>
      </c>
      <c r="AM72" s="54">
        <f t="shared" si="37"/>
        <v>0</v>
      </c>
      <c r="AN72" s="54">
        <f t="shared" si="38"/>
        <v>0</v>
      </c>
      <c r="AO72" s="54">
        <f t="shared" si="39"/>
        <v>0</v>
      </c>
      <c r="AP72" s="54">
        <f t="shared" si="40"/>
        <v>0</v>
      </c>
      <c r="AQ72" s="54">
        <f t="shared" si="41"/>
        <v>0</v>
      </c>
      <c r="AR72" s="53">
        <f t="shared" si="42"/>
        <v>0</v>
      </c>
      <c r="AS72" s="409" t="str">
        <f t="shared" si="43"/>
        <v/>
      </c>
      <c r="AT72" s="54">
        <f t="shared" si="59"/>
        <v>0</v>
      </c>
      <c r="AU72" s="54">
        <f t="shared" si="60"/>
        <v>0</v>
      </c>
      <c r="AV72" s="54">
        <f t="shared" si="61"/>
        <v>0</v>
      </c>
      <c r="AW72" s="55" t="b">
        <f t="shared" ca="1" si="62"/>
        <v>0</v>
      </c>
      <c r="AX72" s="69"/>
      <c r="AY72" s="203">
        <f t="shared" ca="1" si="63"/>
        <v>0</v>
      </c>
      <c r="AZ72" s="72">
        <f t="shared" ca="1" si="64"/>
        <v>0</v>
      </c>
      <c r="BA72" s="72">
        <f t="shared" ca="1" si="44"/>
        <v>0</v>
      </c>
      <c r="BB72" s="75">
        <f t="shared" ca="1" si="65"/>
        <v>0</v>
      </c>
      <c r="BC72" s="209">
        <f t="shared" si="66"/>
        <v>0</v>
      </c>
      <c r="BD72" s="72">
        <f t="shared" si="45"/>
        <v>0</v>
      </c>
      <c r="BE72" s="72">
        <f t="shared" si="46"/>
        <v>0</v>
      </c>
      <c r="BF72" s="72">
        <f t="shared" si="47"/>
        <v>0</v>
      </c>
      <c r="BG72" s="200">
        <f t="shared" ca="1" si="48"/>
        <v>0</v>
      </c>
      <c r="BH72" s="69"/>
      <c r="BI72" s="198">
        <f t="shared" si="18"/>
        <v>0</v>
      </c>
      <c r="BJ72" s="71">
        <f t="shared" si="19"/>
        <v>0</v>
      </c>
      <c r="BK72" s="72">
        <f t="shared" si="49"/>
        <v>0</v>
      </c>
      <c r="BL72" s="72">
        <f t="shared" ca="1" si="50"/>
        <v>0</v>
      </c>
      <c r="BM72" s="200">
        <f t="shared" ca="1" si="67"/>
        <v>0</v>
      </c>
      <c r="BN72" s="69"/>
      <c r="BO72" s="198">
        <f t="shared" si="68"/>
        <v>0</v>
      </c>
      <c r="BP72" s="72">
        <f t="shared" ca="1" si="69"/>
        <v>0</v>
      </c>
      <c r="BQ72" s="78">
        <f t="shared" si="51"/>
        <v>0</v>
      </c>
      <c r="BR72" s="78">
        <f t="shared" si="23"/>
        <v>0</v>
      </c>
      <c r="BS72" s="80">
        <f t="shared" ca="1" si="70"/>
        <v>0</v>
      </c>
      <c r="BT72" s="80">
        <f t="shared" ca="1" si="71"/>
        <v>0</v>
      </c>
      <c r="BU72" s="259" t="str">
        <f t="shared" ca="1" si="26"/>
        <v/>
      </c>
      <c r="BV72" s="206" t="str">
        <f t="shared" ca="1" si="27"/>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row>
    <row r="73" spans="1:116" ht="12.75" customHeight="1">
      <c r="A73" s="5"/>
      <c r="B73" s="327">
        <f t="shared" si="28"/>
        <v>40</v>
      </c>
      <c r="C73" s="398">
        <v>37</v>
      </c>
      <c r="D73" s="931"/>
      <c r="E73" s="932"/>
      <c r="F73" s="476"/>
      <c r="G73" s="483"/>
      <c r="H73" s="466"/>
      <c r="I73" s="467"/>
      <c r="J73" s="489"/>
      <c r="K73" s="490"/>
      <c r="L73" s="491"/>
      <c r="M73" s="492"/>
      <c r="N73" s="373" t="str">
        <f t="shared" ca="1" si="54"/>
        <v/>
      </c>
      <c r="O73" s="374" t="str">
        <f t="shared" ca="1" si="55"/>
        <v/>
      </c>
      <c r="P73" s="375">
        <f t="shared" ca="1" si="56"/>
        <v>0</v>
      </c>
      <c r="Q73" s="384" t="str">
        <f t="shared" ca="1" si="4"/>
        <v/>
      </c>
      <c r="R73" s="385" t="str">
        <f t="shared" ca="1" si="57"/>
        <v/>
      </c>
      <c r="S73" s="386">
        <f t="shared" ca="1" si="6"/>
        <v>0</v>
      </c>
      <c r="T73" s="387" t="str">
        <f t="shared" ca="1" si="58"/>
        <v/>
      </c>
      <c r="U73" s="5"/>
      <c r="V73" s="6"/>
      <c r="W73" s="4"/>
      <c r="X73" s="4">
        <v>37</v>
      </c>
      <c r="Y73" s="104">
        <f t="shared" si="8"/>
        <v>40</v>
      </c>
      <c r="Z73" s="104">
        <f t="shared" si="29"/>
        <v>0</v>
      </c>
      <c r="AA73" s="4"/>
      <c r="AB73" s="53">
        <f t="shared" si="52"/>
        <v>0</v>
      </c>
      <c r="AC73" s="54">
        <f>IF(SUM(AB73:AB$116)=0,0,F73&gt;0)</f>
        <v>0</v>
      </c>
      <c r="AD73" s="53">
        <f t="shared" si="53"/>
        <v>0</v>
      </c>
      <c r="AE73" s="54">
        <f>IF(SUM(AB73:AB$116)=0,0,AND(AC73=FALSE,AD73=0,SUM(AD73:AD$116)&gt;0))</f>
        <v>0</v>
      </c>
      <c r="AF73" s="54">
        <f t="shared" si="30"/>
        <v>0</v>
      </c>
      <c r="AG73" s="54">
        <f t="shared" si="31"/>
        <v>0</v>
      </c>
      <c r="AH73" s="56">
        <f t="shared" si="32"/>
        <v>0</v>
      </c>
      <c r="AI73" s="56">
        <f t="shared" si="33"/>
        <v>0</v>
      </c>
      <c r="AJ73" s="54">
        <f t="shared" si="34"/>
        <v>0</v>
      </c>
      <c r="AK73" s="54" t="str">
        <f t="shared" si="35"/>
        <v/>
      </c>
      <c r="AL73" s="54">
        <f t="shared" si="36"/>
        <v>0</v>
      </c>
      <c r="AM73" s="54">
        <f t="shared" si="37"/>
        <v>0</v>
      </c>
      <c r="AN73" s="54">
        <f t="shared" si="38"/>
        <v>0</v>
      </c>
      <c r="AO73" s="54">
        <f t="shared" si="39"/>
        <v>0</v>
      </c>
      <c r="AP73" s="54">
        <f t="shared" si="40"/>
        <v>0</v>
      </c>
      <c r="AQ73" s="54">
        <f t="shared" si="41"/>
        <v>0</v>
      </c>
      <c r="AR73" s="53">
        <f t="shared" si="42"/>
        <v>0</v>
      </c>
      <c r="AS73" s="409" t="str">
        <f t="shared" si="43"/>
        <v/>
      </c>
      <c r="AT73" s="54">
        <f t="shared" si="59"/>
        <v>0</v>
      </c>
      <c r="AU73" s="54">
        <f t="shared" si="60"/>
        <v>0</v>
      </c>
      <c r="AV73" s="54">
        <f t="shared" si="61"/>
        <v>0</v>
      </c>
      <c r="AW73" s="55" t="b">
        <f t="shared" ca="1" si="62"/>
        <v>0</v>
      </c>
      <c r="AX73" s="69"/>
      <c r="AY73" s="203">
        <f t="shared" ca="1" si="63"/>
        <v>0</v>
      </c>
      <c r="AZ73" s="72">
        <f t="shared" ca="1" si="64"/>
        <v>0</v>
      </c>
      <c r="BA73" s="72">
        <f t="shared" ca="1" si="44"/>
        <v>0</v>
      </c>
      <c r="BB73" s="75">
        <f t="shared" ca="1" si="65"/>
        <v>0</v>
      </c>
      <c r="BC73" s="209">
        <f t="shared" si="66"/>
        <v>0</v>
      </c>
      <c r="BD73" s="72">
        <f t="shared" si="45"/>
        <v>0</v>
      </c>
      <c r="BE73" s="72">
        <f t="shared" si="46"/>
        <v>0</v>
      </c>
      <c r="BF73" s="72">
        <f t="shared" si="47"/>
        <v>0</v>
      </c>
      <c r="BG73" s="200">
        <f t="shared" ca="1" si="48"/>
        <v>0</v>
      </c>
      <c r="BH73" s="69"/>
      <c r="BI73" s="198">
        <f t="shared" si="18"/>
        <v>0</v>
      </c>
      <c r="BJ73" s="71">
        <f t="shared" si="19"/>
        <v>0</v>
      </c>
      <c r="BK73" s="72">
        <f t="shared" si="49"/>
        <v>0</v>
      </c>
      <c r="BL73" s="72">
        <f t="shared" ca="1" si="50"/>
        <v>0</v>
      </c>
      <c r="BM73" s="200">
        <f t="shared" ca="1" si="67"/>
        <v>0</v>
      </c>
      <c r="BN73" s="69"/>
      <c r="BO73" s="198">
        <f t="shared" si="68"/>
        <v>0</v>
      </c>
      <c r="BP73" s="72">
        <f t="shared" ca="1" si="69"/>
        <v>0</v>
      </c>
      <c r="BQ73" s="78">
        <f t="shared" si="51"/>
        <v>0</v>
      </c>
      <c r="BR73" s="78">
        <f t="shared" si="23"/>
        <v>0</v>
      </c>
      <c r="BS73" s="80">
        <f t="shared" ca="1" si="70"/>
        <v>0</v>
      </c>
      <c r="BT73" s="80">
        <f t="shared" ca="1" si="71"/>
        <v>0</v>
      </c>
      <c r="BU73" s="259" t="str">
        <f t="shared" ca="1" si="26"/>
        <v/>
      </c>
      <c r="BV73" s="206" t="str">
        <f t="shared" ca="1" si="27"/>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row>
    <row r="74" spans="1:116" ht="12.75" customHeight="1">
      <c r="A74" s="5"/>
      <c r="B74" s="327">
        <f t="shared" si="28"/>
        <v>40</v>
      </c>
      <c r="C74" s="398">
        <v>38</v>
      </c>
      <c r="D74" s="931"/>
      <c r="E74" s="932"/>
      <c r="F74" s="476"/>
      <c r="G74" s="483"/>
      <c r="H74" s="466"/>
      <c r="I74" s="467"/>
      <c r="J74" s="489"/>
      <c r="K74" s="490"/>
      <c r="L74" s="491"/>
      <c r="M74" s="492"/>
      <c r="N74" s="373" t="str">
        <f t="shared" ca="1" si="54"/>
        <v/>
      </c>
      <c r="O74" s="374" t="str">
        <f t="shared" ca="1" si="55"/>
        <v/>
      </c>
      <c r="P74" s="375">
        <f t="shared" ca="1" si="56"/>
        <v>0</v>
      </c>
      <c r="Q74" s="384" t="str">
        <f t="shared" ca="1" si="4"/>
        <v/>
      </c>
      <c r="R74" s="385" t="str">
        <f t="shared" ca="1" si="57"/>
        <v/>
      </c>
      <c r="S74" s="386">
        <f t="shared" ca="1" si="6"/>
        <v>0</v>
      </c>
      <c r="T74" s="387" t="str">
        <f t="shared" ca="1" si="58"/>
        <v/>
      </c>
      <c r="U74" s="5"/>
      <c r="V74" s="6"/>
      <c r="W74" s="4"/>
      <c r="X74" s="4">
        <v>38</v>
      </c>
      <c r="Y74" s="104">
        <f t="shared" si="8"/>
        <v>40</v>
      </c>
      <c r="Z74" s="104">
        <f t="shared" si="29"/>
        <v>0</v>
      </c>
      <c r="AA74" s="4"/>
      <c r="AB74" s="53">
        <f t="shared" si="52"/>
        <v>0</v>
      </c>
      <c r="AC74" s="54">
        <f>IF(SUM(AB74:AB$116)=0,0,F74&gt;0)</f>
        <v>0</v>
      </c>
      <c r="AD74" s="53">
        <f t="shared" si="53"/>
        <v>0</v>
      </c>
      <c r="AE74" s="54">
        <f>IF(SUM(AB74:AB$116)=0,0,AND(AC74=FALSE,AD74=0,SUM(AD74:AD$116)&gt;0))</f>
        <v>0</v>
      </c>
      <c r="AF74" s="54">
        <f t="shared" si="30"/>
        <v>0</v>
      </c>
      <c r="AG74" s="54">
        <f t="shared" si="31"/>
        <v>0</v>
      </c>
      <c r="AH74" s="56">
        <f t="shared" si="32"/>
        <v>0</v>
      </c>
      <c r="AI74" s="56">
        <f t="shared" si="33"/>
        <v>0</v>
      </c>
      <c r="AJ74" s="54">
        <f t="shared" si="34"/>
        <v>0</v>
      </c>
      <c r="AK74" s="54" t="str">
        <f t="shared" si="35"/>
        <v/>
      </c>
      <c r="AL74" s="54">
        <f t="shared" si="36"/>
        <v>0</v>
      </c>
      <c r="AM74" s="54">
        <f t="shared" si="37"/>
        <v>0</v>
      </c>
      <c r="AN74" s="54">
        <f t="shared" si="38"/>
        <v>0</v>
      </c>
      <c r="AO74" s="54">
        <f t="shared" si="39"/>
        <v>0</v>
      </c>
      <c r="AP74" s="54">
        <f t="shared" si="40"/>
        <v>0</v>
      </c>
      <c r="AQ74" s="54">
        <f t="shared" si="41"/>
        <v>0</v>
      </c>
      <c r="AR74" s="53">
        <f t="shared" si="42"/>
        <v>0</v>
      </c>
      <c r="AS74" s="409" t="str">
        <f t="shared" si="43"/>
        <v/>
      </c>
      <c r="AT74" s="54">
        <f t="shared" si="59"/>
        <v>0</v>
      </c>
      <c r="AU74" s="54">
        <f t="shared" si="60"/>
        <v>0</v>
      </c>
      <c r="AV74" s="54">
        <f t="shared" si="61"/>
        <v>0</v>
      </c>
      <c r="AW74" s="55" t="b">
        <f t="shared" ca="1" si="62"/>
        <v>0</v>
      </c>
      <c r="AX74" s="69"/>
      <c r="AY74" s="203">
        <f t="shared" ca="1" si="63"/>
        <v>0</v>
      </c>
      <c r="AZ74" s="72">
        <f t="shared" ca="1" si="64"/>
        <v>0</v>
      </c>
      <c r="BA74" s="72">
        <f t="shared" ca="1" si="44"/>
        <v>0</v>
      </c>
      <c r="BB74" s="75">
        <f t="shared" ca="1" si="65"/>
        <v>0</v>
      </c>
      <c r="BC74" s="209">
        <f t="shared" si="66"/>
        <v>0</v>
      </c>
      <c r="BD74" s="72">
        <f t="shared" si="45"/>
        <v>0</v>
      </c>
      <c r="BE74" s="72">
        <f t="shared" si="46"/>
        <v>0</v>
      </c>
      <c r="BF74" s="72">
        <f t="shared" si="47"/>
        <v>0</v>
      </c>
      <c r="BG74" s="200">
        <f t="shared" ca="1" si="48"/>
        <v>0</v>
      </c>
      <c r="BH74" s="69"/>
      <c r="BI74" s="198">
        <f t="shared" si="18"/>
        <v>0</v>
      </c>
      <c r="BJ74" s="71">
        <f t="shared" si="19"/>
        <v>0</v>
      </c>
      <c r="BK74" s="72">
        <f t="shared" si="49"/>
        <v>0</v>
      </c>
      <c r="BL74" s="72">
        <f t="shared" ca="1" si="50"/>
        <v>0</v>
      </c>
      <c r="BM74" s="200">
        <f t="shared" ca="1" si="67"/>
        <v>0</v>
      </c>
      <c r="BN74" s="69"/>
      <c r="BO74" s="198">
        <f t="shared" si="68"/>
        <v>0</v>
      </c>
      <c r="BP74" s="72">
        <f t="shared" ca="1" si="69"/>
        <v>0</v>
      </c>
      <c r="BQ74" s="78">
        <f t="shared" si="51"/>
        <v>0</v>
      </c>
      <c r="BR74" s="78">
        <f t="shared" si="23"/>
        <v>0</v>
      </c>
      <c r="BS74" s="80">
        <f t="shared" ca="1" si="70"/>
        <v>0</v>
      </c>
      <c r="BT74" s="80">
        <f t="shared" ca="1" si="71"/>
        <v>0</v>
      </c>
      <c r="BU74" s="259" t="str">
        <f t="shared" ca="1" si="26"/>
        <v/>
      </c>
      <c r="BV74" s="206" t="str">
        <f t="shared" ca="1" si="27"/>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row>
    <row r="75" spans="1:116" ht="12.75" customHeight="1">
      <c r="A75" s="5"/>
      <c r="B75" s="327">
        <f t="shared" si="28"/>
        <v>40</v>
      </c>
      <c r="C75" s="398">
        <v>39</v>
      </c>
      <c r="D75" s="931"/>
      <c r="E75" s="932"/>
      <c r="F75" s="476"/>
      <c r="G75" s="483"/>
      <c r="H75" s="466"/>
      <c r="I75" s="467"/>
      <c r="J75" s="489"/>
      <c r="K75" s="490"/>
      <c r="L75" s="491"/>
      <c r="M75" s="492"/>
      <c r="N75" s="373" t="str">
        <f t="shared" ca="1" si="54"/>
        <v/>
      </c>
      <c r="O75" s="374" t="str">
        <f t="shared" ca="1" si="55"/>
        <v/>
      </c>
      <c r="P75" s="375">
        <f t="shared" ca="1" si="56"/>
        <v>0</v>
      </c>
      <c r="Q75" s="384" t="str">
        <f t="shared" ca="1" si="4"/>
        <v/>
      </c>
      <c r="R75" s="385" t="str">
        <f t="shared" ca="1" si="57"/>
        <v/>
      </c>
      <c r="S75" s="386">
        <f t="shared" ca="1" si="6"/>
        <v>0</v>
      </c>
      <c r="T75" s="387" t="str">
        <f t="shared" ca="1" si="58"/>
        <v/>
      </c>
      <c r="U75" s="5"/>
      <c r="V75" s="6"/>
      <c r="W75" s="4"/>
      <c r="X75" s="4">
        <v>39</v>
      </c>
      <c r="Y75" s="104">
        <f t="shared" si="8"/>
        <v>40</v>
      </c>
      <c r="Z75" s="104">
        <f t="shared" si="29"/>
        <v>0</v>
      </c>
      <c r="AA75" s="4"/>
      <c r="AB75" s="53">
        <f t="shared" si="52"/>
        <v>0</v>
      </c>
      <c r="AC75" s="54">
        <f>IF(SUM(AB75:AB$116)=0,0,F75&gt;0)</f>
        <v>0</v>
      </c>
      <c r="AD75" s="53">
        <f t="shared" si="53"/>
        <v>0</v>
      </c>
      <c r="AE75" s="54">
        <f>IF(SUM(AB75:AB$116)=0,0,AND(AC75=FALSE,AD75=0,SUM(AD75:AD$116)&gt;0))</f>
        <v>0</v>
      </c>
      <c r="AF75" s="54">
        <f t="shared" si="30"/>
        <v>0</v>
      </c>
      <c r="AG75" s="54">
        <f t="shared" si="31"/>
        <v>0</v>
      </c>
      <c r="AH75" s="56">
        <f t="shared" si="32"/>
        <v>0</v>
      </c>
      <c r="AI75" s="56">
        <f t="shared" si="33"/>
        <v>0</v>
      </c>
      <c r="AJ75" s="54">
        <f t="shared" si="34"/>
        <v>0</v>
      </c>
      <c r="AK75" s="54" t="str">
        <f t="shared" si="35"/>
        <v/>
      </c>
      <c r="AL75" s="54">
        <f t="shared" si="36"/>
        <v>0</v>
      </c>
      <c r="AM75" s="54">
        <f t="shared" si="37"/>
        <v>0</v>
      </c>
      <c r="AN75" s="54">
        <f t="shared" si="38"/>
        <v>0</v>
      </c>
      <c r="AO75" s="54">
        <f t="shared" si="39"/>
        <v>0</v>
      </c>
      <c r="AP75" s="54">
        <f t="shared" si="40"/>
        <v>0</v>
      </c>
      <c r="AQ75" s="54">
        <f t="shared" si="41"/>
        <v>0</v>
      </c>
      <c r="AR75" s="53">
        <f t="shared" si="42"/>
        <v>0</v>
      </c>
      <c r="AS75" s="409" t="str">
        <f t="shared" si="43"/>
        <v/>
      </c>
      <c r="AT75" s="54">
        <f t="shared" si="59"/>
        <v>0</v>
      </c>
      <c r="AU75" s="54">
        <f t="shared" si="60"/>
        <v>0</v>
      </c>
      <c r="AV75" s="54">
        <f t="shared" si="61"/>
        <v>0</v>
      </c>
      <c r="AW75" s="55" t="b">
        <f t="shared" ca="1" si="62"/>
        <v>0</v>
      </c>
      <c r="AX75" s="69"/>
      <c r="AY75" s="203">
        <f t="shared" ca="1" si="63"/>
        <v>0</v>
      </c>
      <c r="AZ75" s="72">
        <f t="shared" ca="1" si="64"/>
        <v>0</v>
      </c>
      <c r="BA75" s="72">
        <f t="shared" ca="1" si="44"/>
        <v>0</v>
      </c>
      <c r="BB75" s="75">
        <f t="shared" ca="1" si="65"/>
        <v>0</v>
      </c>
      <c r="BC75" s="209">
        <f t="shared" si="66"/>
        <v>0</v>
      </c>
      <c r="BD75" s="72">
        <f t="shared" si="45"/>
        <v>0</v>
      </c>
      <c r="BE75" s="72">
        <f t="shared" si="46"/>
        <v>0</v>
      </c>
      <c r="BF75" s="72">
        <f t="shared" si="47"/>
        <v>0</v>
      </c>
      <c r="BG75" s="200">
        <f t="shared" ca="1" si="48"/>
        <v>0</v>
      </c>
      <c r="BH75" s="69"/>
      <c r="BI75" s="198">
        <f t="shared" si="18"/>
        <v>0</v>
      </c>
      <c r="BJ75" s="71">
        <f t="shared" si="19"/>
        <v>0</v>
      </c>
      <c r="BK75" s="72">
        <f t="shared" si="49"/>
        <v>0</v>
      </c>
      <c r="BL75" s="72">
        <f t="shared" ca="1" si="50"/>
        <v>0</v>
      </c>
      <c r="BM75" s="200">
        <f t="shared" ca="1" si="67"/>
        <v>0</v>
      </c>
      <c r="BN75" s="69"/>
      <c r="BO75" s="198">
        <f t="shared" si="68"/>
        <v>0</v>
      </c>
      <c r="BP75" s="72">
        <f t="shared" ca="1" si="69"/>
        <v>0</v>
      </c>
      <c r="BQ75" s="78">
        <f t="shared" si="51"/>
        <v>0</v>
      </c>
      <c r="BR75" s="78">
        <f t="shared" si="23"/>
        <v>0</v>
      </c>
      <c r="BS75" s="80">
        <f t="shared" ca="1" si="70"/>
        <v>0</v>
      </c>
      <c r="BT75" s="80">
        <f t="shared" ca="1" si="71"/>
        <v>0</v>
      </c>
      <c r="BU75" s="259" t="str">
        <f t="shared" ca="1" si="26"/>
        <v/>
      </c>
      <c r="BV75" s="206" t="str">
        <f t="shared" ca="1" si="27"/>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row>
    <row r="76" spans="1:116" ht="12.75" customHeight="1" thickBot="1">
      <c r="A76" s="5"/>
      <c r="B76" s="327">
        <f t="shared" si="28"/>
        <v>40</v>
      </c>
      <c r="C76" s="398">
        <v>40</v>
      </c>
      <c r="D76" s="931"/>
      <c r="E76" s="932"/>
      <c r="F76" s="476"/>
      <c r="G76" s="483"/>
      <c r="H76" s="466"/>
      <c r="I76" s="467"/>
      <c r="J76" s="489"/>
      <c r="K76" s="490"/>
      <c r="L76" s="491"/>
      <c r="M76" s="492"/>
      <c r="N76" s="373" t="str">
        <f t="shared" ca="1" si="54"/>
        <v/>
      </c>
      <c r="O76" s="374" t="str">
        <f t="shared" ca="1" si="55"/>
        <v/>
      </c>
      <c r="P76" s="375">
        <f t="shared" ca="1" si="56"/>
        <v>0</v>
      </c>
      <c r="Q76" s="384" t="str">
        <f t="shared" ref="Q76:Q115" ca="1" si="72">IF(AllInputsOK=FALSE,"",BO76/ConductanceAccess)</f>
        <v/>
      </c>
      <c r="R76" s="385" t="str">
        <f t="shared" ca="1" si="57"/>
        <v/>
      </c>
      <c r="S76" s="386">
        <f t="shared" ref="S76:S115" ca="1" si="73">IF(AND(AllInputsOK=FALSE,BP76&gt;0),"",BP76)</f>
        <v>0</v>
      </c>
      <c r="T76" s="387" t="str">
        <f t="shared" ca="1" si="58"/>
        <v/>
      </c>
      <c r="U76" s="5"/>
      <c r="V76" s="6"/>
      <c r="W76" s="4"/>
      <c r="X76" s="4">
        <v>40</v>
      </c>
      <c r="Y76" s="104">
        <f t="shared" ref="Y76:Y116" si="74">IF(AND(RowsPreferred&lt;LastActive,LastActive&gt;=X76),LastActive,IF(RowsPreferred&gt;=X76,RowsPreferred,"-"))</f>
        <v>40</v>
      </c>
      <c r="Z76" s="104">
        <f t="shared" ref="Z76:Z116" si="75">IF(AC76=TRUE,1,0)</f>
        <v>0</v>
      </c>
      <c r="AA76" s="4"/>
      <c r="AB76" s="53">
        <f t="shared" ref="AB76:AB115" si="76">COUNTA(D76:M76)</f>
        <v>0</v>
      </c>
      <c r="AC76" s="54">
        <f>IF(SUM(AB76:AB$116)=0,0,F76&gt;0)</f>
        <v>0</v>
      </c>
      <c r="AD76" s="53">
        <f t="shared" ref="AD76:AD115" si="77">COUNTA(G76:M76)</f>
        <v>0</v>
      </c>
      <c r="AE76" s="54">
        <f>IF(SUM(AB76:AB$116)=0,0,AND(AC76=FALSE,AD76=0,SUM(AD76:AD$116)&gt;0))</f>
        <v>0</v>
      </c>
      <c r="AF76" s="54">
        <f t="shared" si="30"/>
        <v>0</v>
      </c>
      <c r="AG76" s="54">
        <f t="shared" si="31"/>
        <v>0</v>
      </c>
      <c r="AH76" s="56">
        <f t="shared" si="32"/>
        <v>0</v>
      </c>
      <c r="AI76" s="56">
        <f t="shared" si="33"/>
        <v>0</v>
      </c>
      <c r="AJ76" s="54">
        <f t="shared" si="34"/>
        <v>0</v>
      </c>
      <c r="AK76" s="54" t="str">
        <f t="shared" si="35"/>
        <v/>
      </c>
      <c r="AL76" s="54">
        <f t="shared" si="36"/>
        <v>0</v>
      </c>
      <c r="AM76" s="54">
        <f t="shared" si="37"/>
        <v>0</v>
      </c>
      <c r="AN76" s="54">
        <f t="shared" si="38"/>
        <v>0</v>
      </c>
      <c r="AO76" s="54">
        <f t="shared" si="39"/>
        <v>0</v>
      </c>
      <c r="AP76" s="54">
        <f t="shared" si="40"/>
        <v>0</v>
      </c>
      <c r="AQ76" s="54">
        <f t="shared" si="41"/>
        <v>0</v>
      </c>
      <c r="AR76" s="53">
        <f t="shared" si="42"/>
        <v>0</v>
      </c>
      <c r="AS76" s="409" t="str">
        <f t="shared" si="43"/>
        <v/>
      </c>
      <c r="AT76" s="54">
        <f t="shared" si="59"/>
        <v>0</v>
      </c>
      <c r="AU76" s="54">
        <f t="shared" si="60"/>
        <v>0</v>
      </c>
      <c r="AV76" s="54">
        <f t="shared" si="61"/>
        <v>0</v>
      </c>
      <c r="AW76" s="55" t="b">
        <f t="shared" ca="1" si="62"/>
        <v>0</v>
      </c>
      <c r="AX76" s="69"/>
      <c r="AY76" s="203">
        <f t="shared" ca="1" si="63"/>
        <v>0</v>
      </c>
      <c r="AZ76" s="72">
        <f t="shared" ca="1" si="64"/>
        <v>0</v>
      </c>
      <c r="BA76" s="72">
        <f t="shared" ref="BA76:BA115" ca="1" si="78">AZ76-AY76</f>
        <v>0</v>
      </c>
      <c r="BB76" s="75">
        <f t="shared" ca="1" si="65"/>
        <v>0</v>
      </c>
      <c r="BC76" s="209">
        <f t="shared" si="66"/>
        <v>0</v>
      </c>
      <c r="BD76" s="72">
        <f t="shared" ref="BD76:BD115" si="79">IF(AND(AP76=TRUE,Zone=0),10,IF(OR(BC76=0,BC76=FALSE),0,INDEX(ExposuresSummer,MATCH(AY76,Projections,1),MATCH(BC76,Directions,0),Zone)))</f>
        <v>0</v>
      </c>
      <c r="BE76" s="72">
        <f t="shared" ref="BE76:BE115" si="80">IF(AND(AP76=TRUE,Zone=0),10,IF(OR(BC76=0,BC76=FALSE),0,INDEX(ExposuresSummer,MATCH(AZ76,Projections,1),MATCH(BC76,Directions,0),Zone)))</f>
        <v>0</v>
      </c>
      <c r="BF76" s="72">
        <f t="shared" ref="BF76:BF115" si="81">BD76-BE76</f>
        <v>0</v>
      </c>
      <c r="BG76" s="200">
        <f t="shared" ref="BG76:BG115" ca="1" si="82">BD76-BF76*BB76</f>
        <v>0</v>
      </c>
      <c r="BH76" s="69"/>
      <c r="BI76" s="198">
        <f t="shared" si="18"/>
        <v>0</v>
      </c>
      <c r="BJ76" s="71">
        <f t="shared" si="19"/>
        <v>0</v>
      </c>
      <c r="BK76" s="72">
        <f t="shared" ref="BK76:BK115" si="83">BI76-BJ76</f>
        <v>0</v>
      </c>
      <c r="BL76" s="72">
        <f t="shared" ref="BL76:BL115" ca="1" si="84">BI76-BK76*$BB76</f>
        <v>0</v>
      </c>
      <c r="BM76" s="200">
        <f t="shared" ca="1" si="67"/>
        <v>0</v>
      </c>
      <c r="BN76" s="69"/>
      <c r="BO76" s="198">
        <f t="shared" si="68"/>
        <v>0</v>
      </c>
      <c r="BP76" s="72">
        <f t="shared" ca="1" si="69"/>
        <v>0</v>
      </c>
      <c r="BQ76" s="78">
        <f t="shared" ref="BQ76:BQ115" si="85">IF(AP76&lt;&gt;TRUE,0,BO76/BO$34)</f>
        <v>0</v>
      </c>
      <c r="BR76" s="78">
        <f t="shared" ref="BR76:BR115" si="86">IF(AP76&lt;&gt;TRUE,0,BP76/BP$26)</f>
        <v>0</v>
      </c>
      <c r="BS76" s="80">
        <f t="shared" ca="1" si="70"/>
        <v>0</v>
      </c>
      <c r="BT76" s="80">
        <f t="shared" ca="1" si="71"/>
        <v>0</v>
      </c>
      <c r="BU76" s="259" t="str">
        <f t="shared" ref="BU76:BU115" ca="1" si="87">IF(SUM(BO76:BP76)=0,"",TEXT(BQ76,IF(BQ76&lt;0.005,"0.0%","0%"))&amp;" of "&amp;TEXT(BO$28,"0%"))</f>
        <v/>
      </c>
      <c r="BV76" s="206" t="str">
        <f t="shared" ref="BV76:BV115" ca="1" si="88">IF(SUM(BO76:BP76)=0,"",TEXT(BR76,IF(BR76&lt;0.005,"0.0%","0%"))&amp;" of "&amp;TEXT(BP$28,"0%"))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row>
    <row r="77" spans="1:116" ht="12.75" hidden="1" customHeight="1">
      <c r="A77" s="5"/>
      <c r="B77" s="327" t="str">
        <f t="shared" si="28"/>
        <v>-</v>
      </c>
      <c r="C77" s="398">
        <v>41</v>
      </c>
      <c r="D77" s="931"/>
      <c r="E77" s="932"/>
      <c r="F77" s="476"/>
      <c r="G77" s="483"/>
      <c r="H77" s="466"/>
      <c r="I77" s="467"/>
      <c r="J77" s="489"/>
      <c r="K77" s="490"/>
      <c r="L77" s="491"/>
      <c r="M77" s="492"/>
      <c r="N77" s="373" t="str">
        <f t="shared" ca="1" si="54"/>
        <v/>
      </c>
      <c r="O77" s="374" t="str">
        <f t="shared" ca="1" si="55"/>
        <v/>
      </c>
      <c r="P77" s="375">
        <f t="shared" ca="1" si="56"/>
        <v>0</v>
      </c>
      <c r="Q77" s="384" t="str">
        <f t="shared" ca="1" si="72"/>
        <v/>
      </c>
      <c r="R77" s="385" t="str">
        <f t="shared" ca="1" si="57"/>
        <v/>
      </c>
      <c r="S77" s="386">
        <f t="shared" ca="1" si="73"/>
        <v>0</v>
      </c>
      <c r="T77" s="387" t="str">
        <f t="shared" ca="1" si="58"/>
        <v/>
      </c>
      <c r="U77" s="5"/>
      <c r="V77" s="6"/>
      <c r="W77" s="4"/>
      <c r="X77" s="4">
        <v>41</v>
      </c>
      <c r="Y77" s="104" t="str">
        <f t="shared" si="74"/>
        <v>-</v>
      </c>
      <c r="Z77" s="104">
        <f t="shared" si="75"/>
        <v>0</v>
      </c>
      <c r="AA77" s="4"/>
      <c r="AB77" s="53">
        <f t="shared" si="76"/>
        <v>0</v>
      </c>
      <c r="AC77" s="54">
        <f>IF(SUM(AB77:AB$116)=0,0,F77&gt;0)</f>
        <v>0</v>
      </c>
      <c r="AD77" s="53">
        <f t="shared" si="77"/>
        <v>0</v>
      </c>
      <c r="AE77" s="54">
        <f>IF(SUM(AB77:AB$116)=0,0,AND(AC77=FALSE,AD77=0,SUM(AD77:AD$116)&gt;0))</f>
        <v>0</v>
      </c>
      <c r="AF77" s="54">
        <f t="shared" si="30"/>
        <v>0</v>
      </c>
      <c r="AG77" s="54">
        <f t="shared" si="31"/>
        <v>0</v>
      </c>
      <c r="AH77" s="56">
        <f t="shared" si="32"/>
        <v>0</v>
      </c>
      <c r="AI77" s="56">
        <f t="shared" si="33"/>
        <v>0</v>
      </c>
      <c r="AJ77" s="54">
        <f t="shared" si="34"/>
        <v>0</v>
      </c>
      <c r="AK77" s="54" t="str">
        <f t="shared" si="35"/>
        <v/>
      </c>
      <c r="AL77" s="54">
        <f t="shared" si="36"/>
        <v>0</v>
      </c>
      <c r="AM77" s="54">
        <f t="shared" si="37"/>
        <v>0</v>
      </c>
      <c r="AN77" s="54">
        <f t="shared" si="38"/>
        <v>0</v>
      </c>
      <c r="AO77" s="54">
        <f t="shared" si="39"/>
        <v>0</v>
      </c>
      <c r="AP77" s="54">
        <f t="shared" si="40"/>
        <v>0</v>
      </c>
      <c r="AQ77" s="54">
        <f t="shared" si="41"/>
        <v>0</v>
      </c>
      <c r="AR77" s="53">
        <f t="shared" si="42"/>
        <v>0</v>
      </c>
      <c r="AS77" s="409" t="str">
        <f t="shared" si="43"/>
        <v/>
      </c>
      <c r="AT77" s="54">
        <f t="shared" si="59"/>
        <v>0</v>
      </c>
      <c r="AU77" s="54">
        <f t="shared" si="60"/>
        <v>0</v>
      </c>
      <c r="AV77" s="54">
        <f t="shared" si="61"/>
        <v>0</v>
      </c>
      <c r="AW77" s="55" t="b">
        <f t="shared" ca="1" si="62"/>
        <v>0</v>
      </c>
      <c r="AX77" s="69"/>
      <c r="AY77" s="203">
        <f t="shared" ca="1" si="63"/>
        <v>0</v>
      </c>
      <c r="AZ77" s="72">
        <f t="shared" ca="1" si="64"/>
        <v>0</v>
      </c>
      <c r="BA77" s="72">
        <f t="shared" ca="1" si="78"/>
        <v>0</v>
      </c>
      <c r="BB77" s="75">
        <f t="shared" ca="1" si="65"/>
        <v>0</v>
      </c>
      <c r="BC77" s="209">
        <f t="shared" si="66"/>
        <v>0</v>
      </c>
      <c r="BD77" s="72">
        <f t="shared" si="79"/>
        <v>0</v>
      </c>
      <c r="BE77" s="72">
        <f t="shared" si="80"/>
        <v>0</v>
      </c>
      <c r="BF77" s="72">
        <f t="shared" si="81"/>
        <v>0</v>
      </c>
      <c r="BG77" s="200">
        <f t="shared" ca="1" si="82"/>
        <v>0</v>
      </c>
      <c r="BH77" s="69"/>
      <c r="BI77" s="198">
        <f t="shared" si="18"/>
        <v>0</v>
      </c>
      <c r="BJ77" s="71">
        <f t="shared" si="19"/>
        <v>0</v>
      </c>
      <c r="BK77" s="72">
        <f t="shared" si="83"/>
        <v>0</v>
      </c>
      <c r="BL77" s="72">
        <f t="shared" ca="1" si="84"/>
        <v>0</v>
      </c>
      <c r="BM77" s="200">
        <f t="shared" ca="1" si="67"/>
        <v>0</v>
      </c>
      <c r="BN77" s="69"/>
      <c r="BO77" s="198">
        <f t="shared" si="68"/>
        <v>0</v>
      </c>
      <c r="BP77" s="72">
        <f t="shared" ca="1" si="69"/>
        <v>0</v>
      </c>
      <c r="BQ77" s="78">
        <f t="shared" si="85"/>
        <v>0</v>
      </c>
      <c r="BR77" s="78">
        <f t="shared" si="86"/>
        <v>0</v>
      </c>
      <c r="BS77" s="80">
        <f t="shared" ca="1" si="70"/>
        <v>0</v>
      </c>
      <c r="BT77" s="80">
        <f t="shared" ca="1" si="71"/>
        <v>0</v>
      </c>
      <c r="BU77" s="259" t="str">
        <f t="shared" ca="1" si="87"/>
        <v/>
      </c>
      <c r="BV77" s="206" t="str">
        <f t="shared" ca="1" si="88"/>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row>
    <row r="78" spans="1:116" ht="12.75" hidden="1" customHeight="1">
      <c r="A78" s="5"/>
      <c r="B78" s="327" t="str">
        <f t="shared" si="28"/>
        <v>-</v>
      </c>
      <c r="C78" s="398">
        <v>42</v>
      </c>
      <c r="D78" s="931"/>
      <c r="E78" s="932"/>
      <c r="F78" s="476"/>
      <c r="G78" s="483"/>
      <c r="H78" s="466"/>
      <c r="I78" s="467"/>
      <c r="J78" s="489"/>
      <c r="K78" s="490"/>
      <c r="L78" s="491"/>
      <c r="M78" s="492"/>
      <c r="N78" s="373" t="str">
        <f t="shared" ca="1" si="54"/>
        <v/>
      </c>
      <c r="O78" s="374" t="str">
        <f t="shared" ca="1" si="55"/>
        <v/>
      </c>
      <c r="P78" s="375">
        <f t="shared" ca="1" si="56"/>
        <v>0</v>
      </c>
      <c r="Q78" s="384" t="str">
        <f t="shared" ca="1" si="72"/>
        <v/>
      </c>
      <c r="R78" s="385" t="str">
        <f t="shared" ca="1" si="57"/>
        <v/>
      </c>
      <c r="S78" s="386">
        <f t="shared" ca="1" si="73"/>
        <v>0</v>
      </c>
      <c r="T78" s="387" t="str">
        <f t="shared" ca="1" si="58"/>
        <v/>
      </c>
      <c r="U78" s="5"/>
      <c r="V78" s="6"/>
      <c r="W78" s="4"/>
      <c r="X78" s="4">
        <v>42</v>
      </c>
      <c r="Y78" s="104" t="str">
        <f t="shared" si="74"/>
        <v>-</v>
      </c>
      <c r="Z78" s="104">
        <f t="shared" si="75"/>
        <v>0</v>
      </c>
      <c r="AA78" s="4"/>
      <c r="AB78" s="53">
        <f t="shared" si="76"/>
        <v>0</v>
      </c>
      <c r="AC78" s="54">
        <f>IF(SUM(AB78:AB$116)=0,0,F78&gt;0)</f>
        <v>0</v>
      </c>
      <c r="AD78" s="53">
        <f t="shared" si="77"/>
        <v>0</v>
      </c>
      <c r="AE78" s="54">
        <f>IF(SUM(AB78:AB$116)=0,0,AND(AC78=FALSE,AD78=0,SUM(AD78:AD$116)&gt;0))</f>
        <v>0</v>
      </c>
      <c r="AF78" s="54">
        <f t="shared" si="30"/>
        <v>0</v>
      </c>
      <c r="AG78" s="54">
        <f t="shared" si="31"/>
        <v>0</v>
      </c>
      <c r="AH78" s="56">
        <f t="shared" si="32"/>
        <v>0</v>
      </c>
      <c r="AI78" s="56">
        <f t="shared" si="33"/>
        <v>0</v>
      </c>
      <c r="AJ78" s="54">
        <f t="shared" si="34"/>
        <v>0</v>
      </c>
      <c r="AK78" s="54" t="str">
        <f t="shared" si="35"/>
        <v/>
      </c>
      <c r="AL78" s="54">
        <f t="shared" si="36"/>
        <v>0</v>
      </c>
      <c r="AM78" s="54">
        <f t="shared" si="37"/>
        <v>0</v>
      </c>
      <c r="AN78" s="54">
        <f t="shared" si="38"/>
        <v>0</v>
      </c>
      <c r="AO78" s="54">
        <f t="shared" si="39"/>
        <v>0</v>
      </c>
      <c r="AP78" s="54">
        <f t="shared" si="40"/>
        <v>0</v>
      </c>
      <c r="AQ78" s="54">
        <f t="shared" si="41"/>
        <v>0</v>
      </c>
      <c r="AR78" s="53">
        <f t="shared" si="42"/>
        <v>0</v>
      </c>
      <c r="AS78" s="409" t="str">
        <f t="shared" si="43"/>
        <v/>
      </c>
      <c r="AT78" s="54">
        <f t="shared" si="59"/>
        <v>0</v>
      </c>
      <c r="AU78" s="54">
        <f t="shared" si="60"/>
        <v>0</v>
      </c>
      <c r="AV78" s="54">
        <f t="shared" si="61"/>
        <v>0</v>
      </c>
      <c r="AW78" s="55" t="b">
        <f t="shared" ca="1" si="62"/>
        <v>0</v>
      </c>
      <c r="AX78" s="69"/>
      <c r="AY78" s="203">
        <f t="shared" ca="1" si="63"/>
        <v>0</v>
      </c>
      <c r="AZ78" s="72">
        <f t="shared" ca="1" si="64"/>
        <v>0</v>
      </c>
      <c r="BA78" s="72">
        <f t="shared" ca="1" si="78"/>
        <v>0</v>
      </c>
      <c r="BB78" s="75">
        <f t="shared" ca="1" si="65"/>
        <v>0</v>
      </c>
      <c r="BC78" s="209">
        <f t="shared" si="66"/>
        <v>0</v>
      </c>
      <c r="BD78" s="72">
        <f t="shared" si="79"/>
        <v>0</v>
      </c>
      <c r="BE78" s="72">
        <f t="shared" si="80"/>
        <v>0</v>
      </c>
      <c r="BF78" s="72">
        <f t="shared" si="81"/>
        <v>0</v>
      </c>
      <c r="BG78" s="200">
        <f t="shared" ca="1" si="82"/>
        <v>0</v>
      </c>
      <c r="BH78" s="69"/>
      <c r="BI78" s="198">
        <f t="shared" si="18"/>
        <v>0</v>
      </c>
      <c r="BJ78" s="71">
        <f t="shared" si="19"/>
        <v>0</v>
      </c>
      <c r="BK78" s="72">
        <f t="shared" si="83"/>
        <v>0</v>
      </c>
      <c r="BL78" s="72">
        <f t="shared" ca="1" si="84"/>
        <v>0</v>
      </c>
      <c r="BM78" s="200">
        <f t="shared" ca="1" si="67"/>
        <v>0</v>
      </c>
      <c r="BN78" s="69"/>
      <c r="BO78" s="198">
        <f t="shared" si="68"/>
        <v>0</v>
      </c>
      <c r="BP78" s="72">
        <f t="shared" ca="1" si="69"/>
        <v>0</v>
      </c>
      <c r="BQ78" s="78">
        <f t="shared" si="85"/>
        <v>0</v>
      </c>
      <c r="BR78" s="78">
        <f t="shared" si="86"/>
        <v>0</v>
      </c>
      <c r="BS78" s="80">
        <f t="shared" ca="1" si="70"/>
        <v>0</v>
      </c>
      <c r="BT78" s="80">
        <f t="shared" ca="1" si="71"/>
        <v>0</v>
      </c>
      <c r="BU78" s="259" t="str">
        <f t="shared" ca="1" si="87"/>
        <v/>
      </c>
      <c r="BV78" s="206" t="str">
        <f t="shared" ca="1" si="88"/>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row>
    <row r="79" spans="1:116" ht="12.75" hidden="1" customHeight="1">
      <c r="A79" s="5"/>
      <c r="B79" s="327" t="str">
        <f t="shared" si="28"/>
        <v>-</v>
      </c>
      <c r="C79" s="398">
        <v>43</v>
      </c>
      <c r="D79" s="931"/>
      <c r="E79" s="932"/>
      <c r="F79" s="476"/>
      <c r="G79" s="483"/>
      <c r="H79" s="466"/>
      <c r="I79" s="467"/>
      <c r="J79" s="489"/>
      <c r="K79" s="490"/>
      <c r="L79" s="491"/>
      <c r="M79" s="492"/>
      <c r="N79" s="373" t="str">
        <f t="shared" ca="1" si="54"/>
        <v/>
      </c>
      <c r="O79" s="374" t="str">
        <f t="shared" ca="1" si="55"/>
        <v/>
      </c>
      <c r="P79" s="375">
        <f t="shared" ca="1" si="56"/>
        <v>0</v>
      </c>
      <c r="Q79" s="384" t="str">
        <f t="shared" ca="1" si="72"/>
        <v/>
      </c>
      <c r="R79" s="385" t="str">
        <f t="shared" ca="1" si="57"/>
        <v/>
      </c>
      <c r="S79" s="386">
        <f t="shared" ca="1" si="73"/>
        <v>0</v>
      </c>
      <c r="T79" s="387" t="str">
        <f t="shared" ca="1" si="58"/>
        <v/>
      </c>
      <c r="U79" s="5"/>
      <c r="V79" s="6"/>
      <c r="W79" s="4"/>
      <c r="X79" s="4">
        <v>43</v>
      </c>
      <c r="Y79" s="104" t="str">
        <f t="shared" si="74"/>
        <v>-</v>
      </c>
      <c r="Z79" s="104">
        <f t="shared" si="75"/>
        <v>0</v>
      </c>
      <c r="AA79" s="4"/>
      <c r="AB79" s="53">
        <f t="shared" si="76"/>
        <v>0</v>
      </c>
      <c r="AC79" s="54">
        <f>IF(SUM(AB79:AB$116)=0,0,F79&gt;0)</f>
        <v>0</v>
      </c>
      <c r="AD79" s="53">
        <f t="shared" si="77"/>
        <v>0</v>
      </c>
      <c r="AE79" s="54">
        <f>IF(SUM(AB79:AB$116)=0,0,AND(AC79=FALSE,AD79=0,SUM(AD79:AD$116)&gt;0))</f>
        <v>0</v>
      </c>
      <c r="AF79" s="54">
        <f t="shared" si="30"/>
        <v>0</v>
      </c>
      <c r="AG79" s="54">
        <f t="shared" si="31"/>
        <v>0</v>
      </c>
      <c r="AH79" s="56">
        <f t="shared" si="32"/>
        <v>0</v>
      </c>
      <c r="AI79" s="56">
        <f t="shared" si="33"/>
        <v>0</v>
      </c>
      <c r="AJ79" s="54">
        <f t="shared" si="34"/>
        <v>0</v>
      </c>
      <c r="AK79" s="54" t="str">
        <f t="shared" si="35"/>
        <v/>
      </c>
      <c r="AL79" s="54">
        <f t="shared" si="36"/>
        <v>0</v>
      </c>
      <c r="AM79" s="54">
        <f t="shared" si="37"/>
        <v>0</v>
      </c>
      <c r="AN79" s="54">
        <f t="shared" si="38"/>
        <v>0</v>
      </c>
      <c r="AO79" s="54">
        <f t="shared" si="39"/>
        <v>0</v>
      </c>
      <c r="AP79" s="54">
        <f t="shared" si="40"/>
        <v>0</v>
      </c>
      <c r="AQ79" s="54">
        <f t="shared" si="41"/>
        <v>0</v>
      </c>
      <c r="AR79" s="53">
        <f t="shared" si="42"/>
        <v>0</v>
      </c>
      <c r="AS79" s="409" t="str">
        <f t="shared" si="43"/>
        <v/>
      </c>
      <c r="AT79" s="54">
        <f t="shared" si="59"/>
        <v>0</v>
      </c>
      <c r="AU79" s="54">
        <f t="shared" si="60"/>
        <v>0</v>
      </c>
      <c r="AV79" s="54">
        <f t="shared" si="61"/>
        <v>0</v>
      </c>
      <c r="AW79" s="55" t="b">
        <f t="shared" ca="1" si="62"/>
        <v>0</v>
      </c>
      <c r="AX79" s="69"/>
      <c r="AY79" s="203">
        <f t="shared" ca="1" si="63"/>
        <v>0</v>
      </c>
      <c r="AZ79" s="72">
        <f t="shared" ca="1" si="64"/>
        <v>0</v>
      </c>
      <c r="BA79" s="72">
        <f t="shared" ca="1" si="78"/>
        <v>0</v>
      </c>
      <c r="BB79" s="75">
        <f t="shared" ca="1" si="65"/>
        <v>0</v>
      </c>
      <c r="BC79" s="209">
        <f t="shared" si="66"/>
        <v>0</v>
      </c>
      <c r="BD79" s="72">
        <f t="shared" si="79"/>
        <v>0</v>
      </c>
      <c r="BE79" s="72">
        <f t="shared" si="80"/>
        <v>0</v>
      </c>
      <c r="BF79" s="72">
        <f t="shared" si="81"/>
        <v>0</v>
      </c>
      <c r="BG79" s="200">
        <f t="shared" ca="1" si="82"/>
        <v>0</v>
      </c>
      <c r="BH79" s="69"/>
      <c r="BI79" s="198">
        <f t="shared" si="18"/>
        <v>0</v>
      </c>
      <c r="BJ79" s="71">
        <f t="shared" si="19"/>
        <v>0</v>
      </c>
      <c r="BK79" s="72">
        <f t="shared" si="83"/>
        <v>0</v>
      </c>
      <c r="BL79" s="72">
        <f t="shared" ca="1" si="84"/>
        <v>0</v>
      </c>
      <c r="BM79" s="200">
        <f t="shared" ca="1" si="67"/>
        <v>0</v>
      </c>
      <c r="BN79" s="69"/>
      <c r="BO79" s="198">
        <f t="shared" si="68"/>
        <v>0</v>
      </c>
      <c r="BP79" s="72">
        <f t="shared" ca="1" si="69"/>
        <v>0</v>
      </c>
      <c r="BQ79" s="78">
        <f t="shared" si="85"/>
        <v>0</v>
      </c>
      <c r="BR79" s="78">
        <f t="shared" si="86"/>
        <v>0</v>
      </c>
      <c r="BS79" s="80">
        <f t="shared" ca="1" si="70"/>
        <v>0</v>
      </c>
      <c r="BT79" s="80">
        <f t="shared" ca="1" si="71"/>
        <v>0</v>
      </c>
      <c r="BU79" s="259" t="str">
        <f t="shared" ca="1" si="87"/>
        <v/>
      </c>
      <c r="BV79" s="206" t="str">
        <f t="shared" ca="1" si="88"/>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row>
    <row r="80" spans="1:116" ht="12.75" hidden="1" customHeight="1">
      <c r="A80" s="5"/>
      <c r="B80" s="327" t="str">
        <f t="shared" si="28"/>
        <v>-</v>
      </c>
      <c r="C80" s="398">
        <v>44</v>
      </c>
      <c r="D80" s="931"/>
      <c r="E80" s="932"/>
      <c r="F80" s="476"/>
      <c r="G80" s="483"/>
      <c r="H80" s="466"/>
      <c r="I80" s="467"/>
      <c r="J80" s="489"/>
      <c r="K80" s="490"/>
      <c r="L80" s="491"/>
      <c r="M80" s="492"/>
      <c r="N80" s="373" t="str">
        <f t="shared" ca="1" si="54"/>
        <v/>
      </c>
      <c r="O80" s="374" t="str">
        <f t="shared" ca="1" si="55"/>
        <v/>
      </c>
      <c r="P80" s="375">
        <f t="shared" ca="1" si="56"/>
        <v>0</v>
      </c>
      <c r="Q80" s="384" t="str">
        <f t="shared" ca="1" si="72"/>
        <v/>
      </c>
      <c r="R80" s="385" t="str">
        <f t="shared" ca="1" si="57"/>
        <v/>
      </c>
      <c r="S80" s="386">
        <f t="shared" ca="1" si="73"/>
        <v>0</v>
      </c>
      <c r="T80" s="387" t="str">
        <f t="shared" ca="1" si="58"/>
        <v/>
      </c>
      <c r="U80" s="5"/>
      <c r="V80" s="6"/>
      <c r="W80" s="4"/>
      <c r="X80" s="4">
        <v>44</v>
      </c>
      <c r="Y80" s="104" t="str">
        <f t="shared" si="74"/>
        <v>-</v>
      </c>
      <c r="Z80" s="104">
        <f t="shared" si="75"/>
        <v>0</v>
      </c>
      <c r="AA80" s="4"/>
      <c r="AB80" s="53">
        <f t="shared" si="76"/>
        <v>0</v>
      </c>
      <c r="AC80" s="54">
        <f>IF(SUM(AB80:AB$116)=0,0,F80&gt;0)</f>
        <v>0</v>
      </c>
      <c r="AD80" s="53">
        <f t="shared" si="77"/>
        <v>0</v>
      </c>
      <c r="AE80" s="54">
        <f>IF(SUM(AB80:AB$116)=0,0,AND(AC80=FALSE,AD80=0,SUM(AD80:AD$116)&gt;0))</f>
        <v>0</v>
      </c>
      <c r="AF80" s="54">
        <f t="shared" si="30"/>
        <v>0</v>
      </c>
      <c r="AG80" s="54">
        <f t="shared" si="31"/>
        <v>0</v>
      </c>
      <c r="AH80" s="56">
        <f t="shared" si="32"/>
        <v>0</v>
      </c>
      <c r="AI80" s="56">
        <f t="shared" si="33"/>
        <v>0</v>
      </c>
      <c r="AJ80" s="54">
        <f t="shared" si="34"/>
        <v>0</v>
      </c>
      <c r="AK80" s="54" t="str">
        <f t="shared" si="35"/>
        <v/>
      </c>
      <c r="AL80" s="54">
        <f t="shared" si="36"/>
        <v>0</v>
      </c>
      <c r="AM80" s="54">
        <f t="shared" si="37"/>
        <v>0</v>
      </c>
      <c r="AN80" s="54">
        <f t="shared" si="38"/>
        <v>0</v>
      </c>
      <c r="AO80" s="54">
        <f t="shared" si="39"/>
        <v>0</v>
      </c>
      <c r="AP80" s="54">
        <f t="shared" si="40"/>
        <v>0</v>
      </c>
      <c r="AQ80" s="54">
        <f t="shared" si="41"/>
        <v>0</v>
      </c>
      <c r="AR80" s="53">
        <f t="shared" si="42"/>
        <v>0</v>
      </c>
      <c r="AS80" s="409" t="str">
        <f t="shared" si="43"/>
        <v/>
      </c>
      <c r="AT80" s="54">
        <f t="shared" si="59"/>
        <v>0</v>
      </c>
      <c r="AU80" s="54">
        <f t="shared" si="60"/>
        <v>0</v>
      </c>
      <c r="AV80" s="54">
        <f t="shared" si="61"/>
        <v>0</v>
      </c>
      <c r="AW80" s="55" t="b">
        <f t="shared" ca="1" si="62"/>
        <v>0</v>
      </c>
      <c r="AX80" s="69"/>
      <c r="AY80" s="203">
        <f t="shared" ca="1" si="63"/>
        <v>0</v>
      </c>
      <c r="AZ80" s="72">
        <f t="shared" ca="1" si="64"/>
        <v>0</v>
      </c>
      <c r="BA80" s="72">
        <f t="shared" ca="1" si="78"/>
        <v>0</v>
      </c>
      <c r="BB80" s="75">
        <f t="shared" ca="1" si="65"/>
        <v>0</v>
      </c>
      <c r="BC80" s="209">
        <f t="shared" si="66"/>
        <v>0</v>
      </c>
      <c r="BD80" s="72">
        <f t="shared" si="79"/>
        <v>0</v>
      </c>
      <c r="BE80" s="72">
        <f t="shared" si="80"/>
        <v>0</v>
      </c>
      <c r="BF80" s="72">
        <f t="shared" si="81"/>
        <v>0</v>
      </c>
      <c r="BG80" s="200">
        <f t="shared" ca="1" si="82"/>
        <v>0</v>
      </c>
      <c r="BH80" s="69"/>
      <c r="BI80" s="198">
        <f t="shared" si="18"/>
        <v>0</v>
      </c>
      <c r="BJ80" s="71">
        <f t="shared" si="19"/>
        <v>0</v>
      </c>
      <c r="BK80" s="72">
        <f t="shared" si="83"/>
        <v>0</v>
      </c>
      <c r="BL80" s="72">
        <f t="shared" ca="1" si="84"/>
        <v>0</v>
      </c>
      <c r="BM80" s="200">
        <f t="shared" ca="1" si="67"/>
        <v>0</v>
      </c>
      <c r="BN80" s="69"/>
      <c r="BO80" s="198">
        <f t="shared" si="68"/>
        <v>0</v>
      </c>
      <c r="BP80" s="72">
        <f t="shared" ca="1" si="69"/>
        <v>0</v>
      </c>
      <c r="BQ80" s="78">
        <f t="shared" si="85"/>
        <v>0</v>
      </c>
      <c r="BR80" s="78">
        <f t="shared" si="86"/>
        <v>0</v>
      </c>
      <c r="BS80" s="80">
        <f t="shared" ca="1" si="70"/>
        <v>0</v>
      </c>
      <c r="BT80" s="80">
        <f t="shared" ca="1" si="71"/>
        <v>0</v>
      </c>
      <c r="BU80" s="259" t="str">
        <f t="shared" ca="1" si="87"/>
        <v/>
      </c>
      <c r="BV80" s="206" t="str">
        <f t="shared" ca="1" si="88"/>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row>
    <row r="81" spans="1:116" ht="12.75" hidden="1" customHeight="1">
      <c r="A81" s="5"/>
      <c r="B81" s="327" t="str">
        <f t="shared" si="28"/>
        <v>-</v>
      </c>
      <c r="C81" s="398">
        <v>45</v>
      </c>
      <c r="D81" s="931"/>
      <c r="E81" s="932"/>
      <c r="F81" s="476"/>
      <c r="G81" s="483"/>
      <c r="H81" s="466"/>
      <c r="I81" s="467"/>
      <c r="J81" s="489"/>
      <c r="K81" s="490"/>
      <c r="L81" s="491"/>
      <c r="M81" s="492"/>
      <c r="N81" s="373" t="str">
        <f t="shared" ca="1" si="54"/>
        <v/>
      </c>
      <c r="O81" s="374" t="str">
        <f t="shared" ca="1" si="55"/>
        <v/>
      </c>
      <c r="P81" s="375">
        <f t="shared" ca="1" si="56"/>
        <v>0</v>
      </c>
      <c r="Q81" s="384" t="str">
        <f t="shared" ca="1" si="72"/>
        <v/>
      </c>
      <c r="R81" s="385" t="str">
        <f t="shared" ca="1" si="57"/>
        <v/>
      </c>
      <c r="S81" s="386">
        <f t="shared" ca="1" si="73"/>
        <v>0</v>
      </c>
      <c r="T81" s="387" t="str">
        <f t="shared" ca="1" si="58"/>
        <v/>
      </c>
      <c r="U81" s="5"/>
      <c r="V81" s="6"/>
      <c r="W81" s="4"/>
      <c r="X81" s="4">
        <v>45</v>
      </c>
      <c r="Y81" s="104" t="str">
        <f t="shared" si="74"/>
        <v>-</v>
      </c>
      <c r="Z81" s="104">
        <f t="shared" si="75"/>
        <v>0</v>
      </c>
      <c r="AA81" s="4"/>
      <c r="AB81" s="53">
        <f t="shared" si="76"/>
        <v>0</v>
      </c>
      <c r="AC81" s="54">
        <f>IF(SUM(AB81:AB$116)=0,0,F81&gt;0)</f>
        <v>0</v>
      </c>
      <c r="AD81" s="53">
        <f t="shared" si="77"/>
        <v>0</v>
      </c>
      <c r="AE81" s="54">
        <f>IF(SUM(AB81:AB$116)=0,0,AND(AC81=FALSE,AD81=0,SUM(AD81:AD$116)&gt;0))</f>
        <v>0</v>
      </c>
      <c r="AF81" s="54">
        <f t="shared" si="30"/>
        <v>0</v>
      </c>
      <c r="AG81" s="54">
        <f t="shared" si="31"/>
        <v>0</v>
      </c>
      <c r="AH81" s="56">
        <f t="shared" si="32"/>
        <v>0</v>
      </c>
      <c r="AI81" s="56">
        <f t="shared" si="33"/>
        <v>0</v>
      </c>
      <c r="AJ81" s="54">
        <f t="shared" si="34"/>
        <v>0</v>
      </c>
      <c r="AK81" s="54" t="str">
        <f t="shared" si="35"/>
        <v/>
      </c>
      <c r="AL81" s="54">
        <f t="shared" si="36"/>
        <v>0</v>
      </c>
      <c r="AM81" s="54">
        <f t="shared" si="37"/>
        <v>0</v>
      </c>
      <c r="AN81" s="54">
        <f t="shared" si="38"/>
        <v>0</v>
      </c>
      <c r="AO81" s="54">
        <f t="shared" si="39"/>
        <v>0</v>
      </c>
      <c r="AP81" s="54">
        <f t="shared" si="40"/>
        <v>0</v>
      </c>
      <c r="AQ81" s="54">
        <f t="shared" si="41"/>
        <v>0</v>
      </c>
      <c r="AR81" s="53">
        <f t="shared" si="42"/>
        <v>0</v>
      </c>
      <c r="AS81" s="409" t="str">
        <f t="shared" si="43"/>
        <v/>
      </c>
      <c r="AT81" s="54">
        <f t="shared" si="59"/>
        <v>0</v>
      </c>
      <c r="AU81" s="54">
        <f t="shared" si="60"/>
        <v>0</v>
      </c>
      <c r="AV81" s="54">
        <f t="shared" si="61"/>
        <v>0</v>
      </c>
      <c r="AW81" s="55" t="b">
        <f t="shared" ca="1" si="62"/>
        <v>0</v>
      </c>
      <c r="AX81" s="69"/>
      <c r="AY81" s="203">
        <f t="shared" ca="1" si="63"/>
        <v>0</v>
      </c>
      <c r="AZ81" s="72">
        <f t="shared" ca="1" si="64"/>
        <v>0</v>
      </c>
      <c r="BA81" s="72">
        <f t="shared" ca="1" si="78"/>
        <v>0</v>
      </c>
      <c r="BB81" s="75">
        <f t="shared" ca="1" si="65"/>
        <v>0</v>
      </c>
      <c r="BC81" s="209">
        <f t="shared" si="66"/>
        <v>0</v>
      </c>
      <c r="BD81" s="72">
        <f t="shared" si="79"/>
        <v>0</v>
      </c>
      <c r="BE81" s="72">
        <f t="shared" si="80"/>
        <v>0</v>
      </c>
      <c r="BF81" s="72">
        <f t="shared" si="81"/>
        <v>0</v>
      </c>
      <c r="BG81" s="200">
        <f t="shared" ca="1" si="82"/>
        <v>0</v>
      </c>
      <c r="BH81" s="69"/>
      <c r="BI81" s="198">
        <f t="shared" si="18"/>
        <v>0</v>
      </c>
      <c r="BJ81" s="71">
        <f t="shared" si="19"/>
        <v>0</v>
      </c>
      <c r="BK81" s="72">
        <f t="shared" si="83"/>
        <v>0</v>
      </c>
      <c r="BL81" s="72">
        <f t="shared" ca="1" si="84"/>
        <v>0</v>
      </c>
      <c r="BM81" s="200">
        <f t="shared" ca="1" si="67"/>
        <v>0</v>
      </c>
      <c r="BN81" s="69"/>
      <c r="BO81" s="198">
        <f t="shared" si="68"/>
        <v>0</v>
      </c>
      <c r="BP81" s="72">
        <f t="shared" ca="1" si="69"/>
        <v>0</v>
      </c>
      <c r="BQ81" s="78">
        <f t="shared" si="85"/>
        <v>0</v>
      </c>
      <c r="BR81" s="78">
        <f t="shared" si="86"/>
        <v>0</v>
      </c>
      <c r="BS81" s="80">
        <f t="shared" ca="1" si="70"/>
        <v>0</v>
      </c>
      <c r="BT81" s="80">
        <f t="shared" ca="1" si="71"/>
        <v>0</v>
      </c>
      <c r="BU81" s="259" t="str">
        <f t="shared" ca="1" si="87"/>
        <v/>
      </c>
      <c r="BV81" s="206" t="str">
        <f t="shared" ca="1" si="88"/>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row>
    <row r="82" spans="1:116" ht="12.75" hidden="1" customHeight="1">
      <c r="A82" s="5"/>
      <c r="B82" s="327" t="str">
        <f t="shared" si="28"/>
        <v>-</v>
      </c>
      <c r="C82" s="398">
        <v>46</v>
      </c>
      <c r="D82" s="931"/>
      <c r="E82" s="932"/>
      <c r="F82" s="476"/>
      <c r="G82" s="483"/>
      <c r="H82" s="466"/>
      <c r="I82" s="467"/>
      <c r="J82" s="489"/>
      <c r="K82" s="490"/>
      <c r="L82" s="491"/>
      <c r="M82" s="492"/>
      <c r="N82" s="373" t="str">
        <f t="shared" ca="1" si="54"/>
        <v/>
      </c>
      <c r="O82" s="374" t="str">
        <f t="shared" ca="1" si="55"/>
        <v/>
      </c>
      <c r="P82" s="375">
        <f t="shared" ca="1" si="56"/>
        <v>0</v>
      </c>
      <c r="Q82" s="384" t="str">
        <f t="shared" ca="1" si="72"/>
        <v/>
      </c>
      <c r="R82" s="385" t="str">
        <f t="shared" ca="1" si="57"/>
        <v/>
      </c>
      <c r="S82" s="386">
        <f t="shared" ca="1" si="73"/>
        <v>0</v>
      </c>
      <c r="T82" s="387" t="str">
        <f t="shared" ca="1" si="58"/>
        <v/>
      </c>
      <c r="U82" s="5"/>
      <c r="V82" s="6"/>
      <c r="W82" s="4"/>
      <c r="X82" s="4">
        <v>46</v>
      </c>
      <c r="Y82" s="104" t="str">
        <f t="shared" si="74"/>
        <v>-</v>
      </c>
      <c r="Z82" s="104">
        <f t="shared" si="75"/>
        <v>0</v>
      </c>
      <c r="AA82" s="4"/>
      <c r="AB82" s="53">
        <f t="shared" si="76"/>
        <v>0</v>
      </c>
      <c r="AC82" s="54">
        <f>IF(SUM(AB82:AB$116)=0,0,F82&gt;0)</f>
        <v>0</v>
      </c>
      <c r="AD82" s="53">
        <f t="shared" si="77"/>
        <v>0</v>
      </c>
      <c r="AE82" s="54">
        <f>IF(SUM(AB82:AB$116)=0,0,AND(AC82=FALSE,AD82=0,SUM(AD82:AD$116)&gt;0))</f>
        <v>0</v>
      </c>
      <c r="AF82" s="54">
        <f t="shared" si="30"/>
        <v>0</v>
      </c>
      <c r="AG82" s="54">
        <f t="shared" si="31"/>
        <v>0</v>
      </c>
      <c r="AH82" s="56">
        <f t="shared" si="32"/>
        <v>0</v>
      </c>
      <c r="AI82" s="56">
        <f t="shared" si="33"/>
        <v>0</v>
      </c>
      <c r="AJ82" s="54">
        <f t="shared" si="34"/>
        <v>0</v>
      </c>
      <c r="AK82" s="54" t="str">
        <f t="shared" si="35"/>
        <v/>
      </c>
      <c r="AL82" s="54">
        <f t="shared" si="36"/>
        <v>0</v>
      </c>
      <c r="AM82" s="54">
        <f t="shared" si="37"/>
        <v>0</v>
      </c>
      <c r="AN82" s="54">
        <f t="shared" si="38"/>
        <v>0</v>
      </c>
      <c r="AO82" s="54">
        <f t="shared" si="39"/>
        <v>0</v>
      </c>
      <c r="AP82" s="54">
        <f t="shared" si="40"/>
        <v>0</v>
      </c>
      <c r="AQ82" s="54">
        <f t="shared" si="41"/>
        <v>0</v>
      </c>
      <c r="AR82" s="53">
        <f t="shared" si="42"/>
        <v>0</v>
      </c>
      <c r="AS82" s="409" t="str">
        <f t="shared" si="43"/>
        <v/>
      </c>
      <c r="AT82" s="54">
        <f t="shared" si="59"/>
        <v>0</v>
      </c>
      <c r="AU82" s="54">
        <f t="shared" si="60"/>
        <v>0</v>
      </c>
      <c r="AV82" s="54">
        <f t="shared" si="61"/>
        <v>0</v>
      </c>
      <c r="AW82" s="55" t="b">
        <f t="shared" ca="1" si="62"/>
        <v>0</v>
      </c>
      <c r="AX82" s="69"/>
      <c r="AY82" s="203">
        <f t="shared" ca="1" si="63"/>
        <v>0</v>
      </c>
      <c r="AZ82" s="72">
        <f t="shared" ca="1" si="64"/>
        <v>0</v>
      </c>
      <c r="BA82" s="72">
        <f t="shared" ca="1" si="78"/>
        <v>0</v>
      </c>
      <c r="BB82" s="75">
        <f t="shared" ca="1" si="65"/>
        <v>0</v>
      </c>
      <c r="BC82" s="209">
        <f t="shared" si="66"/>
        <v>0</v>
      </c>
      <c r="BD82" s="72">
        <f t="shared" si="79"/>
        <v>0</v>
      </c>
      <c r="BE82" s="72">
        <f t="shared" si="80"/>
        <v>0</v>
      </c>
      <c r="BF82" s="72">
        <f t="shared" si="81"/>
        <v>0</v>
      </c>
      <c r="BG82" s="200">
        <f t="shared" ca="1" si="82"/>
        <v>0</v>
      </c>
      <c r="BH82" s="69"/>
      <c r="BI82" s="198">
        <f t="shared" si="18"/>
        <v>0</v>
      </c>
      <c r="BJ82" s="71">
        <f t="shared" si="19"/>
        <v>0</v>
      </c>
      <c r="BK82" s="72">
        <f t="shared" si="83"/>
        <v>0</v>
      </c>
      <c r="BL82" s="72">
        <f t="shared" ca="1" si="84"/>
        <v>0</v>
      </c>
      <c r="BM82" s="200">
        <f t="shared" ca="1" si="67"/>
        <v>0</v>
      </c>
      <c r="BN82" s="69"/>
      <c r="BO82" s="198">
        <f t="shared" si="68"/>
        <v>0</v>
      </c>
      <c r="BP82" s="72">
        <f t="shared" ca="1" si="69"/>
        <v>0</v>
      </c>
      <c r="BQ82" s="78">
        <f t="shared" si="85"/>
        <v>0</v>
      </c>
      <c r="BR82" s="78">
        <f t="shared" si="86"/>
        <v>0</v>
      </c>
      <c r="BS82" s="80">
        <f t="shared" ca="1" si="70"/>
        <v>0</v>
      </c>
      <c r="BT82" s="80">
        <f t="shared" ca="1" si="71"/>
        <v>0</v>
      </c>
      <c r="BU82" s="259" t="str">
        <f t="shared" ca="1" si="87"/>
        <v/>
      </c>
      <c r="BV82" s="206" t="str">
        <f t="shared" ca="1" si="88"/>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row>
    <row r="83" spans="1:116" ht="12.75" hidden="1" customHeight="1">
      <c r="A83" s="5"/>
      <c r="B83" s="327" t="str">
        <f t="shared" si="28"/>
        <v>-</v>
      </c>
      <c r="C83" s="398">
        <v>47</v>
      </c>
      <c r="D83" s="931"/>
      <c r="E83" s="932"/>
      <c r="F83" s="476"/>
      <c r="G83" s="483"/>
      <c r="H83" s="466"/>
      <c r="I83" s="467"/>
      <c r="J83" s="489"/>
      <c r="K83" s="490"/>
      <c r="L83" s="491"/>
      <c r="M83" s="492"/>
      <c r="N83" s="373" t="str">
        <f t="shared" ca="1" si="54"/>
        <v/>
      </c>
      <c r="O83" s="374" t="str">
        <f t="shared" ca="1" si="55"/>
        <v/>
      </c>
      <c r="P83" s="375">
        <f t="shared" ca="1" si="56"/>
        <v>0</v>
      </c>
      <c r="Q83" s="384" t="str">
        <f t="shared" ca="1" si="72"/>
        <v/>
      </c>
      <c r="R83" s="385" t="str">
        <f t="shared" ca="1" si="57"/>
        <v/>
      </c>
      <c r="S83" s="386">
        <f t="shared" ca="1" si="73"/>
        <v>0</v>
      </c>
      <c r="T83" s="387" t="str">
        <f t="shared" ca="1" si="58"/>
        <v/>
      </c>
      <c r="U83" s="5"/>
      <c r="V83" s="6"/>
      <c r="W83" s="4"/>
      <c r="X83" s="4">
        <v>47</v>
      </c>
      <c r="Y83" s="104" t="str">
        <f t="shared" si="74"/>
        <v>-</v>
      </c>
      <c r="Z83" s="104">
        <f t="shared" si="75"/>
        <v>0</v>
      </c>
      <c r="AA83" s="4"/>
      <c r="AB83" s="53">
        <f t="shared" si="76"/>
        <v>0</v>
      </c>
      <c r="AC83" s="54">
        <f>IF(SUM(AB83:AB$116)=0,0,F83&gt;0)</f>
        <v>0</v>
      </c>
      <c r="AD83" s="53">
        <f t="shared" si="77"/>
        <v>0</v>
      </c>
      <c r="AE83" s="54">
        <f>IF(SUM(AB83:AB$116)=0,0,AND(AC83=FALSE,AD83=0,SUM(AD83:AD$116)&gt;0))</f>
        <v>0</v>
      </c>
      <c r="AF83" s="54">
        <f t="shared" si="30"/>
        <v>0</v>
      </c>
      <c r="AG83" s="54">
        <f t="shared" si="31"/>
        <v>0</v>
      </c>
      <c r="AH83" s="56">
        <f t="shared" si="32"/>
        <v>0</v>
      </c>
      <c r="AI83" s="56">
        <f t="shared" si="33"/>
        <v>0</v>
      </c>
      <c r="AJ83" s="54">
        <f t="shared" si="34"/>
        <v>0</v>
      </c>
      <c r="AK83" s="54" t="str">
        <f t="shared" si="35"/>
        <v/>
      </c>
      <c r="AL83" s="54">
        <f t="shared" si="36"/>
        <v>0</v>
      </c>
      <c r="AM83" s="54">
        <f t="shared" si="37"/>
        <v>0</v>
      </c>
      <c r="AN83" s="54">
        <f t="shared" si="38"/>
        <v>0</v>
      </c>
      <c r="AO83" s="54">
        <f t="shared" si="39"/>
        <v>0</v>
      </c>
      <c r="AP83" s="54">
        <f t="shared" si="40"/>
        <v>0</v>
      </c>
      <c r="AQ83" s="54">
        <f t="shared" si="41"/>
        <v>0</v>
      </c>
      <c r="AR83" s="53">
        <f t="shared" si="42"/>
        <v>0</v>
      </c>
      <c r="AS83" s="409" t="str">
        <f t="shared" si="43"/>
        <v/>
      </c>
      <c r="AT83" s="54">
        <f t="shared" si="59"/>
        <v>0</v>
      </c>
      <c r="AU83" s="54">
        <f t="shared" si="60"/>
        <v>0</v>
      </c>
      <c r="AV83" s="54">
        <f t="shared" si="61"/>
        <v>0</v>
      </c>
      <c r="AW83" s="55" t="b">
        <f t="shared" ca="1" si="62"/>
        <v>0</v>
      </c>
      <c r="AX83" s="69"/>
      <c r="AY83" s="203">
        <f t="shared" ca="1" si="63"/>
        <v>0</v>
      </c>
      <c r="AZ83" s="72">
        <f t="shared" ca="1" si="64"/>
        <v>0</v>
      </c>
      <c r="BA83" s="72">
        <f t="shared" ca="1" si="78"/>
        <v>0</v>
      </c>
      <c r="BB83" s="75">
        <f t="shared" ca="1" si="65"/>
        <v>0</v>
      </c>
      <c r="BC83" s="209">
        <f t="shared" si="66"/>
        <v>0</v>
      </c>
      <c r="BD83" s="72">
        <f t="shared" si="79"/>
        <v>0</v>
      </c>
      <c r="BE83" s="72">
        <f t="shared" si="80"/>
        <v>0</v>
      </c>
      <c r="BF83" s="72">
        <f t="shared" si="81"/>
        <v>0</v>
      </c>
      <c r="BG83" s="200">
        <f t="shared" ca="1" si="82"/>
        <v>0</v>
      </c>
      <c r="BH83" s="69"/>
      <c r="BI83" s="198">
        <f t="shared" si="18"/>
        <v>0</v>
      </c>
      <c r="BJ83" s="71">
        <f t="shared" si="19"/>
        <v>0</v>
      </c>
      <c r="BK83" s="72">
        <f t="shared" si="83"/>
        <v>0</v>
      </c>
      <c r="BL83" s="72">
        <f t="shared" ca="1" si="84"/>
        <v>0</v>
      </c>
      <c r="BM83" s="200">
        <f t="shared" ca="1" si="67"/>
        <v>0</v>
      </c>
      <c r="BN83" s="69"/>
      <c r="BO83" s="198">
        <f t="shared" si="68"/>
        <v>0</v>
      </c>
      <c r="BP83" s="72">
        <f t="shared" ca="1" si="69"/>
        <v>0</v>
      </c>
      <c r="BQ83" s="78">
        <f t="shared" si="85"/>
        <v>0</v>
      </c>
      <c r="BR83" s="78">
        <f t="shared" si="86"/>
        <v>0</v>
      </c>
      <c r="BS83" s="80">
        <f t="shared" ca="1" si="70"/>
        <v>0</v>
      </c>
      <c r="BT83" s="80">
        <f t="shared" ca="1" si="71"/>
        <v>0</v>
      </c>
      <c r="BU83" s="259" t="str">
        <f t="shared" ca="1" si="87"/>
        <v/>
      </c>
      <c r="BV83" s="206" t="str">
        <f t="shared" ca="1" si="88"/>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row>
    <row r="84" spans="1:116" ht="12.75" hidden="1" customHeight="1">
      <c r="A84" s="5"/>
      <c r="B84" s="327" t="str">
        <f t="shared" si="28"/>
        <v>-</v>
      </c>
      <c r="C84" s="398">
        <v>48</v>
      </c>
      <c r="D84" s="931"/>
      <c r="E84" s="932"/>
      <c r="F84" s="476"/>
      <c r="G84" s="483"/>
      <c r="H84" s="466"/>
      <c r="I84" s="467"/>
      <c r="J84" s="489"/>
      <c r="K84" s="490"/>
      <c r="L84" s="491"/>
      <c r="M84" s="492"/>
      <c r="N84" s="373" t="str">
        <f t="shared" ca="1" si="54"/>
        <v/>
      </c>
      <c r="O84" s="374" t="str">
        <f t="shared" ca="1" si="55"/>
        <v/>
      </c>
      <c r="P84" s="375">
        <f t="shared" ca="1" si="56"/>
        <v>0</v>
      </c>
      <c r="Q84" s="384" t="str">
        <f t="shared" ca="1" si="72"/>
        <v/>
      </c>
      <c r="R84" s="385" t="str">
        <f t="shared" ca="1" si="57"/>
        <v/>
      </c>
      <c r="S84" s="386">
        <f t="shared" ca="1" si="73"/>
        <v>0</v>
      </c>
      <c r="T84" s="387" t="str">
        <f t="shared" ca="1" si="58"/>
        <v/>
      </c>
      <c r="U84" s="5"/>
      <c r="V84" s="6"/>
      <c r="W84" s="4"/>
      <c r="X84" s="4">
        <v>48</v>
      </c>
      <c r="Y84" s="104" t="str">
        <f t="shared" si="74"/>
        <v>-</v>
      </c>
      <c r="Z84" s="104">
        <f t="shared" si="75"/>
        <v>0</v>
      </c>
      <c r="AA84" s="4"/>
      <c r="AB84" s="53">
        <f t="shared" si="76"/>
        <v>0</v>
      </c>
      <c r="AC84" s="54">
        <f>IF(SUM(AB84:AB$116)=0,0,F84&gt;0)</f>
        <v>0</v>
      </c>
      <c r="AD84" s="53">
        <f t="shared" si="77"/>
        <v>0</v>
      </c>
      <c r="AE84" s="54">
        <f>IF(SUM(AB84:AB$116)=0,0,AND(AC84=FALSE,AD84=0,SUM(AD84:AD$116)&gt;0))</f>
        <v>0</v>
      </c>
      <c r="AF84" s="54">
        <f t="shared" si="30"/>
        <v>0</v>
      </c>
      <c r="AG84" s="54">
        <f t="shared" si="31"/>
        <v>0</v>
      </c>
      <c r="AH84" s="56">
        <f t="shared" si="32"/>
        <v>0</v>
      </c>
      <c r="AI84" s="56">
        <f t="shared" si="33"/>
        <v>0</v>
      </c>
      <c r="AJ84" s="54">
        <f t="shared" si="34"/>
        <v>0</v>
      </c>
      <c r="AK84" s="54" t="str">
        <f t="shared" si="35"/>
        <v/>
      </c>
      <c r="AL84" s="54">
        <f t="shared" si="36"/>
        <v>0</v>
      </c>
      <c r="AM84" s="54">
        <f t="shared" si="37"/>
        <v>0</v>
      </c>
      <c r="AN84" s="54">
        <f t="shared" si="38"/>
        <v>0</v>
      </c>
      <c r="AO84" s="54">
        <f t="shared" si="39"/>
        <v>0</v>
      </c>
      <c r="AP84" s="54">
        <f t="shared" si="40"/>
        <v>0</v>
      </c>
      <c r="AQ84" s="54">
        <f t="shared" si="41"/>
        <v>0</v>
      </c>
      <c r="AR84" s="53">
        <f t="shared" si="42"/>
        <v>0</v>
      </c>
      <c r="AS84" s="409" t="str">
        <f t="shared" si="43"/>
        <v/>
      </c>
      <c r="AT84" s="54">
        <f t="shared" si="59"/>
        <v>0</v>
      </c>
      <c r="AU84" s="54">
        <f t="shared" si="60"/>
        <v>0</v>
      </c>
      <c r="AV84" s="54">
        <f t="shared" si="61"/>
        <v>0</v>
      </c>
      <c r="AW84" s="55" t="b">
        <f t="shared" ca="1" si="62"/>
        <v>0</v>
      </c>
      <c r="AX84" s="69"/>
      <c r="AY84" s="203">
        <f t="shared" ca="1" si="63"/>
        <v>0</v>
      </c>
      <c r="AZ84" s="72">
        <f t="shared" ca="1" si="64"/>
        <v>0</v>
      </c>
      <c r="BA84" s="72">
        <f t="shared" ca="1" si="78"/>
        <v>0</v>
      </c>
      <c r="BB84" s="75">
        <f t="shared" ca="1" si="65"/>
        <v>0</v>
      </c>
      <c r="BC84" s="209">
        <f t="shared" si="66"/>
        <v>0</v>
      </c>
      <c r="BD84" s="72">
        <f t="shared" si="79"/>
        <v>0</v>
      </c>
      <c r="BE84" s="72">
        <f t="shared" si="80"/>
        <v>0</v>
      </c>
      <c r="BF84" s="72">
        <f t="shared" si="81"/>
        <v>0</v>
      </c>
      <c r="BG84" s="200">
        <f t="shared" ca="1" si="82"/>
        <v>0</v>
      </c>
      <c r="BH84" s="69"/>
      <c r="BI84" s="198">
        <f t="shared" si="18"/>
        <v>0</v>
      </c>
      <c r="BJ84" s="71">
        <f t="shared" si="19"/>
        <v>0</v>
      </c>
      <c r="BK84" s="72">
        <f t="shared" si="83"/>
        <v>0</v>
      </c>
      <c r="BL84" s="72">
        <f t="shared" ca="1" si="84"/>
        <v>0</v>
      </c>
      <c r="BM84" s="200">
        <f t="shared" ca="1" si="67"/>
        <v>0</v>
      </c>
      <c r="BN84" s="69"/>
      <c r="BO84" s="198">
        <f t="shared" si="68"/>
        <v>0</v>
      </c>
      <c r="BP84" s="72">
        <f t="shared" ca="1" si="69"/>
        <v>0</v>
      </c>
      <c r="BQ84" s="78">
        <f t="shared" si="85"/>
        <v>0</v>
      </c>
      <c r="BR84" s="78">
        <f t="shared" si="86"/>
        <v>0</v>
      </c>
      <c r="BS84" s="80">
        <f t="shared" ca="1" si="70"/>
        <v>0</v>
      </c>
      <c r="BT84" s="80">
        <f t="shared" ca="1" si="71"/>
        <v>0</v>
      </c>
      <c r="BU84" s="259" t="str">
        <f t="shared" ca="1" si="87"/>
        <v/>
      </c>
      <c r="BV84" s="206" t="str">
        <f t="shared" ca="1" si="88"/>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row>
    <row r="85" spans="1:116" ht="12.75" hidden="1" customHeight="1">
      <c r="A85" s="5"/>
      <c r="B85" s="327" t="str">
        <f t="shared" si="28"/>
        <v>-</v>
      </c>
      <c r="C85" s="398">
        <v>49</v>
      </c>
      <c r="D85" s="931"/>
      <c r="E85" s="932"/>
      <c r="F85" s="476"/>
      <c r="G85" s="483"/>
      <c r="H85" s="466"/>
      <c r="I85" s="467"/>
      <c r="J85" s="489"/>
      <c r="K85" s="490"/>
      <c r="L85" s="491"/>
      <c r="M85" s="492"/>
      <c r="N85" s="373" t="str">
        <f t="shared" ca="1" si="54"/>
        <v/>
      </c>
      <c r="O85" s="374" t="str">
        <f t="shared" ca="1" si="55"/>
        <v/>
      </c>
      <c r="P85" s="375">
        <f t="shared" ca="1" si="56"/>
        <v>0</v>
      </c>
      <c r="Q85" s="384" t="str">
        <f t="shared" ca="1" si="72"/>
        <v/>
      </c>
      <c r="R85" s="385" t="str">
        <f t="shared" ca="1" si="57"/>
        <v/>
      </c>
      <c r="S85" s="386">
        <f t="shared" ca="1" si="73"/>
        <v>0</v>
      </c>
      <c r="T85" s="387" t="str">
        <f t="shared" ca="1" si="58"/>
        <v/>
      </c>
      <c r="U85" s="5"/>
      <c r="V85" s="6"/>
      <c r="W85" s="4"/>
      <c r="X85" s="4">
        <v>49</v>
      </c>
      <c r="Y85" s="104" t="str">
        <f t="shared" si="74"/>
        <v>-</v>
      </c>
      <c r="Z85" s="104">
        <f t="shared" si="75"/>
        <v>0</v>
      </c>
      <c r="AA85" s="4"/>
      <c r="AB85" s="53">
        <f t="shared" si="76"/>
        <v>0</v>
      </c>
      <c r="AC85" s="54">
        <f>IF(SUM(AB85:AB$116)=0,0,F85&gt;0)</f>
        <v>0</v>
      </c>
      <c r="AD85" s="53">
        <f t="shared" si="77"/>
        <v>0</v>
      </c>
      <c r="AE85" s="54">
        <f>IF(SUM(AB85:AB$116)=0,0,AND(AC85=FALSE,AD85=0,SUM(AD85:AD$116)&gt;0))</f>
        <v>0</v>
      </c>
      <c r="AF85" s="54">
        <f t="shared" si="30"/>
        <v>0</v>
      </c>
      <c r="AG85" s="54">
        <f t="shared" si="31"/>
        <v>0</v>
      </c>
      <c r="AH85" s="56">
        <f t="shared" si="32"/>
        <v>0</v>
      </c>
      <c r="AI85" s="56">
        <f t="shared" si="33"/>
        <v>0</v>
      </c>
      <c r="AJ85" s="54">
        <f t="shared" si="34"/>
        <v>0</v>
      </c>
      <c r="AK85" s="54" t="str">
        <f t="shared" si="35"/>
        <v/>
      </c>
      <c r="AL85" s="54">
        <f t="shared" si="36"/>
        <v>0</v>
      </c>
      <c r="AM85" s="54">
        <f t="shared" si="37"/>
        <v>0</v>
      </c>
      <c r="AN85" s="54">
        <f t="shared" si="38"/>
        <v>0</v>
      </c>
      <c r="AO85" s="54">
        <f t="shared" si="39"/>
        <v>0</v>
      </c>
      <c r="AP85" s="54">
        <f t="shared" si="40"/>
        <v>0</v>
      </c>
      <c r="AQ85" s="54">
        <f t="shared" si="41"/>
        <v>0</v>
      </c>
      <c r="AR85" s="53">
        <f t="shared" si="42"/>
        <v>0</v>
      </c>
      <c r="AS85" s="409" t="str">
        <f t="shared" si="43"/>
        <v/>
      </c>
      <c r="AT85" s="54">
        <f t="shared" si="59"/>
        <v>0</v>
      </c>
      <c r="AU85" s="54">
        <f t="shared" si="60"/>
        <v>0</v>
      </c>
      <c r="AV85" s="54">
        <f t="shared" si="61"/>
        <v>0</v>
      </c>
      <c r="AW85" s="55" t="b">
        <f t="shared" ca="1" si="62"/>
        <v>0</v>
      </c>
      <c r="AX85" s="69"/>
      <c r="AY85" s="203">
        <f t="shared" ca="1" si="63"/>
        <v>0</v>
      </c>
      <c r="AZ85" s="72">
        <f t="shared" ca="1" si="64"/>
        <v>0</v>
      </c>
      <c r="BA85" s="72">
        <f t="shared" ca="1" si="78"/>
        <v>0</v>
      </c>
      <c r="BB85" s="75">
        <f t="shared" ca="1" si="65"/>
        <v>0</v>
      </c>
      <c r="BC85" s="209">
        <f t="shared" si="66"/>
        <v>0</v>
      </c>
      <c r="BD85" s="72">
        <f t="shared" si="79"/>
        <v>0</v>
      </c>
      <c r="BE85" s="72">
        <f t="shared" si="80"/>
        <v>0</v>
      </c>
      <c r="BF85" s="72">
        <f t="shared" si="81"/>
        <v>0</v>
      </c>
      <c r="BG85" s="200">
        <f t="shared" ca="1" si="82"/>
        <v>0</v>
      </c>
      <c r="BH85" s="69"/>
      <c r="BI85" s="198">
        <f t="shared" si="18"/>
        <v>0</v>
      </c>
      <c r="BJ85" s="71">
        <f t="shared" si="19"/>
        <v>0</v>
      </c>
      <c r="BK85" s="72">
        <f t="shared" si="83"/>
        <v>0</v>
      </c>
      <c r="BL85" s="72">
        <f t="shared" ca="1" si="84"/>
        <v>0</v>
      </c>
      <c r="BM85" s="200">
        <f t="shared" ca="1" si="67"/>
        <v>0</v>
      </c>
      <c r="BN85" s="69"/>
      <c r="BO85" s="198">
        <f t="shared" si="68"/>
        <v>0</v>
      </c>
      <c r="BP85" s="72">
        <f t="shared" ca="1" si="69"/>
        <v>0</v>
      </c>
      <c r="BQ85" s="78">
        <f t="shared" si="85"/>
        <v>0</v>
      </c>
      <c r="BR85" s="78">
        <f t="shared" si="86"/>
        <v>0</v>
      </c>
      <c r="BS85" s="80">
        <f t="shared" ca="1" si="70"/>
        <v>0</v>
      </c>
      <c r="BT85" s="80">
        <f t="shared" ca="1" si="71"/>
        <v>0</v>
      </c>
      <c r="BU85" s="259" t="str">
        <f t="shared" ca="1" si="87"/>
        <v/>
      </c>
      <c r="BV85" s="206" t="str">
        <f t="shared" ca="1" si="88"/>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row>
    <row r="86" spans="1:116" ht="12.75" hidden="1" customHeight="1">
      <c r="A86" s="5"/>
      <c r="B86" s="327" t="str">
        <f t="shared" si="28"/>
        <v>-</v>
      </c>
      <c r="C86" s="398">
        <v>50</v>
      </c>
      <c r="D86" s="931"/>
      <c r="E86" s="932"/>
      <c r="F86" s="476"/>
      <c r="G86" s="483"/>
      <c r="H86" s="466"/>
      <c r="I86" s="467"/>
      <c r="J86" s="489"/>
      <c r="K86" s="490"/>
      <c r="L86" s="491"/>
      <c r="M86" s="492"/>
      <c r="N86" s="373" t="str">
        <f t="shared" ca="1" si="54"/>
        <v/>
      </c>
      <c r="O86" s="374" t="str">
        <f t="shared" ca="1" si="55"/>
        <v/>
      </c>
      <c r="P86" s="375">
        <f t="shared" ca="1" si="56"/>
        <v>0</v>
      </c>
      <c r="Q86" s="384" t="str">
        <f t="shared" ca="1" si="72"/>
        <v/>
      </c>
      <c r="R86" s="385" t="str">
        <f t="shared" ca="1" si="57"/>
        <v/>
      </c>
      <c r="S86" s="386">
        <f t="shared" ca="1" si="73"/>
        <v>0</v>
      </c>
      <c r="T86" s="387" t="str">
        <f t="shared" ca="1" si="58"/>
        <v/>
      </c>
      <c r="U86" s="5"/>
      <c r="V86" s="6"/>
      <c r="W86" s="4"/>
      <c r="X86" s="4">
        <v>50</v>
      </c>
      <c r="Y86" s="104" t="str">
        <f t="shared" si="74"/>
        <v>-</v>
      </c>
      <c r="Z86" s="104">
        <f t="shared" si="75"/>
        <v>0</v>
      </c>
      <c r="AA86" s="4"/>
      <c r="AB86" s="53">
        <f t="shared" si="76"/>
        <v>0</v>
      </c>
      <c r="AC86" s="54">
        <f>IF(SUM(AB86:AB$116)=0,0,F86&gt;0)</f>
        <v>0</v>
      </c>
      <c r="AD86" s="53">
        <f t="shared" si="77"/>
        <v>0</v>
      </c>
      <c r="AE86" s="54">
        <f>IF(SUM(AB86:AB$116)=0,0,AND(AC86=FALSE,AD86=0,SUM(AD86:AD$116)&gt;0))</f>
        <v>0</v>
      </c>
      <c r="AF86" s="54">
        <f t="shared" si="30"/>
        <v>0</v>
      </c>
      <c r="AG86" s="54">
        <f t="shared" si="31"/>
        <v>0</v>
      </c>
      <c r="AH86" s="56">
        <f t="shared" si="32"/>
        <v>0</v>
      </c>
      <c r="AI86" s="56">
        <f t="shared" si="33"/>
        <v>0</v>
      </c>
      <c r="AJ86" s="54">
        <f t="shared" si="34"/>
        <v>0</v>
      </c>
      <c r="AK86" s="54" t="str">
        <f t="shared" si="35"/>
        <v/>
      </c>
      <c r="AL86" s="54">
        <f t="shared" si="36"/>
        <v>0</v>
      </c>
      <c r="AM86" s="54">
        <f t="shared" si="37"/>
        <v>0</v>
      </c>
      <c r="AN86" s="54">
        <f t="shared" si="38"/>
        <v>0</v>
      </c>
      <c r="AO86" s="54">
        <f t="shared" si="39"/>
        <v>0</v>
      </c>
      <c r="AP86" s="54">
        <f t="shared" si="40"/>
        <v>0</v>
      </c>
      <c r="AQ86" s="54">
        <f t="shared" si="41"/>
        <v>0</v>
      </c>
      <c r="AR86" s="53">
        <f t="shared" si="42"/>
        <v>0</v>
      </c>
      <c r="AS86" s="409" t="str">
        <f t="shared" si="43"/>
        <v/>
      </c>
      <c r="AT86" s="54">
        <f t="shared" si="59"/>
        <v>0</v>
      </c>
      <c r="AU86" s="54">
        <f t="shared" si="60"/>
        <v>0</v>
      </c>
      <c r="AV86" s="54">
        <f t="shared" si="61"/>
        <v>0</v>
      </c>
      <c r="AW86" s="55" t="b">
        <f t="shared" ca="1" si="62"/>
        <v>0</v>
      </c>
      <c r="AX86" s="69"/>
      <c r="AY86" s="203">
        <f t="shared" ca="1" si="63"/>
        <v>0</v>
      </c>
      <c r="AZ86" s="72">
        <f t="shared" ca="1" si="64"/>
        <v>0</v>
      </c>
      <c r="BA86" s="72">
        <f t="shared" ca="1" si="78"/>
        <v>0</v>
      </c>
      <c r="BB86" s="75">
        <f t="shared" ca="1" si="65"/>
        <v>0</v>
      </c>
      <c r="BC86" s="209">
        <f t="shared" si="66"/>
        <v>0</v>
      </c>
      <c r="BD86" s="72">
        <f t="shared" si="79"/>
        <v>0</v>
      </c>
      <c r="BE86" s="72">
        <f t="shared" si="80"/>
        <v>0</v>
      </c>
      <c r="BF86" s="72">
        <f t="shared" si="81"/>
        <v>0</v>
      </c>
      <c r="BG86" s="200">
        <f t="shared" ca="1" si="82"/>
        <v>0</v>
      </c>
      <c r="BH86" s="69"/>
      <c r="BI86" s="198">
        <f t="shared" si="18"/>
        <v>0</v>
      </c>
      <c r="BJ86" s="71">
        <f t="shared" si="19"/>
        <v>0</v>
      </c>
      <c r="BK86" s="72">
        <f t="shared" si="83"/>
        <v>0</v>
      </c>
      <c r="BL86" s="72">
        <f t="shared" ca="1" si="84"/>
        <v>0</v>
      </c>
      <c r="BM86" s="200">
        <f t="shared" ca="1" si="67"/>
        <v>0</v>
      </c>
      <c r="BN86" s="69"/>
      <c r="BO86" s="198">
        <f t="shared" si="68"/>
        <v>0</v>
      </c>
      <c r="BP86" s="72">
        <f t="shared" ca="1" si="69"/>
        <v>0</v>
      </c>
      <c r="BQ86" s="78">
        <f t="shared" si="85"/>
        <v>0</v>
      </c>
      <c r="BR86" s="78">
        <f t="shared" si="86"/>
        <v>0</v>
      </c>
      <c r="BS86" s="80">
        <f t="shared" ca="1" si="70"/>
        <v>0</v>
      </c>
      <c r="BT86" s="80">
        <f t="shared" ca="1" si="71"/>
        <v>0</v>
      </c>
      <c r="BU86" s="259" t="str">
        <f t="shared" ca="1" si="87"/>
        <v/>
      </c>
      <c r="BV86" s="206" t="str">
        <f t="shared" ca="1" si="88"/>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row>
    <row r="87" spans="1:116" ht="12.75" hidden="1" customHeight="1">
      <c r="A87" s="5"/>
      <c r="B87" s="327" t="str">
        <f t="shared" si="28"/>
        <v>-</v>
      </c>
      <c r="C87" s="398">
        <v>51</v>
      </c>
      <c r="D87" s="931"/>
      <c r="E87" s="932"/>
      <c r="F87" s="476"/>
      <c r="G87" s="483"/>
      <c r="H87" s="466"/>
      <c r="I87" s="467"/>
      <c r="J87" s="489"/>
      <c r="K87" s="490"/>
      <c r="L87" s="491"/>
      <c r="M87" s="492"/>
      <c r="N87" s="373" t="str">
        <f t="shared" ca="1" si="54"/>
        <v/>
      </c>
      <c r="O87" s="374" t="str">
        <f t="shared" ca="1" si="55"/>
        <v/>
      </c>
      <c r="P87" s="375">
        <f t="shared" ca="1" si="56"/>
        <v>0</v>
      </c>
      <c r="Q87" s="384" t="str">
        <f t="shared" ca="1" si="72"/>
        <v/>
      </c>
      <c r="R87" s="385" t="str">
        <f t="shared" ca="1" si="57"/>
        <v/>
      </c>
      <c r="S87" s="386">
        <f t="shared" ca="1" si="73"/>
        <v>0</v>
      </c>
      <c r="T87" s="387" t="str">
        <f t="shared" ca="1" si="58"/>
        <v/>
      </c>
      <c r="U87" s="5"/>
      <c r="V87" s="6"/>
      <c r="W87" s="4"/>
      <c r="X87" s="4">
        <v>51</v>
      </c>
      <c r="Y87" s="104" t="str">
        <f t="shared" si="74"/>
        <v>-</v>
      </c>
      <c r="Z87" s="104">
        <f t="shared" si="75"/>
        <v>0</v>
      </c>
      <c r="AA87" s="4"/>
      <c r="AB87" s="53">
        <f t="shared" si="76"/>
        <v>0</v>
      </c>
      <c r="AC87" s="54">
        <f>IF(SUM(AB87:AB$116)=0,0,F87&gt;0)</f>
        <v>0</v>
      </c>
      <c r="AD87" s="53">
        <f t="shared" si="77"/>
        <v>0</v>
      </c>
      <c r="AE87" s="54">
        <f>IF(SUM(AB87:AB$116)=0,0,AND(AC87=FALSE,AD87=0,SUM(AD87:AD$116)&gt;0))</f>
        <v>0</v>
      </c>
      <c r="AF87" s="54">
        <f t="shared" si="30"/>
        <v>0</v>
      </c>
      <c r="AG87" s="54">
        <f t="shared" si="31"/>
        <v>0</v>
      </c>
      <c r="AH87" s="56">
        <f t="shared" si="32"/>
        <v>0</v>
      </c>
      <c r="AI87" s="56">
        <f t="shared" si="33"/>
        <v>0</v>
      </c>
      <c r="AJ87" s="54">
        <f t="shared" si="34"/>
        <v>0</v>
      </c>
      <c r="AK87" s="54" t="str">
        <f t="shared" si="35"/>
        <v/>
      </c>
      <c r="AL87" s="54">
        <f t="shared" si="36"/>
        <v>0</v>
      </c>
      <c r="AM87" s="54">
        <f t="shared" si="37"/>
        <v>0</v>
      </c>
      <c r="AN87" s="54">
        <f t="shared" si="38"/>
        <v>0</v>
      </c>
      <c r="AO87" s="54">
        <f t="shared" si="39"/>
        <v>0</v>
      </c>
      <c r="AP87" s="54">
        <f t="shared" si="40"/>
        <v>0</v>
      </c>
      <c r="AQ87" s="54">
        <f t="shared" si="41"/>
        <v>0</v>
      </c>
      <c r="AR87" s="53">
        <f t="shared" si="42"/>
        <v>0</v>
      </c>
      <c r="AS87" s="409" t="str">
        <f t="shared" si="43"/>
        <v/>
      </c>
      <c r="AT87" s="54">
        <f t="shared" si="59"/>
        <v>0</v>
      </c>
      <c r="AU87" s="54">
        <f t="shared" si="60"/>
        <v>0</v>
      </c>
      <c r="AV87" s="54">
        <f t="shared" si="61"/>
        <v>0</v>
      </c>
      <c r="AW87" s="55" t="b">
        <f t="shared" ca="1" si="62"/>
        <v>0</v>
      </c>
      <c r="AX87" s="69"/>
      <c r="AY87" s="203">
        <f t="shared" ca="1" si="63"/>
        <v>0</v>
      </c>
      <c r="AZ87" s="72">
        <f t="shared" ca="1" si="64"/>
        <v>0</v>
      </c>
      <c r="BA87" s="72">
        <f t="shared" ca="1" si="78"/>
        <v>0</v>
      </c>
      <c r="BB87" s="75">
        <f t="shared" ca="1" si="65"/>
        <v>0</v>
      </c>
      <c r="BC87" s="209">
        <f t="shared" si="66"/>
        <v>0</v>
      </c>
      <c r="BD87" s="72">
        <f t="shared" si="79"/>
        <v>0</v>
      </c>
      <c r="BE87" s="72">
        <f t="shared" si="80"/>
        <v>0</v>
      </c>
      <c r="BF87" s="72">
        <f t="shared" si="81"/>
        <v>0</v>
      </c>
      <c r="BG87" s="200">
        <f t="shared" ca="1" si="82"/>
        <v>0</v>
      </c>
      <c r="BH87" s="69"/>
      <c r="BI87" s="198">
        <f t="shared" si="18"/>
        <v>0</v>
      </c>
      <c r="BJ87" s="71">
        <f t="shared" si="19"/>
        <v>0</v>
      </c>
      <c r="BK87" s="72">
        <f t="shared" si="83"/>
        <v>0</v>
      </c>
      <c r="BL87" s="72">
        <f t="shared" ca="1" si="84"/>
        <v>0</v>
      </c>
      <c r="BM87" s="200">
        <f t="shared" ca="1" si="67"/>
        <v>0</v>
      </c>
      <c r="BN87" s="69"/>
      <c r="BO87" s="198">
        <f t="shared" si="68"/>
        <v>0</v>
      </c>
      <c r="BP87" s="72">
        <f t="shared" ca="1" si="69"/>
        <v>0</v>
      </c>
      <c r="BQ87" s="78">
        <f t="shared" si="85"/>
        <v>0</v>
      </c>
      <c r="BR87" s="78">
        <f t="shared" si="86"/>
        <v>0</v>
      </c>
      <c r="BS87" s="80">
        <f t="shared" ca="1" si="70"/>
        <v>0</v>
      </c>
      <c r="BT87" s="80">
        <f t="shared" ca="1" si="71"/>
        <v>0</v>
      </c>
      <c r="BU87" s="259" t="str">
        <f t="shared" ca="1" si="87"/>
        <v/>
      </c>
      <c r="BV87" s="206" t="str">
        <f t="shared" ca="1" si="88"/>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row>
    <row r="88" spans="1:116" ht="12.75" hidden="1" customHeight="1">
      <c r="A88" s="5"/>
      <c r="B88" s="327" t="str">
        <f t="shared" si="28"/>
        <v>-</v>
      </c>
      <c r="C88" s="398">
        <v>52</v>
      </c>
      <c r="D88" s="931"/>
      <c r="E88" s="932"/>
      <c r="F88" s="476"/>
      <c r="G88" s="483"/>
      <c r="H88" s="466"/>
      <c r="I88" s="467"/>
      <c r="J88" s="489"/>
      <c r="K88" s="490"/>
      <c r="L88" s="491"/>
      <c r="M88" s="492"/>
      <c r="N88" s="373" t="str">
        <f t="shared" ca="1" si="54"/>
        <v/>
      </c>
      <c r="O88" s="374" t="str">
        <f t="shared" ca="1" si="55"/>
        <v/>
      </c>
      <c r="P88" s="375">
        <f t="shared" ca="1" si="56"/>
        <v>0</v>
      </c>
      <c r="Q88" s="384" t="str">
        <f t="shared" ca="1" si="72"/>
        <v/>
      </c>
      <c r="R88" s="385" t="str">
        <f t="shared" ca="1" si="57"/>
        <v/>
      </c>
      <c r="S88" s="386">
        <f t="shared" ca="1" si="73"/>
        <v>0</v>
      </c>
      <c r="T88" s="387" t="str">
        <f t="shared" ca="1" si="58"/>
        <v/>
      </c>
      <c r="U88" s="5"/>
      <c r="V88" s="6"/>
      <c r="W88" s="4"/>
      <c r="X88" s="4">
        <v>52</v>
      </c>
      <c r="Y88" s="104" t="str">
        <f t="shared" si="74"/>
        <v>-</v>
      </c>
      <c r="Z88" s="104">
        <f t="shared" si="75"/>
        <v>0</v>
      </c>
      <c r="AA88" s="4"/>
      <c r="AB88" s="53">
        <f t="shared" si="76"/>
        <v>0</v>
      </c>
      <c r="AC88" s="54">
        <f>IF(SUM(AB88:AB$116)=0,0,F88&gt;0)</f>
        <v>0</v>
      </c>
      <c r="AD88" s="53">
        <f t="shared" si="77"/>
        <v>0</v>
      </c>
      <c r="AE88" s="54">
        <f>IF(SUM(AB88:AB$116)=0,0,AND(AC88=FALSE,AD88=0,SUM(AD88:AD$116)&gt;0))</f>
        <v>0</v>
      </c>
      <c r="AF88" s="54">
        <f t="shared" si="30"/>
        <v>0</v>
      </c>
      <c r="AG88" s="54">
        <f t="shared" si="31"/>
        <v>0</v>
      </c>
      <c r="AH88" s="56">
        <f t="shared" si="32"/>
        <v>0</v>
      </c>
      <c r="AI88" s="56">
        <f t="shared" si="33"/>
        <v>0</v>
      </c>
      <c r="AJ88" s="54">
        <f t="shared" si="34"/>
        <v>0</v>
      </c>
      <c r="AK88" s="54" t="str">
        <f t="shared" si="35"/>
        <v/>
      </c>
      <c r="AL88" s="54">
        <f t="shared" si="36"/>
        <v>0</v>
      </c>
      <c r="AM88" s="54">
        <f t="shared" si="37"/>
        <v>0</v>
      </c>
      <c r="AN88" s="54">
        <f t="shared" si="38"/>
        <v>0</v>
      </c>
      <c r="AO88" s="54">
        <f t="shared" si="39"/>
        <v>0</v>
      </c>
      <c r="AP88" s="54">
        <f t="shared" si="40"/>
        <v>0</v>
      </c>
      <c r="AQ88" s="54">
        <f t="shared" si="41"/>
        <v>0</v>
      </c>
      <c r="AR88" s="53">
        <f t="shared" si="42"/>
        <v>0</v>
      </c>
      <c r="AS88" s="409" t="str">
        <f t="shared" si="43"/>
        <v/>
      </c>
      <c r="AT88" s="54">
        <f t="shared" si="59"/>
        <v>0</v>
      </c>
      <c r="AU88" s="54">
        <f t="shared" si="60"/>
        <v>0</v>
      </c>
      <c r="AV88" s="54">
        <f t="shared" si="61"/>
        <v>0</v>
      </c>
      <c r="AW88" s="55" t="b">
        <f t="shared" ca="1" si="62"/>
        <v>0</v>
      </c>
      <c r="AX88" s="69"/>
      <c r="AY88" s="203">
        <f t="shared" ca="1" si="63"/>
        <v>0</v>
      </c>
      <c r="AZ88" s="72">
        <f t="shared" ca="1" si="64"/>
        <v>0</v>
      </c>
      <c r="BA88" s="72">
        <f t="shared" ca="1" si="78"/>
        <v>0</v>
      </c>
      <c r="BB88" s="75">
        <f t="shared" ca="1" si="65"/>
        <v>0</v>
      </c>
      <c r="BC88" s="209">
        <f t="shared" si="66"/>
        <v>0</v>
      </c>
      <c r="BD88" s="72">
        <f t="shared" si="79"/>
        <v>0</v>
      </c>
      <c r="BE88" s="72">
        <f t="shared" si="80"/>
        <v>0</v>
      </c>
      <c r="BF88" s="72">
        <f t="shared" si="81"/>
        <v>0</v>
      </c>
      <c r="BG88" s="200">
        <f t="shared" ca="1" si="82"/>
        <v>0</v>
      </c>
      <c r="BH88" s="69"/>
      <c r="BI88" s="198">
        <f t="shared" si="18"/>
        <v>0</v>
      </c>
      <c r="BJ88" s="71">
        <f t="shared" si="19"/>
        <v>0</v>
      </c>
      <c r="BK88" s="72">
        <f t="shared" si="83"/>
        <v>0</v>
      </c>
      <c r="BL88" s="72">
        <f t="shared" ca="1" si="84"/>
        <v>0</v>
      </c>
      <c r="BM88" s="200">
        <f t="shared" ca="1" si="67"/>
        <v>0</v>
      </c>
      <c r="BN88" s="69"/>
      <c r="BO88" s="198">
        <f t="shared" si="68"/>
        <v>0</v>
      </c>
      <c r="BP88" s="72">
        <f t="shared" ca="1" si="69"/>
        <v>0</v>
      </c>
      <c r="BQ88" s="78">
        <f t="shared" si="85"/>
        <v>0</v>
      </c>
      <c r="BR88" s="78">
        <f t="shared" si="86"/>
        <v>0</v>
      </c>
      <c r="BS88" s="80">
        <f t="shared" ca="1" si="70"/>
        <v>0</v>
      </c>
      <c r="BT88" s="80">
        <f t="shared" ca="1" si="71"/>
        <v>0</v>
      </c>
      <c r="BU88" s="259" t="str">
        <f t="shared" ca="1" si="87"/>
        <v/>
      </c>
      <c r="BV88" s="206" t="str">
        <f t="shared" ca="1" si="88"/>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row>
    <row r="89" spans="1:116" ht="12.75" hidden="1" customHeight="1">
      <c r="A89" s="5"/>
      <c r="B89" s="327" t="str">
        <f t="shared" si="28"/>
        <v>-</v>
      </c>
      <c r="C89" s="398">
        <v>53</v>
      </c>
      <c r="D89" s="931"/>
      <c r="E89" s="932"/>
      <c r="F89" s="476"/>
      <c r="G89" s="483"/>
      <c r="H89" s="466"/>
      <c r="I89" s="467"/>
      <c r="J89" s="489"/>
      <c r="K89" s="490"/>
      <c r="L89" s="491"/>
      <c r="M89" s="492"/>
      <c r="N89" s="373" t="str">
        <f t="shared" ca="1" si="54"/>
        <v/>
      </c>
      <c r="O89" s="374" t="str">
        <f t="shared" ca="1" si="55"/>
        <v/>
      </c>
      <c r="P89" s="375">
        <f t="shared" ca="1" si="56"/>
        <v>0</v>
      </c>
      <c r="Q89" s="384" t="str">
        <f t="shared" ca="1" si="72"/>
        <v/>
      </c>
      <c r="R89" s="385" t="str">
        <f t="shared" ca="1" si="57"/>
        <v/>
      </c>
      <c r="S89" s="386">
        <f t="shared" ca="1" si="73"/>
        <v>0</v>
      </c>
      <c r="T89" s="387" t="str">
        <f t="shared" ca="1" si="58"/>
        <v/>
      </c>
      <c r="U89" s="5"/>
      <c r="V89" s="6"/>
      <c r="W89" s="4"/>
      <c r="X89" s="4">
        <v>53</v>
      </c>
      <c r="Y89" s="104" t="str">
        <f t="shared" si="74"/>
        <v>-</v>
      </c>
      <c r="Z89" s="104">
        <f t="shared" si="75"/>
        <v>0</v>
      </c>
      <c r="AA89" s="4"/>
      <c r="AB89" s="53">
        <f t="shared" si="76"/>
        <v>0</v>
      </c>
      <c r="AC89" s="54">
        <f>IF(SUM(AB89:AB$116)=0,0,F89&gt;0)</f>
        <v>0</v>
      </c>
      <c r="AD89" s="53">
        <f t="shared" si="77"/>
        <v>0</v>
      </c>
      <c r="AE89" s="54">
        <f>IF(SUM(AB89:AB$116)=0,0,AND(AC89=FALSE,AD89=0,SUM(AD89:AD$116)&gt;0))</f>
        <v>0</v>
      </c>
      <c r="AF89" s="54">
        <f t="shared" si="30"/>
        <v>0</v>
      </c>
      <c r="AG89" s="54">
        <f t="shared" si="31"/>
        <v>0</v>
      </c>
      <c r="AH89" s="56">
        <f t="shared" si="32"/>
        <v>0</v>
      </c>
      <c r="AI89" s="56">
        <f t="shared" si="33"/>
        <v>0</v>
      </c>
      <c r="AJ89" s="54">
        <f t="shared" si="34"/>
        <v>0</v>
      </c>
      <c r="AK89" s="54" t="str">
        <f t="shared" si="35"/>
        <v/>
      </c>
      <c r="AL89" s="54">
        <f t="shared" si="36"/>
        <v>0</v>
      </c>
      <c r="AM89" s="54">
        <f t="shared" si="37"/>
        <v>0</v>
      </c>
      <c r="AN89" s="54">
        <f t="shared" si="38"/>
        <v>0</v>
      </c>
      <c r="AO89" s="54">
        <f t="shared" si="39"/>
        <v>0</v>
      </c>
      <c r="AP89" s="54">
        <f t="shared" si="40"/>
        <v>0</v>
      </c>
      <c r="AQ89" s="54">
        <f t="shared" si="41"/>
        <v>0</v>
      </c>
      <c r="AR89" s="53">
        <f t="shared" si="42"/>
        <v>0</v>
      </c>
      <c r="AS89" s="409" t="str">
        <f t="shared" si="43"/>
        <v/>
      </c>
      <c r="AT89" s="54">
        <f t="shared" si="59"/>
        <v>0</v>
      </c>
      <c r="AU89" s="54">
        <f t="shared" si="60"/>
        <v>0</v>
      </c>
      <c r="AV89" s="54">
        <f t="shared" si="61"/>
        <v>0</v>
      </c>
      <c r="AW89" s="55" t="b">
        <f t="shared" ca="1" si="62"/>
        <v>0</v>
      </c>
      <c r="AX89" s="69"/>
      <c r="AY89" s="203">
        <f t="shared" ca="1" si="63"/>
        <v>0</v>
      </c>
      <c r="AZ89" s="72">
        <f t="shared" ca="1" si="64"/>
        <v>0</v>
      </c>
      <c r="BA89" s="72">
        <f t="shared" ca="1" si="78"/>
        <v>0</v>
      </c>
      <c r="BB89" s="75">
        <f t="shared" ca="1" si="65"/>
        <v>0</v>
      </c>
      <c r="BC89" s="209">
        <f t="shared" si="66"/>
        <v>0</v>
      </c>
      <c r="BD89" s="72">
        <f t="shared" si="79"/>
        <v>0</v>
      </c>
      <c r="BE89" s="72">
        <f t="shared" si="80"/>
        <v>0</v>
      </c>
      <c r="BF89" s="72">
        <f t="shared" si="81"/>
        <v>0</v>
      </c>
      <c r="BG89" s="200">
        <f t="shared" ca="1" si="82"/>
        <v>0</v>
      </c>
      <c r="BH89" s="69"/>
      <c r="BI89" s="198">
        <f t="shared" si="18"/>
        <v>0</v>
      </c>
      <c r="BJ89" s="71">
        <f t="shared" si="19"/>
        <v>0</v>
      </c>
      <c r="BK89" s="72">
        <f t="shared" si="83"/>
        <v>0</v>
      </c>
      <c r="BL89" s="72">
        <f t="shared" ca="1" si="84"/>
        <v>0</v>
      </c>
      <c r="BM89" s="200">
        <f t="shared" ca="1" si="67"/>
        <v>0</v>
      </c>
      <c r="BN89" s="69"/>
      <c r="BO89" s="198">
        <f t="shared" si="68"/>
        <v>0</v>
      </c>
      <c r="BP89" s="72">
        <f t="shared" ca="1" si="69"/>
        <v>0</v>
      </c>
      <c r="BQ89" s="78">
        <f t="shared" si="85"/>
        <v>0</v>
      </c>
      <c r="BR89" s="78">
        <f t="shared" si="86"/>
        <v>0</v>
      </c>
      <c r="BS89" s="80">
        <f t="shared" ca="1" si="70"/>
        <v>0</v>
      </c>
      <c r="BT89" s="80">
        <f t="shared" ca="1" si="71"/>
        <v>0</v>
      </c>
      <c r="BU89" s="259" t="str">
        <f t="shared" ca="1" si="87"/>
        <v/>
      </c>
      <c r="BV89" s="206" t="str">
        <f t="shared" ca="1" si="88"/>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row>
    <row r="90" spans="1:116" ht="12.75" hidden="1" customHeight="1">
      <c r="A90" s="5"/>
      <c r="B90" s="327" t="str">
        <f t="shared" si="28"/>
        <v>-</v>
      </c>
      <c r="C90" s="398">
        <v>54</v>
      </c>
      <c r="D90" s="931"/>
      <c r="E90" s="932"/>
      <c r="F90" s="476"/>
      <c r="G90" s="483"/>
      <c r="H90" s="466"/>
      <c r="I90" s="467"/>
      <c r="J90" s="489"/>
      <c r="K90" s="490"/>
      <c r="L90" s="491"/>
      <c r="M90" s="492"/>
      <c r="N90" s="373" t="str">
        <f t="shared" ca="1" si="54"/>
        <v/>
      </c>
      <c r="O90" s="374" t="str">
        <f t="shared" ca="1" si="55"/>
        <v/>
      </c>
      <c r="P90" s="375">
        <f t="shared" ca="1" si="56"/>
        <v>0</v>
      </c>
      <c r="Q90" s="384" t="str">
        <f t="shared" ca="1" si="72"/>
        <v/>
      </c>
      <c r="R90" s="385" t="str">
        <f t="shared" ca="1" si="57"/>
        <v/>
      </c>
      <c r="S90" s="386">
        <f t="shared" ca="1" si="73"/>
        <v>0</v>
      </c>
      <c r="T90" s="387" t="str">
        <f t="shared" ca="1" si="58"/>
        <v/>
      </c>
      <c r="U90" s="5"/>
      <c r="V90" s="6"/>
      <c r="W90" s="4"/>
      <c r="X90" s="4">
        <v>54</v>
      </c>
      <c r="Y90" s="104" t="str">
        <f t="shared" si="74"/>
        <v>-</v>
      </c>
      <c r="Z90" s="104">
        <f t="shared" si="75"/>
        <v>0</v>
      </c>
      <c r="AA90" s="4"/>
      <c r="AB90" s="53">
        <f t="shared" si="76"/>
        <v>0</v>
      </c>
      <c r="AC90" s="54">
        <f>IF(SUM(AB90:AB$116)=0,0,F90&gt;0)</f>
        <v>0</v>
      </c>
      <c r="AD90" s="53">
        <f t="shared" si="77"/>
        <v>0</v>
      </c>
      <c r="AE90" s="54">
        <f>IF(SUM(AB90:AB$116)=0,0,AND(AC90=FALSE,AD90=0,SUM(AD90:AD$116)&gt;0))</f>
        <v>0</v>
      </c>
      <c r="AF90" s="54">
        <f t="shared" si="30"/>
        <v>0</v>
      </c>
      <c r="AG90" s="54">
        <f t="shared" si="31"/>
        <v>0</v>
      </c>
      <c r="AH90" s="56">
        <f t="shared" si="32"/>
        <v>0</v>
      </c>
      <c r="AI90" s="56">
        <f t="shared" si="33"/>
        <v>0</v>
      </c>
      <c r="AJ90" s="54">
        <f t="shared" si="34"/>
        <v>0</v>
      </c>
      <c r="AK90" s="54" t="str">
        <f t="shared" si="35"/>
        <v/>
      </c>
      <c r="AL90" s="54">
        <f t="shared" si="36"/>
        <v>0</v>
      </c>
      <c r="AM90" s="54">
        <f t="shared" si="37"/>
        <v>0</v>
      </c>
      <c r="AN90" s="54">
        <f t="shared" si="38"/>
        <v>0</v>
      </c>
      <c r="AO90" s="54">
        <f t="shared" si="39"/>
        <v>0</v>
      </c>
      <c r="AP90" s="54">
        <f t="shared" si="40"/>
        <v>0</v>
      </c>
      <c r="AQ90" s="54">
        <f t="shared" si="41"/>
        <v>0</v>
      </c>
      <c r="AR90" s="53">
        <f t="shared" si="42"/>
        <v>0</v>
      </c>
      <c r="AS90" s="409" t="str">
        <f t="shared" si="43"/>
        <v/>
      </c>
      <c r="AT90" s="54">
        <f t="shared" si="59"/>
        <v>0</v>
      </c>
      <c r="AU90" s="54">
        <f t="shared" si="60"/>
        <v>0</v>
      </c>
      <c r="AV90" s="54">
        <f t="shared" si="61"/>
        <v>0</v>
      </c>
      <c r="AW90" s="55" t="b">
        <f t="shared" ca="1" si="62"/>
        <v>0</v>
      </c>
      <c r="AX90" s="69"/>
      <c r="AY90" s="203">
        <f t="shared" ca="1" si="63"/>
        <v>0</v>
      </c>
      <c r="AZ90" s="72">
        <f t="shared" ca="1" si="64"/>
        <v>0</v>
      </c>
      <c r="BA90" s="72">
        <f t="shared" ca="1" si="78"/>
        <v>0</v>
      </c>
      <c r="BB90" s="75">
        <f t="shared" ca="1" si="65"/>
        <v>0</v>
      </c>
      <c r="BC90" s="209">
        <f t="shared" si="66"/>
        <v>0</v>
      </c>
      <c r="BD90" s="72">
        <f t="shared" si="79"/>
        <v>0</v>
      </c>
      <c r="BE90" s="72">
        <f t="shared" si="80"/>
        <v>0</v>
      </c>
      <c r="BF90" s="72">
        <f t="shared" si="81"/>
        <v>0</v>
      </c>
      <c r="BG90" s="200">
        <f t="shared" ca="1" si="82"/>
        <v>0</v>
      </c>
      <c r="BH90" s="69"/>
      <c r="BI90" s="198">
        <f t="shared" si="18"/>
        <v>0</v>
      </c>
      <c r="BJ90" s="71">
        <f t="shared" si="19"/>
        <v>0</v>
      </c>
      <c r="BK90" s="72">
        <f t="shared" si="83"/>
        <v>0</v>
      </c>
      <c r="BL90" s="72">
        <f t="shared" ca="1" si="84"/>
        <v>0</v>
      </c>
      <c r="BM90" s="200">
        <f t="shared" ca="1" si="67"/>
        <v>0</v>
      </c>
      <c r="BN90" s="69"/>
      <c r="BO90" s="198">
        <f t="shared" si="68"/>
        <v>0</v>
      </c>
      <c r="BP90" s="72">
        <f t="shared" ca="1" si="69"/>
        <v>0</v>
      </c>
      <c r="BQ90" s="78">
        <f t="shared" si="85"/>
        <v>0</v>
      </c>
      <c r="BR90" s="78">
        <f t="shared" si="86"/>
        <v>0</v>
      </c>
      <c r="BS90" s="80">
        <f t="shared" ca="1" si="70"/>
        <v>0</v>
      </c>
      <c r="BT90" s="80">
        <f t="shared" ca="1" si="71"/>
        <v>0</v>
      </c>
      <c r="BU90" s="259" t="str">
        <f t="shared" ca="1" si="87"/>
        <v/>
      </c>
      <c r="BV90" s="206" t="str">
        <f t="shared" ca="1" si="88"/>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row>
    <row r="91" spans="1:116" ht="12.75" hidden="1" customHeight="1">
      <c r="A91" s="5"/>
      <c r="B91" s="327" t="str">
        <f t="shared" si="28"/>
        <v>-</v>
      </c>
      <c r="C91" s="398">
        <v>55</v>
      </c>
      <c r="D91" s="931"/>
      <c r="E91" s="932"/>
      <c r="F91" s="476"/>
      <c r="G91" s="483"/>
      <c r="H91" s="466"/>
      <c r="I91" s="467"/>
      <c r="J91" s="489"/>
      <c r="K91" s="490"/>
      <c r="L91" s="491"/>
      <c r="M91" s="492"/>
      <c r="N91" s="373" t="str">
        <f t="shared" ca="1" si="54"/>
        <v/>
      </c>
      <c r="O91" s="374" t="str">
        <f t="shared" ca="1" si="55"/>
        <v/>
      </c>
      <c r="P91" s="375">
        <f t="shared" ca="1" si="56"/>
        <v>0</v>
      </c>
      <c r="Q91" s="384" t="str">
        <f t="shared" ca="1" si="72"/>
        <v/>
      </c>
      <c r="R91" s="385" t="str">
        <f t="shared" ca="1" si="57"/>
        <v/>
      </c>
      <c r="S91" s="386">
        <f t="shared" ca="1" si="73"/>
        <v>0</v>
      </c>
      <c r="T91" s="387" t="str">
        <f t="shared" ca="1" si="58"/>
        <v/>
      </c>
      <c r="U91" s="5"/>
      <c r="V91" s="6"/>
      <c r="W91" s="4"/>
      <c r="X91" s="4">
        <v>55</v>
      </c>
      <c r="Y91" s="104" t="str">
        <f t="shared" si="74"/>
        <v>-</v>
      </c>
      <c r="Z91" s="104">
        <f t="shared" si="75"/>
        <v>0</v>
      </c>
      <c r="AA91" s="4"/>
      <c r="AB91" s="53">
        <f t="shared" si="76"/>
        <v>0</v>
      </c>
      <c r="AC91" s="54">
        <f>IF(SUM(AB91:AB$116)=0,0,F91&gt;0)</f>
        <v>0</v>
      </c>
      <c r="AD91" s="53">
        <f t="shared" si="77"/>
        <v>0</v>
      </c>
      <c r="AE91" s="54">
        <f>IF(SUM(AB91:AB$116)=0,0,AND(AC91=FALSE,AD91=0,SUM(AD91:AD$116)&gt;0))</f>
        <v>0</v>
      </c>
      <c r="AF91" s="54">
        <f t="shared" si="30"/>
        <v>0</v>
      </c>
      <c r="AG91" s="54">
        <f t="shared" si="31"/>
        <v>0</v>
      </c>
      <c r="AH91" s="56">
        <f t="shared" si="32"/>
        <v>0</v>
      </c>
      <c r="AI91" s="56">
        <f t="shared" si="33"/>
        <v>0</v>
      </c>
      <c r="AJ91" s="54">
        <f t="shared" si="34"/>
        <v>0</v>
      </c>
      <c r="AK91" s="54" t="str">
        <f t="shared" si="35"/>
        <v/>
      </c>
      <c r="AL91" s="54">
        <f t="shared" si="36"/>
        <v>0</v>
      </c>
      <c r="AM91" s="54">
        <f t="shared" si="37"/>
        <v>0</v>
      </c>
      <c r="AN91" s="54">
        <f t="shared" si="38"/>
        <v>0</v>
      </c>
      <c r="AO91" s="54">
        <f t="shared" si="39"/>
        <v>0</v>
      </c>
      <c r="AP91" s="54">
        <f t="shared" si="40"/>
        <v>0</v>
      </c>
      <c r="AQ91" s="54">
        <f t="shared" si="41"/>
        <v>0</v>
      </c>
      <c r="AR91" s="53">
        <f t="shared" si="42"/>
        <v>0</v>
      </c>
      <c r="AS91" s="409" t="str">
        <f t="shared" si="43"/>
        <v/>
      </c>
      <c r="AT91" s="54">
        <f t="shared" si="59"/>
        <v>0</v>
      </c>
      <c r="AU91" s="54">
        <f t="shared" si="60"/>
        <v>0</v>
      </c>
      <c r="AV91" s="54">
        <f t="shared" si="61"/>
        <v>0</v>
      </c>
      <c r="AW91" s="55" t="b">
        <f t="shared" ca="1" si="62"/>
        <v>0</v>
      </c>
      <c r="AX91" s="69"/>
      <c r="AY91" s="203">
        <f t="shared" ca="1" si="63"/>
        <v>0</v>
      </c>
      <c r="AZ91" s="72">
        <f t="shared" ca="1" si="64"/>
        <v>0</v>
      </c>
      <c r="BA91" s="72">
        <f t="shared" ca="1" si="78"/>
        <v>0</v>
      </c>
      <c r="BB91" s="75">
        <f t="shared" ca="1" si="65"/>
        <v>0</v>
      </c>
      <c r="BC91" s="209">
        <f t="shared" si="66"/>
        <v>0</v>
      </c>
      <c r="BD91" s="72">
        <f t="shared" si="79"/>
        <v>0</v>
      </c>
      <c r="BE91" s="72">
        <f t="shared" si="80"/>
        <v>0</v>
      </c>
      <c r="BF91" s="72">
        <f t="shared" si="81"/>
        <v>0</v>
      </c>
      <c r="BG91" s="200">
        <f t="shared" ca="1" si="82"/>
        <v>0</v>
      </c>
      <c r="BH91" s="69"/>
      <c r="BI91" s="198">
        <f t="shared" si="18"/>
        <v>0</v>
      </c>
      <c r="BJ91" s="71">
        <f t="shared" si="19"/>
        <v>0</v>
      </c>
      <c r="BK91" s="72">
        <f t="shared" si="83"/>
        <v>0</v>
      </c>
      <c r="BL91" s="72">
        <f t="shared" ca="1" si="84"/>
        <v>0</v>
      </c>
      <c r="BM91" s="200">
        <f t="shared" ca="1" si="67"/>
        <v>0</v>
      </c>
      <c r="BN91" s="69"/>
      <c r="BO91" s="198">
        <f t="shared" si="68"/>
        <v>0</v>
      </c>
      <c r="BP91" s="72">
        <f t="shared" ca="1" si="69"/>
        <v>0</v>
      </c>
      <c r="BQ91" s="78">
        <f t="shared" si="85"/>
        <v>0</v>
      </c>
      <c r="BR91" s="78">
        <f t="shared" si="86"/>
        <v>0</v>
      </c>
      <c r="BS91" s="80">
        <f t="shared" ca="1" si="70"/>
        <v>0</v>
      </c>
      <c r="BT91" s="80">
        <f t="shared" ca="1" si="71"/>
        <v>0</v>
      </c>
      <c r="BU91" s="259" t="str">
        <f t="shared" ca="1" si="87"/>
        <v/>
      </c>
      <c r="BV91" s="206" t="str">
        <f t="shared" ca="1" si="88"/>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row>
    <row r="92" spans="1:116" ht="12.75" hidden="1" customHeight="1">
      <c r="A92" s="5"/>
      <c r="B92" s="327" t="str">
        <f t="shared" si="28"/>
        <v>-</v>
      </c>
      <c r="C92" s="398">
        <v>56</v>
      </c>
      <c r="D92" s="931"/>
      <c r="E92" s="932"/>
      <c r="F92" s="476"/>
      <c r="G92" s="483"/>
      <c r="H92" s="466"/>
      <c r="I92" s="467"/>
      <c r="J92" s="489"/>
      <c r="K92" s="490"/>
      <c r="L92" s="491"/>
      <c r="M92" s="492"/>
      <c r="N92" s="373" t="str">
        <f t="shared" ca="1" si="54"/>
        <v/>
      </c>
      <c r="O92" s="374" t="str">
        <f t="shared" ca="1" si="55"/>
        <v/>
      </c>
      <c r="P92" s="375">
        <f t="shared" ca="1" si="56"/>
        <v>0</v>
      </c>
      <c r="Q92" s="384" t="str">
        <f t="shared" ca="1" si="72"/>
        <v/>
      </c>
      <c r="R92" s="385" t="str">
        <f t="shared" ca="1" si="57"/>
        <v/>
      </c>
      <c r="S92" s="386">
        <f t="shared" ca="1" si="73"/>
        <v>0</v>
      </c>
      <c r="T92" s="387" t="str">
        <f t="shared" ca="1" si="58"/>
        <v/>
      </c>
      <c r="U92" s="5"/>
      <c r="V92" s="6"/>
      <c r="W92" s="4"/>
      <c r="X92" s="4">
        <v>56</v>
      </c>
      <c r="Y92" s="104" t="str">
        <f t="shared" si="74"/>
        <v>-</v>
      </c>
      <c r="Z92" s="104">
        <f t="shared" si="75"/>
        <v>0</v>
      </c>
      <c r="AA92" s="4"/>
      <c r="AB92" s="53">
        <f t="shared" si="76"/>
        <v>0</v>
      </c>
      <c r="AC92" s="54">
        <f>IF(SUM(AB92:AB$116)=0,0,F92&gt;0)</f>
        <v>0</v>
      </c>
      <c r="AD92" s="53">
        <f t="shared" si="77"/>
        <v>0</v>
      </c>
      <c r="AE92" s="54">
        <f>IF(SUM(AB92:AB$116)=0,0,AND(AC92=FALSE,AD92=0,SUM(AD92:AD$116)&gt;0))</f>
        <v>0</v>
      </c>
      <c r="AF92" s="54">
        <f t="shared" si="30"/>
        <v>0</v>
      </c>
      <c r="AG92" s="54">
        <f t="shared" si="31"/>
        <v>0</v>
      </c>
      <c r="AH92" s="56">
        <f t="shared" si="32"/>
        <v>0</v>
      </c>
      <c r="AI92" s="56">
        <f t="shared" si="33"/>
        <v>0</v>
      </c>
      <c r="AJ92" s="54">
        <f t="shared" si="34"/>
        <v>0</v>
      </c>
      <c r="AK92" s="54" t="str">
        <f t="shared" si="35"/>
        <v/>
      </c>
      <c r="AL92" s="54">
        <f t="shared" si="36"/>
        <v>0</v>
      </c>
      <c r="AM92" s="54">
        <f t="shared" si="37"/>
        <v>0</v>
      </c>
      <c r="AN92" s="54">
        <f t="shared" si="38"/>
        <v>0</v>
      </c>
      <c r="AO92" s="54">
        <f t="shared" si="39"/>
        <v>0</v>
      </c>
      <c r="AP92" s="54">
        <f t="shared" si="40"/>
        <v>0</v>
      </c>
      <c r="AQ92" s="54">
        <f t="shared" si="41"/>
        <v>0</v>
      </c>
      <c r="AR92" s="53">
        <f t="shared" si="42"/>
        <v>0</v>
      </c>
      <c r="AS92" s="409" t="str">
        <f t="shared" si="43"/>
        <v/>
      </c>
      <c r="AT92" s="54">
        <f t="shared" si="59"/>
        <v>0</v>
      </c>
      <c r="AU92" s="54">
        <f t="shared" si="60"/>
        <v>0</v>
      </c>
      <c r="AV92" s="54">
        <f t="shared" si="61"/>
        <v>0</v>
      </c>
      <c r="AW92" s="55" t="b">
        <f t="shared" ca="1" si="62"/>
        <v>0</v>
      </c>
      <c r="AX92" s="69"/>
      <c r="AY92" s="203">
        <f t="shared" ca="1" si="63"/>
        <v>0</v>
      </c>
      <c r="AZ92" s="72">
        <f t="shared" ca="1" si="64"/>
        <v>0</v>
      </c>
      <c r="BA92" s="72">
        <f t="shared" ca="1" si="78"/>
        <v>0</v>
      </c>
      <c r="BB92" s="75">
        <f t="shared" ca="1" si="65"/>
        <v>0</v>
      </c>
      <c r="BC92" s="209">
        <f t="shared" si="66"/>
        <v>0</v>
      </c>
      <c r="BD92" s="72">
        <f t="shared" si="79"/>
        <v>0</v>
      </c>
      <c r="BE92" s="72">
        <f t="shared" si="80"/>
        <v>0</v>
      </c>
      <c r="BF92" s="72">
        <f t="shared" si="81"/>
        <v>0</v>
      </c>
      <c r="BG92" s="200">
        <f t="shared" ca="1" si="82"/>
        <v>0</v>
      </c>
      <c r="BH92" s="69"/>
      <c r="BI92" s="198">
        <f t="shared" si="18"/>
        <v>0</v>
      </c>
      <c r="BJ92" s="71">
        <f t="shared" si="19"/>
        <v>0</v>
      </c>
      <c r="BK92" s="72">
        <f t="shared" si="83"/>
        <v>0</v>
      </c>
      <c r="BL92" s="72">
        <f t="shared" ca="1" si="84"/>
        <v>0</v>
      </c>
      <c r="BM92" s="200">
        <f t="shared" ca="1" si="67"/>
        <v>0</v>
      </c>
      <c r="BN92" s="69"/>
      <c r="BO92" s="198">
        <f t="shared" si="68"/>
        <v>0</v>
      </c>
      <c r="BP92" s="72">
        <f t="shared" ca="1" si="69"/>
        <v>0</v>
      </c>
      <c r="BQ92" s="78">
        <f t="shared" si="85"/>
        <v>0</v>
      </c>
      <c r="BR92" s="78">
        <f t="shared" si="86"/>
        <v>0</v>
      </c>
      <c r="BS92" s="80">
        <f t="shared" ca="1" si="70"/>
        <v>0</v>
      </c>
      <c r="BT92" s="80">
        <f t="shared" ca="1" si="71"/>
        <v>0</v>
      </c>
      <c r="BU92" s="259" t="str">
        <f t="shared" ca="1" si="87"/>
        <v/>
      </c>
      <c r="BV92" s="206" t="str">
        <f t="shared" ca="1" si="88"/>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row>
    <row r="93" spans="1:116" ht="12.75" hidden="1" customHeight="1">
      <c r="A93" s="5"/>
      <c r="B93" s="327" t="str">
        <f t="shared" si="28"/>
        <v>-</v>
      </c>
      <c r="C93" s="398">
        <v>57</v>
      </c>
      <c r="D93" s="931"/>
      <c r="E93" s="932"/>
      <c r="F93" s="476"/>
      <c r="G93" s="483"/>
      <c r="H93" s="466"/>
      <c r="I93" s="467"/>
      <c r="J93" s="489"/>
      <c r="K93" s="490"/>
      <c r="L93" s="491"/>
      <c r="M93" s="492"/>
      <c r="N93" s="373" t="str">
        <f t="shared" ca="1" si="54"/>
        <v/>
      </c>
      <c r="O93" s="374" t="str">
        <f t="shared" ca="1" si="55"/>
        <v/>
      </c>
      <c r="P93" s="375">
        <f t="shared" ca="1" si="56"/>
        <v>0</v>
      </c>
      <c r="Q93" s="384" t="str">
        <f t="shared" ca="1" si="72"/>
        <v/>
      </c>
      <c r="R93" s="385" t="str">
        <f t="shared" ca="1" si="57"/>
        <v/>
      </c>
      <c r="S93" s="386">
        <f t="shared" ca="1" si="73"/>
        <v>0</v>
      </c>
      <c r="T93" s="387" t="str">
        <f t="shared" ca="1" si="58"/>
        <v/>
      </c>
      <c r="U93" s="5"/>
      <c r="V93" s="6"/>
      <c r="W93" s="4"/>
      <c r="X93" s="4">
        <v>57</v>
      </c>
      <c r="Y93" s="104" t="str">
        <f t="shared" si="74"/>
        <v>-</v>
      </c>
      <c r="Z93" s="104">
        <f t="shared" si="75"/>
        <v>0</v>
      </c>
      <c r="AA93" s="4"/>
      <c r="AB93" s="53">
        <f t="shared" si="76"/>
        <v>0</v>
      </c>
      <c r="AC93" s="54">
        <f>IF(SUM(AB93:AB$116)=0,0,F93&gt;0)</f>
        <v>0</v>
      </c>
      <c r="AD93" s="53">
        <f t="shared" si="77"/>
        <v>0</v>
      </c>
      <c r="AE93" s="54">
        <f>IF(SUM(AB93:AB$116)=0,0,AND(AC93=FALSE,AD93=0,SUM(AD93:AD$116)&gt;0))</f>
        <v>0</v>
      </c>
      <c r="AF93" s="54">
        <f t="shared" si="30"/>
        <v>0</v>
      </c>
      <c r="AG93" s="54">
        <f t="shared" si="31"/>
        <v>0</v>
      </c>
      <c r="AH93" s="56">
        <f t="shared" si="32"/>
        <v>0</v>
      </c>
      <c r="AI93" s="56">
        <f t="shared" si="33"/>
        <v>0</v>
      </c>
      <c r="AJ93" s="54">
        <f t="shared" si="34"/>
        <v>0</v>
      </c>
      <c r="AK93" s="54" t="str">
        <f t="shared" si="35"/>
        <v/>
      </c>
      <c r="AL93" s="54">
        <f t="shared" si="36"/>
        <v>0</v>
      </c>
      <c r="AM93" s="54">
        <f t="shared" si="37"/>
        <v>0</v>
      </c>
      <c r="AN93" s="54">
        <f t="shared" si="38"/>
        <v>0</v>
      </c>
      <c r="AO93" s="54">
        <f t="shared" si="39"/>
        <v>0</v>
      </c>
      <c r="AP93" s="54">
        <f t="shared" si="40"/>
        <v>0</v>
      </c>
      <c r="AQ93" s="54">
        <f t="shared" si="41"/>
        <v>0</v>
      </c>
      <c r="AR93" s="53">
        <f t="shared" si="42"/>
        <v>0</v>
      </c>
      <c r="AS93" s="409" t="str">
        <f t="shared" si="43"/>
        <v/>
      </c>
      <c r="AT93" s="54">
        <f t="shared" si="59"/>
        <v>0</v>
      </c>
      <c r="AU93" s="54">
        <f t="shared" si="60"/>
        <v>0</v>
      </c>
      <c r="AV93" s="54">
        <f t="shared" si="61"/>
        <v>0</v>
      </c>
      <c r="AW93" s="55" t="b">
        <f t="shared" ca="1" si="62"/>
        <v>0</v>
      </c>
      <c r="AX93" s="69"/>
      <c r="AY93" s="203">
        <f t="shared" ca="1" si="63"/>
        <v>0</v>
      </c>
      <c r="AZ93" s="72">
        <f t="shared" ca="1" si="64"/>
        <v>0</v>
      </c>
      <c r="BA93" s="72">
        <f t="shared" ca="1" si="78"/>
        <v>0</v>
      </c>
      <c r="BB93" s="75">
        <f t="shared" ca="1" si="65"/>
        <v>0</v>
      </c>
      <c r="BC93" s="209">
        <f t="shared" si="66"/>
        <v>0</v>
      </c>
      <c r="BD93" s="72">
        <f t="shared" si="79"/>
        <v>0</v>
      </c>
      <c r="BE93" s="72">
        <f t="shared" si="80"/>
        <v>0</v>
      </c>
      <c r="BF93" s="72">
        <f t="shared" si="81"/>
        <v>0</v>
      </c>
      <c r="BG93" s="200">
        <f t="shared" ca="1" si="82"/>
        <v>0</v>
      </c>
      <c r="BH93" s="69"/>
      <c r="BI93" s="198">
        <f t="shared" si="18"/>
        <v>0</v>
      </c>
      <c r="BJ93" s="71">
        <f t="shared" si="19"/>
        <v>0</v>
      </c>
      <c r="BK93" s="72">
        <f t="shared" si="83"/>
        <v>0</v>
      </c>
      <c r="BL93" s="72">
        <f t="shared" ca="1" si="84"/>
        <v>0</v>
      </c>
      <c r="BM93" s="200">
        <f t="shared" ca="1" si="67"/>
        <v>0</v>
      </c>
      <c r="BN93" s="69"/>
      <c r="BO93" s="198">
        <f t="shared" si="68"/>
        <v>0</v>
      </c>
      <c r="BP93" s="72">
        <f t="shared" ca="1" si="69"/>
        <v>0</v>
      </c>
      <c r="BQ93" s="78">
        <f t="shared" si="85"/>
        <v>0</v>
      </c>
      <c r="BR93" s="78">
        <f t="shared" si="86"/>
        <v>0</v>
      </c>
      <c r="BS93" s="80">
        <f t="shared" ca="1" si="70"/>
        <v>0</v>
      </c>
      <c r="BT93" s="80">
        <f t="shared" ca="1" si="71"/>
        <v>0</v>
      </c>
      <c r="BU93" s="259" t="str">
        <f t="shared" ca="1" si="87"/>
        <v/>
      </c>
      <c r="BV93" s="206" t="str">
        <f t="shared" ca="1" si="88"/>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row>
    <row r="94" spans="1:116" ht="12.75" hidden="1" customHeight="1">
      <c r="A94" s="5"/>
      <c r="B94" s="327" t="str">
        <f t="shared" si="28"/>
        <v>-</v>
      </c>
      <c r="C94" s="398">
        <v>58</v>
      </c>
      <c r="D94" s="931"/>
      <c r="E94" s="932"/>
      <c r="F94" s="476"/>
      <c r="G94" s="483"/>
      <c r="H94" s="466"/>
      <c r="I94" s="467"/>
      <c r="J94" s="489"/>
      <c r="K94" s="490"/>
      <c r="L94" s="491"/>
      <c r="M94" s="492"/>
      <c r="N94" s="373" t="str">
        <f t="shared" ca="1" si="54"/>
        <v/>
      </c>
      <c r="O94" s="374" t="str">
        <f t="shared" ca="1" si="55"/>
        <v/>
      </c>
      <c r="P94" s="375">
        <f t="shared" ca="1" si="56"/>
        <v>0</v>
      </c>
      <c r="Q94" s="384" t="str">
        <f t="shared" ca="1" si="72"/>
        <v/>
      </c>
      <c r="R94" s="385" t="str">
        <f t="shared" ca="1" si="57"/>
        <v/>
      </c>
      <c r="S94" s="386">
        <f t="shared" ca="1" si="73"/>
        <v>0</v>
      </c>
      <c r="T94" s="387" t="str">
        <f t="shared" ca="1" si="58"/>
        <v/>
      </c>
      <c r="U94" s="5"/>
      <c r="V94" s="6"/>
      <c r="W94" s="4"/>
      <c r="X94" s="4">
        <v>58</v>
      </c>
      <c r="Y94" s="104" t="str">
        <f t="shared" si="74"/>
        <v>-</v>
      </c>
      <c r="Z94" s="104">
        <f t="shared" si="75"/>
        <v>0</v>
      </c>
      <c r="AA94" s="4"/>
      <c r="AB94" s="53">
        <f t="shared" si="76"/>
        <v>0</v>
      </c>
      <c r="AC94" s="54">
        <f>IF(SUM(AB94:AB$116)=0,0,F94&gt;0)</f>
        <v>0</v>
      </c>
      <c r="AD94" s="53">
        <f t="shared" si="77"/>
        <v>0</v>
      </c>
      <c r="AE94" s="54">
        <f>IF(SUM(AB94:AB$116)=0,0,AND(AC94=FALSE,AD94=0,SUM(AD94:AD$116)&gt;0))</f>
        <v>0</v>
      </c>
      <c r="AF94" s="54">
        <f t="shared" si="30"/>
        <v>0</v>
      </c>
      <c r="AG94" s="54">
        <f t="shared" si="31"/>
        <v>0</v>
      </c>
      <c r="AH94" s="56">
        <f t="shared" si="32"/>
        <v>0</v>
      </c>
      <c r="AI94" s="56">
        <f t="shared" si="33"/>
        <v>0</v>
      </c>
      <c r="AJ94" s="54">
        <f t="shared" si="34"/>
        <v>0</v>
      </c>
      <c r="AK94" s="54" t="str">
        <f t="shared" si="35"/>
        <v/>
      </c>
      <c r="AL94" s="54">
        <f t="shared" si="36"/>
        <v>0</v>
      </c>
      <c r="AM94" s="54">
        <f t="shared" si="37"/>
        <v>0</v>
      </c>
      <c r="AN94" s="54">
        <f t="shared" si="38"/>
        <v>0</v>
      </c>
      <c r="AO94" s="54">
        <f t="shared" si="39"/>
        <v>0</v>
      </c>
      <c r="AP94" s="54">
        <f t="shared" si="40"/>
        <v>0</v>
      </c>
      <c r="AQ94" s="54">
        <f t="shared" si="41"/>
        <v>0</v>
      </c>
      <c r="AR94" s="53">
        <f t="shared" si="42"/>
        <v>0</v>
      </c>
      <c r="AS94" s="409" t="str">
        <f t="shared" si="43"/>
        <v/>
      </c>
      <c r="AT94" s="54">
        <f t="shared" si="59"/>
        <v>0</v>
      </c>
      <c r="AU94" s="54">
        <f t="shared" si="60"/>
        <v>0</v>
      </c>
      <c r="AV94" s="54">
        <f t="shared" si="61"/>
        <v>0</v>
      </c>
      <c r="AW94" s="55" t="b">
        <f t="shared" ca="1" si="62"/>
        <v>0</v>
      </c>
      <c r="AX94" s="69"/>
      <c r="AY94" s="203">
        <f t="shared" ca="1" si="63"/>
        <v>0</v>
      </c>
      <c r="AZ94" s="72">
        <f t="shared" ca="1" si="64"/>
        <v>0</v>
      </c>
      <c r="BA94" s="72">
        <f t="shared" ca="1" si="78"/>
        <v>0</v>
      </c>
      <c r="BB94" s="75">
        <f t="shared" ca="1" si="65"/>
        <v>0</v>
      </c>
      <c r="BC94" s="209">
        <f t="shared" si="66"/>
        <v>0</v>
      </c>
      <c r="BD94" s="72">
        <f t="shared" si="79"/>
        <v>0</v>
      </c>
      <c r="BE94" s="72">
        <f t="shared" si="80"/>
        <v>0</v>
      </c>
      <c r="BF94" s="72">
        <f t="shared" si="81"/>
        <v>0</v>
      </c>
      <c r="BG94" s="200">
        <f t="shared" ca="1" si="82"/>
        <v>0</v>
      </c>
      <c r="BH94" s="69"/>
      <c r="BI94" s="198">
        <f t="shared" si="18"/>
        <v>0</v>
      </c>
      <c r="BJ94" s="71">
        <f t="shared" si="19"/>
        <v>0</v>
      </c>
      <c r="BK94" s="72">
        <f t="shared" si="83"/>
        <v>0</v>
      </c>
      <c r="BL94" s="72">
        <f t="shared" ca="1" si="84"/>
        <v>0</v>
      </c>
      <c r="BM94" s="200">
        <f t="shared" ca="1" si="67"/>
        <v>0</v>
      </c>
      <c r="BN94" s="69"/>
      <c r="BO94" s="198">
        <f t="shared" si="68"/>
        <v>0</v>
      </c>
      <c r="BP94" s="72">
        <f t="shared" ca="1" si="69"/>
        <v>0</v>
      </c>
      <c r="BQ94" s="78">
        <f t="shared" si="85"/>
        <v>0</v>
      </c>
      <c r="BR94" s="78">
        <f t="shared" si="86"/>
        <v>0</v>
      </c>
      <c r="BS94" s="80">
        <f t="shared" ca="1" si="70"/>
        <v>0</v>
      </c>
      <c r="BT94" s="80">
        <f t="shared" ca="1" si="71"/>
        <v>0</v>
      </c>
      <c r="BU94" s="259" t="str">
        <f t="shared" ca="1" si="87"/>
        <v/>
      </c>
      <c r="BV94" s="206" t="str">
        <f t="shared" ca="1" si="88"/>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row>
    <row r="95" spans="1:116" ht="12.75" hidden="1" customHeight="1">
      <c r="A95" s="5"/>
      <c r="B95" s="327" t="str">
        <f t="shared" si="28"/>
        <v>-</v>
      </c>
      <c r="C95" s="398">
        <v>59</v>
      </c>
      <c r="D95" s="931"/>
      <c r="E95" s="932"/>
      <c r="F95" s="476"/>
      <c r="G95" s="483"/>
      <c r="H95" s="466"/>
      <c r="I95" s="467"/>
      <c r="J95" s="489"/>
      <c r="K95" s="490"/>
      <c r="L95" s="491"/>
      <c r="M95" s="492"/>
      <c r="N95" s="373" t="str">
        <f t="shared" ca="1" si="54"/>
        <v/>
      </c>
      <c r="O95" s="374" t="str">
        <f t="shared" ca="1" si="55"/>
        <v/>
      </c>
      <c r="P95" s="375">
        <f t="shared" ca="1" si="56"/>
        <v>0</v>
      </c>
      <c r="Q95" s="384" t="str">
        <f t="shared" ca="1" si="72"/>
        <v/>
      </c>
      <c r="R95" s="385" t="str">
        <f t="shared" ca="1" si="57"/>
        <v/>
      </c>
      <c r="S95" s="386">
        <f t="shared" ca="1" si="73"/>
        <v>0</v>
      </c>
      <c r="T95" s="387" t="str">
        <f t="shared" ca="1" si="58"/>
        <v/>
      </c>
      <c r="U95" s="5"/>
      <c r="V95" s="6"/>
      <c r="W95" s="4"/>
      <c r="X95" s="4">
        <v>59</v>
      </c>
      <c r="Y95" s="104" t="str">
        <f t="shared" si="74"/>
        <v>-</v>
      </c>
      <c r="Z95" s="104">
        <f t="shared" si="75"/>
        <v>0</v>
      </c>
      <c r="AA95" s="4"/>
      <c r="AB95" s="53">
        <f t="shared" si="76"/>
        <v>0</v>
      </c>
      <c r="AC95" s="54">
        <f>IF(SUM(AB95:AB$116)=0,0,F95&gt;0)</f>
        <v>0</v>
      </c>
      <c r="AD95" s="53">
        <f t="shared" si="77"/>
        <v>0</v>
      </c>
      <c r="AE95" s="54">
        <f>IF(SUM(AB95:AB$116)=0,0,AND(AC95=FALSE,AD95=0,SUM(AD95:AD$116)&gt;0))</f>
        <v>0</v>
      </c>
      <c r="AF95" s="54">
        <f t="shared" si="30"/>
        <v>0</v>
      </c>
      <c r="AG95" s="54">
        <f t="shared" si="31"/>
        <v>0</v>
      </c>
      <c r="AH95" s="56">
        <f t="shared" si="32"/>
        <v>0</v>
      </c>
      <c r="AI95" s="56">
        <f t="shared" si="33"/>
        <v>0</v>
      </c>
      <c r="AJ95" s="54">
        <f t="shared" si="34"/>
        <v>0</v>
      </c>
      <c r="AK95" s="54" t="str">
        <f t="shared" si="35"/>
        <v/>
      </c>
      <c r="AL95" s="54">
        <f t="shared" si="36"/>
        <v>0</v>
      </c>
      <c r="AM95" s="54">
        <f t="shared" si="37"/>
        <v>0</v>
      </c>
      <c r="AN95" s="54">
        <f t="shared" si="38"/>
        <v>0</v>
      </c>
      <c r="AO95" s="54">
        <f t="shared" si="39"/>
        <v>0</v>
      </c>
      <c r="AP95" s="54">
        <f t="shared" si="40"/>
        <v>0</v>
      </c>
      <c r="AQ95" s="54">
        <f t="shared" si="41"/>
        <v>0</v>
      </c>
      <c r="AR95" s="53">
        <f t="shared" si="42"/>
        <v>0</v>
      </c>
      <c r="AS95" s="409" t="str">
        <f t="shared" si="43"/>
        <v/>
      </c>
      <c r="AT95" s="54">
        <f t="shared" si="59"/>
        <v>0</v>
      </c>
      <c r="AU95" s="54">
        <f t="shared" si="60"/>
        <v>0</v>
      </c>
      <c r="AV95" s="54">
        <f t="shared" si="61"/>
        <v>0</v>
      </c>
      <c r="AW95" s="55" t="b">
        <f t="shared" ca="1" si="62"/>
        <v>0</v>
      </c>
      <c r="AX95" s="69"/>
      <c r="AY95" s="203">
        <f t="shared" ca="1" si="63"/>
        <v>0</v>
      </c>
      <c r="AZ95" s="72">
        <f t="shared" ca="1" si="64"/>
        <v>0</v>
      </c>
      <c r="BA95" s="72">
        <f t="shared" ca="1" si="78"/>
        <v>0</v>
      </c>
      <c r="BB95" s="75">
        <f t="shared" ca="1" si="65"/>
        <v>0</v>
      </c>
      <c r="BC95" s="209">
        <f t="shared" si="66"/>
        <v>0</v>
      </c>
      <c r="BD95" s="72">
        <f t="shared" si="79"/>
        <v>0</v>
      </c>
      <c r="BE95" s="72">
        <f t="shared" si="80"/>
        <v>0</v>
      </c>
      <c r="BF95" s="72">
        <f t="shared" si="81"/>
        <v>0</v>
      </c>
      <c r="BG95" s="200">
        <f t="shared" ca="1" si="82"/>
        <v>0</v>
      </c>
      <c r="BH95" s="69"/>
      <c r="BI95" s="198">
        <f t="shared" si="18"/>
        <v>0</v>
      </c>
      <c r="BJ95" s="71">
        <f t="shared" si="19"/>
        <v>0</v>
      </c>
      <c r="BK95" s="72">
        <f t="shared" si="83"/>
        <v>0</v>
      </c>
      <c r="BL95" s="72">
        <f t="shared" ca="1" si="84"/>
        <v>0</v>
      </c>
      <c r="BM95" s="200">
        <f t="shared" ca="1" si="67"/>
        <v>0</v>
      </c>
      <c r="BN95" s="69"/>
      <c r="BO95" s="198">
        <f t="shared" si="68"/>
        <v>0</v>
      </c>
      <c r="BP95" s="72">
        <f t="shared" ca="1" si="69"/>
        <v>0</v>
      </c>
      <c r="BQ95" s="78">
        <f t="shared" si="85"/>
        <v>0</v>
      </c>
      <c r="BR95" s="78">
        <f t="shared" si="86"/>
        <v>0</v>
      </c>
      <c r="BS95" s="80">
        <f t="shared" ca="1" si="70"/>
        <v>0</v>
      </c>
      <c r="BT95" s="80">
        <f t="shared" ca="1" si="71"/>
        <v>0</v>
      </c>
      <c r="BU95" s="259" t="str">
        <f t="shared" ca="1" si="87"/>
        <v/>
      </c>
      <c r="BV95" s="206" t="str">
        <f t="shared" ca="1" si="88"/>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row>
    <row r="96" spans="1:116" ht="12.75" hidden="1" customHeight="1">
      <c r="A96" s="5"/>
      <c r="B96" s="327" t="str">
        <f t="shared" si="28"/>
        <v>-</v>
      </c>
      <c r="C96" s="398">
        <v>60</v>
      </c>
      <c r="D96" s="931"/>
      <c r="E96" s="932"/>
      <c r="F96" s="476"/>
      <c r="G96" s="483"/>
      <c r="H96" s="466"/>
      <c r="I96" s="467"/>
      <c r="J96" s="489"/>
      <c r="K96" s="490"/>
      <c r="L96" s="491"/>
      <c r="M96" s="492"/>
      <c r="N96" s="373" t="str">
        <f t="shared" ca="1" si="54"/>
        <v/>
      </c>
      <c r="O96" s="374" t="str">
        <f t="shared" ca="1" si="55"/>
        <v/>
      </c>
      <c r="P96" s="375">
        <f t="shared" ca="1" si="56"/>
        <v>0</v>
      </c>
      <c r="Q96" s="384" t="str">
        <f t="shared" ca="1" si="72"/>
        <v/>
      </c>
      <c r="R96" s="385" t="str">
        <f t="shared" ca="1" si="57"/>
        <v/>
      </c>
      <c r="S96" s="386">
        <f t="shared" ca="1" si="73"/>
        <v>0</v>
      </c>
      <c r="T96" s="387" t="str">
        <f t="shared" ca="1" si="58"/>
        <v/>
      </c>
      <c r="U96" s="5"/>
      <c r="V96" s="6"/>
      <c r="W96" s="4"/>
      <c r="X96" s="4">
        <v>60</v>
      </c>
      <c r="Y96" s="104" t="str">
        <f t="shared" si="74"/>
        <v>-</v>
      </c>
      <c r="Z96" s="104">
        <f t="shared" si="75"/>
        <v>0</v>
      </c>
      <c r="AA96" s="4"/>
      <c r="AB96" s="53">
        <f t="shared" si="76"/>
        <v>0</v>
      </c>
      <c r="AC96" s="54">
        <f>IF(SUM(AB96:AB$116)=0,0,F96&gt;0)</f>
        <v>0</v>
      </c>
      <c r="AD96" s="53">
        <f t="shared" si="77"/>
        <v>0</v>
      </c>
      <c r="AE96" s="54">
        <f>IF(SUM(AB96:AB$116)=0,0,AND(AC96=FALSE,AD96=0,SUM(AD96:AD$116)&gt;0))</f>
        <v>0</v>
      </c>
      <c r="AF96" s="54">
        <f t="shared" si="30"/>
        <v>0</v>
      </c>
      <c r="AG96" s="54">
        <f t="shared" si="31"/>
        <v>0</v>
      </c>
      <c r="AH96" s="56">
        <f t="shared" si="32"/>
        <v>0</v>
      </c>
      <c r="AI96" s="56">
        <f t="shared" si="33"/>
        <v>0</v>
      </c>
      <c r="AJ96" s="54">
        <f t="shared" si="34"/>
        <v>0</v>
      </c>
      <c r="AK96" s="54" t="str">
        <f t="shared" si="35"/>
        <v/>
      </c>
      <c r="AL96" s="54">
        <f t="shared" si="36"/>
        <v>0</v>
      </c>
      <c r="AM96" s="54">
        <f t="shared" si="37"/>
        <v>0</v>
      </c>
      <c r="AN96" s="54">
        <f t="shared" si="38"/>
        <v>0</v>
      </c>
      <c r="AO96" s="54">
        <f t="shared" si="39"/>
        <v>0</v>
      </c>
      <c r="AP96" s="54">
        <f t="shared" si="40"/>
        <v>0</v>
      </c>
      <c r="AQ96" s="54">
        <f t="shared" si="41"/>
        <v>0</v>
      </c>
      <c r="AR96" s="53">
        <f t="shared" si="42"/>
        <v>0</v>
      </c>
      <c r="AS96" s="409" t="str">
        <f t="shared" si="43"/>
        <v/>
      </c>
      <c r="AT96" s="54">
        <f t="shared" si="59"/>
        <v>0</v>
      </c>
      <c r="AU96" s="54">
        <f t="shared" si="60"/>
        <v>0</v>
      </c>
      <c r="AV96" s="54">
        <f t="shared" si="61"/>
        <v>0</v>
      </c>
      <c r="AW96" s="55" t="b">
        <f t="shared" ca="1" si="62"/>
        <v>0</v>
      </c>
      <c r="AX96" s="69"/>
      <c r="AY96" s="203">
        <f t="shared" ca="1" si="63"/>
        <v>0</v>
      </c>
      <c r="AZ96" s="72">
        <f t="shared" ca="1" si="64"/>
        <v>0</v>
      </c>
      <c r="BA96" s="72">
        <f t="shared" ca="1" si="78"/>
        <v>0</v>
      </c>
      <c r="BB96" s="75">
        <f t="shared" ca="1" si="65"/>
        <v>0</v>
      </c>
      <c r="BC96" s="209">
        <f t="shared" si="66"/>
        <v>0</v>
      </c>
      <c r="BD96" s="72">
        <f t="shared" si="79"/>
        <v>0</v>
      </c>
      <c r="BE96" s="72">
        <f t="shared" si="80"/>
        <v>0</v>
      </c>
      <c r="BF96" s="72">
        <f t="shared" si="81"/>
        <v>0</v>
      </c>
      <c r="BG96" s="200">
        <f t="shared" ca="1" si="82"/>
        <v>0</v>
      </c>
      <c r="BH96" s="69"/>
      <c r="BI96" s="198">
        <f t="shared" si="18"/>
        <v>0</v>
      </c>
      <c r="BJ96" s="71">
        <f t="shared" si="19"/>
        <v>0</v>
      </c>
      <c r="BK96" s="72">
        <f t="shared" si="83"/>
        <v>0</v>
      </c>
      <c r="BL96" s="72">
        <f t="shared" ca="1" si="84"/>
        <v>0</v>
      </c>
      <c r="BM96" s="200">
        <f t="shared" ca="1" si="67"/>
        <v>0</v>
      </c>
      <c r="BN96" s="69"/>
      <c r="BO96" s="198">
        <f t="shared" si="68"/>
        <v>0</v>
      </c>
      <c r="BP96" s="72">
        <f t="shared" ca="1" si="69"/>
        <v>0</v>
      </c>
      <c r="BQ96" s="78">
        <f t="shared" si="85"/>
        <v>0</v>
      </c>
      <c r="BR96" s="78">
        <f t="shared" si="86"/>
        <v>0</v>
      </c>
      <c r="BS96" s="80">
        <f t="shared" ca="1" si="70"/>
        <v>0</v>
      </c>
      <c r="BT96" s="80">
        <f t="shared" ca="1" si="71"/>
        <v>0</v>
      </c>
      <c r="BU96" s="259" t="str">
        <f t="shared" ca="1" si="87"/>
        <v/>
      </c>
      <c r="BV96" s="206" t="str">
        <f t="shared" ca="1" si="88"/>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row>
    <row r="97" spans="1:116" ht="12.75" hidden="1" customHeight="1">
      <c r="A97" s="5"/>
      <c r="B97" s="327" t="str">
        <f t="shared" si="28"/>
        <v>-</v>
      </c>
      <c r="C97" s="398">
        <v>61</v>
      </c>
      <c r="D97" s="931"/>
      <c r="E97" s="932"/>
      <c r="F97" s="476"/>
      <c r="G97" s="483"/>
      <c r="H97" s="466"/>
      <c r="I97" s="467"/>
      <c r="J97" s="489"/>
      <c r="K97" s="490"/>
      <c r="L97" s="491"/>
      <c r="M97" s="492"/>
      <c r="N97" s="373" t="str">
        <f t="shared" ca="1" si="54"/>
        <v/>
      </c>
      <c r="O97" s="374" t="str">
        <f t="shared" ca="1" si="55"/>
        <v/>
      </c>
      <c r="P97" s="375">
        <f t="shared" ca="1" si="56"/>
        <v>0</v>
      </c>
      <c r="Q97" s="384" t="str">
        <f t="shared" ca="1" si="72"/>
        <v/>
      </c>
      <c r="R97" s="385" t="str">
        <f t="shared" ca="1" si="57"/>
        <v/>
      </c>
      <c r="S97" s="386">
        <f t="shared" ca="1" si="73"/>
        <v>0</v>
      </c>
      <c r="T97" s="387" t="str">
        <f t="shared" ca="1" si="58"/>
        <v/>
      </c>
      <c r="U97" s="5"/>
      <c r="V97" s="6"/>
      <c r="W97" s="4"/>
      <c r="X97" s="4">
        <v>61</v>
      </c>
      <c r="Y97" s="104" t="str">
        <f t="shared" si="74"/>
        <v>-</v>
      </c>
      <c r="Z97" s="104">
        <f t="shared" si="75"/>
        <v>0</v>
      </c>
      <c r="AA97" s="4"/>
      <c r="AB97" s="53">
        <f t="shared" si="76"/>
        <v>0</v>
      </c>
      <c r="AC97" s="54">
        <f>IF(SUM(AB97:AB$116)=0,0,F97&gt;0)</f>
        <v>0</v>
      </c>
      <c r="AD97" s="53">
        <f t="shared" si="77"/>
        <v>0</v>
      </c>
      <c r="AE97" s="54">
        <f>IF(SUM(AB97:AB$116)=0,0,AND(AC97=FALSE,AD97=0,SUM(AD97:AD$116)&gt;0))</f>
        <v>0</v>
      </c>
      <c r="AF97" s="54">
        <f t="shared" si="30"/>
        <v>0</v>
      </c>
      <c r="AG97" s="54">
        <f t="shared" si="31"/>
        <v>0</v>
      </c>
      <c r="AH97" s="56">
        <f t="shared" si="32"/>
        <v>0</v>
      </c>
      <c r="AI97" s="56">
        <f t="shared" si="33"/>
        <v>0</v>
      </c>
      <c r="AJ97" s="54">
        <f t="shared" si="34"/>
        <v>0</v>
      </c>
      <c r="AK97" s="54" t="str">
        <f t="shared" si="35"/>
        <v/>
      </c>
      <c r="AL97" s="54">
        <f t="shared" si="36"/>
        <v>0</v>
      </c>
      <c r="AM97" s="54">
        <f t="shared" si="37"/>
        <v>0</v>
      </c>
      <c r="AN97" s="54">
        <f t="shared" si="38"/>
        <v>0</v>
      </c>
      <c r="AO97" s="54">
        <f t="shared" si="39"/>
        <v>0</v>
      </c>
      <c r="AP97" s="54">
        <f t="shared" si="40"/>
        <v>0</v>
      </c>
      <c r="AQ97" s="54">
        <f t="shared" si="41"/>
        <v>0</v>
      </c>
      <c r="AR97" s="53">
        <f t="shared" si="42"/>
        <v>0</v>
      </c>
      <c r="AS97" s="409" t="str">
        <f t="shared" si="43"/>
        <v/>
      </c>
      <c r="AT97" s="54">
        <f t="shared" si="59"/>
        <v>0</v>
      </c>
      <c r="AU97" s="54">
        <f t="shared" si="60"/>
        <v>0</v>
      </c>
      <c r="AV97" s="54">
        <f t="shared" si="61"/>
        <v>0</v>
      </c>
      <c r="AW97" s="55" t="b">
        <f t="shared" ca="1" si="62"/>
        <v>0</v>
      </c>
      <c r="AX97" s="69"/>
      <c r="AY97" s="203">
        <f t="shared" ca="1" si="63"/>
        <v>0</v>
      </c>
      <c r="AZ97" s="72">
        <f t="shared" ca="1" si="64"/>
        <v>0</v>
      </c>
      <c r="BA97" s="72">
        <f t="shared" ca="1" si="78"/>
        <v>0</v>
      </c>
      <c r="BB97" s="75">
        <f t="shared" ca="1" si="65"/>
        <v>0</v>
      </c>
      <c r="BC97" s="209">
        <f t="shared" si="66"/>
        <v>0</v>
      </c>
      <c r="BD97" s="72">
        <f t="shared" si="79"/>
        <v>0</v>
      </c>
      <c r="BE97" s="72">
        <f t="shared" si="80"/>
        <v>0</v>
      </c>
      <c r="BF97" s="72">
        <f t="shared" si="81"/>
        <v>0</v>
      </c>
      <c r="BG97" s="200">
        <f t="shared" ca="1" si="82"/>
        <v>0</v>
      </c>
      <c r="BH97" s="69"/>
      <c r="BI97" s="198">
        <f t="shared" si="18"/>
        <v>0</v>
      </c>
      <c r="BJ97" s="71">
        <f t="shared" si="19"/>
        <v>0</v>
      </c>
      <c r="BK97" s="72">
        <f t="shared" si="83"/>
        <v>0</v>
      </c>
      <c r="BL97" s="72">
        <f t="shared" ca="1" si="84"/>
        <v>0</v>
      </c>
      <c r="BM97" s="200">
        <f t="shared" ca="1" si="67"/>
        <v>0</v>
      </c>
      <c r="BN97" s="69"/>
      <c r="BO97" s="198">
        <f t="shared" si="68"/>
        <v>0</v>
      </c>
      <c r="BP97" s="72">
        <f t="shared" ca="1" si="69"/>
        <v>0</v>
      </c>
      <c r="BQ97" s="78">
        <f t="shared" si="85"/>
        <v>0</v>
      </c>
      <c r="BR97" s="78">
        <f t="shared" si="86"/>
        <v>0</v>
      </c>
      <c r="BS97" s="80">
        <f t="shared" ca="1" si="70"/>
        <v>0</v>
      </c>
      <c r="BT97" s="80">
        <f t="shared" ca="1" si="71"/>
        <v>0</v>
      </c>
      <c r="BU97" s="259" t="str">
        <f t="shared" ca="1" si="87"/>
        <v/>
      </c>
      <c r="BV97" s="206" t="str">
        <f t="shared" ca="1" si="88"/>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row>
    <row r="98" spans="1:116" ht="12.75" hidden="1" customHeight="1">
      <c r="A98" s="5"/>
      <c r="B98" s="327" t="str">
        <f t="shared" si="28"/>
        <v>-</v>
      </c>
      <c r="C98" s="398">
        <v>62</v>
      </c>
      <c r="D98" s="931"/>
      <c r="E98" s="932"/>
      <c r="F98" s="476"/>
      <c r="G98" s="483"/>
      <c r="H98" s="466"/>
      <c r="I98" s="467"/>
      <c r="J98" s="489"/>
      <c r="K98" s="490"/>
      <c r="L98" s="491"/>
      <c r="M98" s="492"/>
      <c r="N98" s="373" t="str">
        <f t="shared" ca="1" si="54"/>
        <v/>
      </c>
      <c r="O98" s="374" t="str">
        <f t="shared" ca="1" si="55"/>
        <v/>
      </c>
      <c r="P98" s="375">
        <f t="shared" ca="1" si="56"/>
        <v>0</v>
      </c>
      <c r="Q98" s="384" t="str">
        <f t="shared" ca="1" si="72"/>
        <v/>
      </c>
      <c r="R98" s="385" t="str">
        <f t="shared" ca="1" si="57"/>
        <v/>
      </c>
      <c r="S98" s="386">
        <f t="shared" ca="1" si="73"/>
        <v>0</v>
      </c>
      <c r="T98" s="387" t="str">
        <f t="shared" ca="1" si="58"/>
        <v/>
      </c>
      <c r="U98" s="5"/>
      <c r="V98" s="6"/>
      <c r="W98" s="4"/>
      <c r="X98" s="4">
        <v>62</v>
      </c>
      <c r="Y98" s="104" t="str">
        <f t="shared" si="74"/>
        <v>-</v>
      </c>
      <c r="Z98" s="104">
        <f t="shared" si="75"/>
        <v>0</v>
      </c>
      <c r="AA98" s="4"/>
      <c r="AB98" s="53">
        <f t="shared" si="76"/>
        <v>0</v>
      </c>
      <c r="AC98" s="54">
        <f>IF(SUM(AB98:AB$116)=0,0,F98&gt;0)</f>
        <v>0</v>
      </c>
      <c r="AD98" s="53">
        <f t="shared" si="77"/>
        <v>0</v>
      </c>
      <c r="AE98" s="54">
        <f>IF(SUM(AB98:AB$116)=0,0,AND(AC98=FALSE,AD98=0,SUM(AD98:AD$116)&gt;0))</f>
        <v>0</v>
      </c>
      <c r="AF98" s="54">
        <f t="shared" si="30"/>
        <v>0</v>
      </c>
      <c r="AG98" s="54">
        <f t="shared" si="31"/>
        <v>0</v>
      </c>
      <c r="AH98" s="56">
        <f t="shared" si="32"/>
        <v>0</v>
      </c>
      <c r="AI98" s="56">
        <f t="shared" si="33"/>
        <v>0</v>
      </c>
      <c r="AJ98" s="54">
        <f t="shared" si="34"/>
        <v>0</v>
      </c>
      <c r="AK98" s="54" t="str">
        <f t="shared" si="35"/>
        <v/>
      </c>
      <c r="AL98" s="54">
        <f t="shared" si="36"/>
        <v>0</v>
      </c>
      <c r="AM98" s="54">
        <f t="shared" si="37"/>
        <v>0</v>
      </c>
      <c r="AN98" s="54">
        <f t="shared" si="38"/>
        <v>0</v>
      </c>
      <c r="AO98" s="54">
        <f t="shared" si="39"/>
        <v>0</v>
      </c>
      <c r="AP98" s="54">
        <f t="shared" si="40"/>
        <v>0</v>
      </c>
      <c r="AQ98" s="54">
        <f t="shared" si="41"/>
        <v>0</v>
      </c>
      <c r="AR98" s="53">
        <f t="shared" si="42"/>
        <v>0</v>
      </c>
      <c r="AS98" s="409" t="str">
        <f t="shared" si="43"/>
        <v/>
      </c>
      <c r="AT98" s="54">
        <f t="shared" si="59"/>
        <v>0</v>
      </c>
      <c r="AU98" s="54">
        <f t="shared" si="60"/>
        <v>0</v>
      </c>
      <c r="AV98" s="54">
        <f t="shared" si="61"/>
        <v>0</v>
      </c>
      <c r="AW98" s="55" t="b">
        <f t="shared" ca="1" si="62"/>
        <v>0</v>
      </c>
      <c r="AX98" s="69"/>
      <c r="AY98" s="203">
        <f t="shared" ca="1" si="63"/>
        <v>0</v>
      </c>
      <c r="AZ98" s="72">
        <f t="shared" ca="1" si="64"/>
        <v>0</v>
      </c>
      <c r="BA98" s="72">
        <f t="shared" ca="1" si="78"/>
        <v>0</v>
      </c>
      <c r="BB98" s="75">
        <f t="shared" ca="1" si="65"/>
        <v>0</v>
      </c>
      <c r="BC98" s="209">
        <f t="shared" si="66"/>
        <v>0</v>
      </c>
      <c r="BD98" s="72">
        <f t="shared" si="79"/>
        <v>0</v>
      </c>
      <c r="BE98" s="72">
        <f t="shared" si="80"/>
        <v>0</v>
      </c>
      <c r="BF98" s="72">
        <f t="shared" si="81"/>
        <v>0</v>
      </c>
      <c r="BG98" s="200">
        <f t="shared" ca="1" si="82"/>
        <v>0</v>
      </c>
      <c r="BH98" s="69"/>
      <c r="BI98" s="198">
        <f t="shared" si="18"/>
        <v>0</v>
      </c>
      <c r="BJ98" s="71">
        <f t="shared" si="19"/>
        <v>0</v>
      </c>
      <c r="BK98" s="72">
        <f t="shared" si="83"/>
        <v>0</v>
      </c>
      <c r="BL98" s="72">
        <f t="shared" ca="1" si="84"/>
        <v>0</v>
      </c>
      <c r="BM98" s="200">
        <f t="shared" ca="1" si="67"/>
        <v>0</v>
      </c>
      <c r="BN98" s="69"/>
      <c r="BO98" s="198">
        <f t="shared" si="68"/>
        <v>0</v>
      </c>
      <c r="BP98" s="72">
        <f t="shared" ca="1" si="69"/>
        <v>0</v>
      </c>
      <c r="BQ98" s="78">
        <f t="shared" si="85"/>
        <v>0</v>
      </c>
      <c r="BR98" s="78">
        <f t="shared" si="86"/>
        <v>0</v>
      </c>
      <c r="BS98" s="80">
        <f t="shared" ca="1" si="70"/>
        <v>0</v>
      </c>
      <c r="BT98" s="80">
        <f t="shared" ca="1" si="71"/>
        <v>0</v>
      </c>
      <c r="BU98" s="259" t="str">
        <f t="shared" ca="1" si="87"/>
        <v/>
      </c>
      <c r="BV98" s="206" t="str">
        <f t="shared" ca="1" si="88"/>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row>
    <row r="99" spans="1:116" ht="12.75" hidden="1" customHeight="1">
      <c r="A99" s="5"/>
      <c r="B99" s="327" t="str">
        <f t="shared" si="28"/>
        <v>-</v>
      </c>
      <c r="C99" s="398">
        <v>63</v>
      </c>
      <c r="D99" s="931"/>
      <c r="E99" s="932"/>
      <c r="F99" s="476"/>
      <c r="G99" s="483"/>
      <c r="H99" s="466"/>
      <c r="I99" s="467"/>
      <c r="J99" s="489"/>
      <c r="K99" s="490"/>
      <c r="L99" s="491"/>
      <c r="M99" s="492"/>
      <c r="N99" s="373" t="str">
        <f t="shared" ca="1" si="54"/>
        <v/>
      </c>
      <c r="O99" s="374" t="str">
        <f t="shared" ca="1" si="55"/>
        <v/>
      </c>
      <c r="P99" s="375">
        <f t="shared" ca="1" si="56"/>
        <v>0</v>
      </c>
      <c r="Q99" s="384" t="str">
        <f t="shared" ca="1" si="72"/>
        <v/>
      </c>
      <c r="R99" s="385" t="str">
        <f t="shared" ca="1" si="57"/>
        <v/>
      </c>
      <c r="S99" s="386">
        <f t="shared" ca="1" si="73"/>
        <v>0</v>
      </c>
      <c r="T99" s="387" t="str">
        <f t="shared" ca="1" si="58"/>
        <v/>
      </c>
      <c r="U99" s="5"/>
      <c r="V99" s="6"/>
      <c r="W99" s="4"/>
      <c r="X99" s="4">
        <v>63</v>
      </c>
      <c r="Y99" s="104" t="str">
        <f t="shared" si="74"/>
        <v>-</v>
      </c>
      <c r="Z99" s="104">
        <f t="shared" si="75"/>
        <v>0</v>
      </c>
      <c r="AA99" s="4"/>
      <c r="AB99" s="53">
        <f t="shared" si="76"/>
        <v>0</v>
      </c>
      <c r="AC99" s="54">
        <f>IF(SUM(AB99:AB$116)=0,0,F99&gt;0)</f>
        <v>0</v>
      </c>
      <c r="AD99" s="53">
        <f t="shared" si="77"/>
        <v>0</v>
      </c>
      <c r="AE99" s="54">
        <f>IF(SUM(AB99:AB$116)=0,0,AND(AC99=FALSE,AD99=0,SUM(AD99:AD$116)&gt;0))</f>
        <v>0</v>
      </c>
      <c r="AF99" s="54">
        <f t="shared" si="30"/>
        <v>0</v>
      </c>
      <c r="AG99" s="54">
        <f t="shared" si="31"/>
        <v>0</v>
      </c>
      <c r="AH99" s="56">
        <f t="shared" si="32"/>
        <v>0</v>
      </c>
      <c r="AI99" s="56">
        <f t="shared" si="33"/>
        <v>0</v>
      </c>
      <c r="AJ99" s="54">
        <f t="shared" si="34"/>
        <v>0</v>
      </c>
      <c r="AK99" s="54" t="str">
        <f t="shared" si="35"/>
        <v/>
      </c>
      <c r="AL99" s="54">
        <f t="shared" si="36"/>
        <v>0</v>
      </c>
      <c r="AM99" s="54">
        <f t="shared" si="37"/>
        <v>0</v>
      </c>
      <c r="AN99" s="54">
        <f t="shared" si="38"/>
        <v>0</v>
      </c>
      <c r="AO99" s="54">
        <f t="shared" si="39"/>
        <v>0</v>
      </c>
      <c r="AP99" s="54">
        <f t="shared" si="40"/>
        <v>0</v>
      </c>
      <c r="AQ99" s="54">
        <f t="shared" si="41"/>
        <v>0</v>
      </c>
      <c r="AR99" s="53">
        <f t="shared" si="42"/>
        <v>0</v>
      </c>
      <c r="AS99" s="409" t="str">
        <f t="shared" si="43"/>
        <v/>
      </c>
      <c r="AT99" s="54">
        <f t="shared" si="59"/>
        <v>0</v>
      </c>
      <c r="AU99" s="54">
        <f t="shared" si="60"/>
        <v>0</v>
      </c>
      <c r="AV99" s="54">
        <f t="shared" si="61"/>
        <v>0</v>
      </c>
      <c r="AW99" s="55" t="b">
        <f t="shared" ca="1" si="62"/>
        <v>0</v>
      </c>
      <c r="AX99" s="69"/>
      <c r="AY99" s="203">
        <f t="shared" ca="1" si="63"/>
        <v>0</v>
      </c>
      <c r="AZ99" s="72">
        <f t="shared" ca="1" si="64"/>
        <v>0</v>
      </c>
      <c r="BA99" s="72">
        <f t="shared" ca="1" si="78"/>
        <v>0</v>
      </c>
      <c r="BB99" s="75">
        <f t="shared" ca="1" si="65"/>
        <v>0</v>
      </c>
      <c r="BC99" s="209">
        <f t="shared" si="66"/>
        <v>0</v>
      </c>
      <c r="BD99" s="72">
        <f t="shared" si="79"/>
        <v>0</v>
      </c>
      <c r="BE99" s="72">
        <f t="shared" si="80"/>
        <v>0</v>
      </c>
      <c r="BF99" s="72">
        <f t="shared" si="81"/>
        <v>0</v>
      </c>
      <c r="BG99" s="200">
        <f t="shared" ca="1" si="82"/>
        <v>0</v>
      </c>
      <c r="BH99" s="69"/>
      <c r="BI99" s="198">
        <f t="shared" si="18"/>
        <v>0</v>
      </c>
      <c r="BJ99" s="71">
        <f t="shared" si="19"/>
        <v>0</v>
      </c>
      <c r="BK99" s="72">
        <f t="shared" si="83"/>
        <v>0</v>
      </c>
      <c r="BL99" s="72">
        <f t="shared" ca="1" si="84"/>
        <v>0</v>
      </c>
      <c r="BM99" s="200">
        <f t="shared" ca="1" si="67"/>
        <v>0</v>
      </c>
      <c r="BN99" s="69"/>
      <c r="BO99" s="198">
        <f t="shared" si="68"/>
        <v>0</v>
      </c>
      <c r="BP99" s="72">
        <f t="shared" ca="1" si="69"/>
        <v>0</v>
      </c>
      <c r="BQ99" s="78">
        <f t="shared" si="85"/>
        <v>0</v>
      </c>
      <c r="BR99" s="78">
        <f t="shared" si="86"/>
        <v>0</v>
      </c>
      <c r="BS99" s="80">
        <f t="shared" ca="1" si="70"/>
        <v>0</v>
      </c>
      <c r="BT99" s="80">
        <f t="shared" ca="1" si="71"/>
        <v>0</v>
      </c>
      <c r="BU99" s="259" t="str">
        <f t="shared" ca="1" si="87"/>
        <v/>
      </c>
      <c r="BV99" s="206" t="str">
        <f t="shared" ca="1" si="88"/>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row>
    <row r="100" spans="1:116" ht="12.75" hidden="1" customHeight="1">
      <c r="A100" s="5"/>
      <c r="B100" s="327" t="str">
        <f t="shared" si="28"/>
        <v>-</v>
      </c>
      <c r="C100" s="398">
        <v>64</v>
      </c>
      <c r="D100" s="931"/>
      <c r="E100" s="932"/>
      <c r="F100" s="476"/>
      <c r="G100" s="483"/>
      <c r="H100" s="466"/>
      <c r="I100" s="467"/>
      <c r="J100" s="489"/>
      <c r="K100" s="490"/>
      <c r="L100" s="491"/>
      <c r="M100" s="492"/>
      <c r="N100" s="373" t="str">
        <f t="shared" ca="1" si="54"/>
        <v/>
      </c>
      <c r="O100" s="374" t="str">
        <f t="shared" ca="1" si="55"/>
        <v/>
      </c>
      <c r="P100" s="375">
        <f t="shared" ca="1" si="56"/>
        <v>0</v>
      </c>
      <c r="Q100" s="384" t="str">
        <f t="shared" ca="1" si="72"/>
        <v/>
      </c>
      <c r="R100" s="385" t="str">
        <f t="shared" ca="1" si="57"/>
        <v/>
      </c>
      <c r="S100" s="386">
        <f t="shared" ca="1" si="73"/>
        <v>0</v>
      </c>
      <c r="T100" s="387" t="str">
        <f t="shared" ca="1" si="58"/>
        <v/>
      </c>
      <c r="U100" s="5"/>
      <c r="V100" s="6"/>
      <c r="W100" s="4"/>
      <c r="X100" s="4">
        <v>64</v>
      </c>
      <c r="Y100" s="104" t="str">
        <f t="shared" si="74"/>
        <v>-</v>
      </c>
      <c r="Z100" s="104">
        <f t="shared" si="75"/>
        <v>0</v>
      </c>
      <c r="AA100" s="4"/>
      <c r="AB100" s="53">
        <f t="shared" si="76"/>
        <v>0</v>
      </c>
      <c r="AC100" s="54">
        <f>IF(SUM(AB100:AB$116)=0,0,F100&gt;0)</f>
        <v>0</v>
      </c>
      <c r="AD100" s="53">
        <f t="shared" si="77"/>
        <v>0</v>
      </c>
      <c r="AE100" s="54">
        <f>IF(SUM(AB100:AB$116)=0,0,AND(AC100=FALSE,AD100=0,SUM(AD100:AD$116)&gt;0))</f>
        <v>0</v>
      </c>
      <c r="AF100" s="54">
        <f t="shared" si="30"/>
        <v>0</v>
      </c>
      <c r="AG100" s="54">
        <f t="shared" si="31"/>
        <v>0</v>
      </c>
      <c r="AH100" s="56">
        <f t="shared" si="32"/>
        <v>0</v>
      </c>
      <c r="AI100" s="56">
        <f t="shared" si="33"/>
        <v>0</v>
      </c>
      <c r="AJ100" s="54">
        <f t="shared" si="34"/>
        <v>0</v>
      </c>
      <c r="AK100" s="54" t="str">
        <f t="shared" si="35"/>
        <v/>
      </c>
      <c r="AL100" s="54">
        <f t="shared" si="36"/>
        <v>0</v>
      </c>
      <c r="AM100" s="54">
        <f t="shared" si="37"/>
        <v>0</v>
      </c>
      <c r="AN100" s="54">
        <f t="shared" si="38"/>
        <v>0</v>
      </c>
      <c r="AO100" s="54">
        <f t="shared" si="39"/>
        <v>0</v>
      </c>
      <c r="AP100" s="54">
        <f t="shared" si="40"/>
        <v>0</v>
      </c>
      <c r="AQ100" s="54">
        <f t="shared" si="41"/>
        <v>0</v>
      </c>
      <c r="AR100" s="53">
        <f t="shared" si="42"/>
        <v>0</v>
      </c>
      <c r="AS100" s="409" t="str">
        <f t="shared" si="43"/>
        <v/>
      </c>
      <c r="AT100" s="54">
        <f t="shared" si="59"/>
        <v>0</v>
      </c>
      <c r="AU100" s="54">
        <f t="shared" si="60"/>
        <v>0</v>
      </c>
      <c r="AV100" s="54">
        <f t="shared" si="61"/>
        <v>0</v>
      </c>
      <c r="AW100" s="55" t="b">
        <f t="shared" ca="1" si="62"/>
        <v>0</v>
      </c>
      <c r="AX100" s="69"/>
      <c r="AY100" s="203">
        <f t="shared" ca="1" si="63"/>
        <v>0</v>
      </c>
      <c r="AZ100" s="72">
        <f t="shared" ca="1" si="64"/>
        <v>0</v>
      </c>
      <c r="BA100" s="72">
        <f t="shared" ca="1" si="78"/>
        <v>0</v>
      </c>
      <c r="BB100" s="75">
        <f t="shared" ca="1" si="65"/>
        <v>0</v>
      </c>
      <c r="BC100" s="209">
        <f t="shared" si="66"/>
        <v>0</v>
      </c>
      <c r="BD100" s="72">
        <f t="shared" si="79"/>
        <v>0</v>
      </c>
      <c r="BE100" s="72">
        <f t="shared" si="80"/>
        <v>0</v>
      </c>
      <c r="BF100" s="72">
        <f t="shared" si="81"/>
        <v>0</v>
      </c>
      <c r="BG100" s="200">
        <f t="shared" ca="1" si="82"/>
        <v>0</v>
      </c>
      <c r="BH100" s="69"/>
      <c r="BI100" s="198">
        <f t="shared" si="18"/>
        <v>0</v>
      </c>
      <c r="BJ100" s="71">
        <f t="shared" si="19"/>
        <v>0</v>
      </c>
      <c r="BK100" s="72">
        <f t="shared" si="83"/>
        <v>0</v>
      </c>
      <c r="BL100" s="72">
        <f t="shared" ca="1" si="84"/>
        <v>0</v>
      </c>
      <c r="BM100" s="200">
        <f t="shared" ca="1" si="67"/>
        <v>0</v>
      </c>
      <c r="BN100" s="69"/>
      <c r="BO100" s="198">
        <f t="shared" si="68"/>
        <v>0</v>
      </c>
      <c r="BP100" s="72">
        <f t="shared" ca="1" si="69"/>
        <v>0</v>
      </c>
      <c r="BQ100" s="78">
        <f t="shared" si="85"/>
        <v>0</v>
      </c>
      <c r="BR100" s="78">
        <f t="shared" si="86"/>
        <v>0</v>
      </c>
      <c r="BS100" s="80">
        <f t="shared" ca="1" si="70"/>
        <v>0</v>
      </c>
      <c r="BT100" s="80">
        <f t="shared" ca="1" si="71"/>
        <v>0</v>
      </c>
      <c r="BU100" s="259" t="str">
        <f t="shared" ca="1" si="87"/>
        <v/>
      </c>
      <c r="BV100" s="206" t="str">
        <f t="shared" ca="1" si="88"/>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row>
    <row r="101" spans="1:116" ht="12.75" hidden="1" customHeight="1">
      <c r="A101" s="5"/>
      <c r="B101" s="327" t="str">
        <f t="shared" si="28"/>
        <v>-</v>
      </c>
      <c r="C101" s="398">
        <v>65</v>
      </c>
      <c r="D101" s="931"/>
      <c r="E101" s="932"/>
      <c r="F101" s="476"/>
      <c r="G101" s="483"/>
      <c r="H101" s="466"/>
      <c r="I101" s="467"/>
      <c r="J101" s="489"/>
      <c r="K101" s="490"/>
      <c r="L101" s="491"/>
      <c r="M101" s="492"/>
      <c r="N101" s="373" t="str">
        <f t="shared" ref="N101:N116" ca="1" si="89">IF(AND(AP101=TRUE,AQ101=TRUE,InputIssues=0),IF(L101="device",2,IF(AT101=FALSE,1,0.5)*L101/M101),"")</f>
        <v/>
      </c>
      <c r="O101" s="374" t="str">
        <f t="shared" ref="O101:O116" ca="1" si="90">IF(AND(AP101=TRUE,InputIssues=0),IF(O$36=F$182,BG101,IF(O$36=G$182,BL101,BL101/BG101)),"")</f>
        <v/>
      </c>
      <c r="P101" s="375">
        <f t="shared" ref="P101:P116" ca="1" si="91">IF(InputIssues=0,MAX(G101*H101,I101),0)</f>
        <v>0</v>
      </c>
      <c r="Q101" s="384" t="str">
        <f t="shared" ca="1" si="72"/>
        <v/>
      </c>
      <c r="R101" s="385" t="str">
        <f t="shared" ref="R101:R116" ca="1" si="92">IF(AllInputsOK=FALSE,"",BU101)</f>
        <v/>
      </c>
      <c r="S101" s="386">
        <f t="shared" ca="1" si="73"/>
        <v>0</v>
      </c>
      <c r="T101" s="387" t="str">
        <f t="shared" ref="T101:T116" ca="1" si="93">IF(AllInputsOK=FALSE,"",BV101)</f>
        <v/>
      </c>
      <c r="U101" s="5"/>
      <c r="V101" s="6"/>
      <c r="W101" s="4"/>
      <c r="X101" s="4">
        <v>65</v>
      </c>
      <c r="Y101" s="104" t="str">
        <f t="shared" si="74"/>
        <v>-</v>
      </c>
      <c r="Z101" s="104">
        <f t="shared" si="75"/>
        <v>0</v>
      </c>
      <c r="AA101" s="4"/>
      <c r="AB101" s="53">
        <f t="shared" si="76"/>
        <v>0</v>
      </c>
      <c r="AC101" s="54">
        <f>IF(SUM(AB101:AB$116)=0,0,F101&gt;0)</f>
        <v>0</v>
      </c>
      <c r="AD101" s="53">
        <f t="shared" si="77"/>
        <v>0</v>
      </c>
      <c r="AE101" s="54">
        <f>IF(SUM(AB101:AB$116)=0,0,AND(AC101=FALSE,AD101=0,SUM(AD101:AD$116)&gt;0))</f>
        <v>0</v>
      </c>
      <c r="AF101" s="54">
        <f t="shared" si="30"/>
        <v>0</v>
      </c>
      <c r="AG101" s="54">
        <f t="shared" si="31"/>
        <v>0</v>
      </c>
      <c r="AH101" s="56">
        <f t="shared" si="32"/>
        <v>0</v>
      </c>
      <c r="AI101" s="56">
        <f t="shared" si="33"/>
        <v>0</v>
      </c>
      <c r="AJ101" s="54">
        <f t="shared" si="34"/>
        <v>0</v>
      </c>
      <c r="AK101" s="54" t="str">
        <f t="shared" si="35"/>
        <v/>
      </c>
      <c r="AL101" s="54">
        <f t="shared" si="36"/>
        <v>0</v>
      </c>
      <c r="AM101" s="54">
        <f t="shared" si="37"/>
        <v>0</v>
      </c>
      <c r="AN101" s="54">
        <f t="shared" si="38"/>
        <v>0</v>
      </c>
      <c r="AO101" s="54">
        <f t="shared" si="39"/>
        <v>0</v>
      </c>
      <c r="AP101" s="54">
        <f t="shared" si="40"/>
        <v>0</v>
      </c>
      <c r="AQ101" s="54">
        <f t="shared" si="41"/>
        <v>0</v>
      </c>
      <c r="AR101" s="53">
        <f t="shared" si="42"/>
        <v>0</v>
      </c>
      <c r="AS101" s="409" t="str">
        <f t="shared" si="43"/>
        <v/>
      </c>
      <c r="AT101" s="54">
        <f t="shared" ref="AT101:AT116" si="94">IF(AB101=0,0,AND(G101&gt;0,M101-G101&gt;0.5))</f>
        <v>0</v>
      </c>
      <c r="AU101" s="54">
        <f t="shared" ref="AU101:AU116" si="95">IF(AB101=0,0,AND(ISNUMBER(N101),N101&gt;2))</f>
        <v>0</v>
      </c>
      <c r="AV101" s="54">
        <f t="shared" ref="AV101:AV116" si="96">IF(AB101=0,0,AND(AC101=TRUE,COUNT(G101:I101)=3,G101*H101&lt;&gt;I101))</f>
        <v>0</v>
      </c>
      <c r="AW101" s="55" t="b">
        <f t="shared" ref="AW101:AW116" ca="1" si="97">AND(UpperInputsAlerts=0,DudTableInputs=0,COUNTIF(BS101:BT101,TRUE)&lt;&gt;0)</f>
        <v>0</v>
      </c>
      <c r="AX101" s="69"/>
      <c r="AY101" s="203">
        <f t="shared" ref="AY101:AY116" ca="1" si="98">IF(N101="",0,INDEX(Projections,MATCH(N101,Projections,1),1))</f>
        <v>0</v>
      </c>
      <c r="AZ101" s="72">
        <f t="shared" ref="AZ101:AZ116" ca="1" si="99">IF(N101="",0,IF(AY101=2,2,INDEX(Projections,MATCH(N101,Projections,1)+1,1)))</f>
        <v>0</v>
      </c>
      <c r="BA101" s="72">
        <f t="shared" ca="1" si="78"/>
        <v>0</v>
      </c>
      <c r="BB101" s="75">
        <f t="shared" ref="BB101:BB116" ca="1" si="100">IF(OR(N101="",BA101=0),0,(N101-AY101)/BA101)</f>
        <v>0</v>
      </c>
      <c r="BC101" s="209">
        <f t="shared" ref="BC101:BC116" si="101">IF(OR(AB101=0,AP101&lt;&gt;TRUE),0,F101)</f>
        <v>0</v>
      </c>
      <c r="BD101" s="72">
        <f t="shared" si="79"/>
        <v>0</v>
      </c>
      <c r="BE101" s="72">
        <f t="shared" si="80"/>
        <v>0</v>
      </c>
      <c r="BF101" s="72">
        <f t="shared" si="81"/>
        <v>0</v>
      </c>
      <c r="BG101" s="200">
        <f t="shared" ca="1" si="82"/>
        <v>0</v>
      </c>
      <c r="BH101" s="69"/>
      <c r="BI101" s="198">
        <f t="shared" si="18"/>
        <v>0</v>
      </c>
      <c r="BJ101" s="71">
        <f t="shared" si="19"/>
        <v>0</v>
      </c>
      <c r="BK101" s="72">
        <f t="shared" si="83"/>
        <v>0</v>
      </c>
      <c r="BL101" s="72">
        <f t="shared" ca="1" si="84"/>
        <v>0</v>
      </c>
      <c r="BM101" s="200">
        <f t="shared" ref="BM101:BM116" ca="1" si="102">P101*K101*BL101</f>
        <v>0</v>
      </c>
      <c r="BN101" s="69"/>
      <c r="BO101" s="198">
        <f t="shared" ref="BO101:BO116" si="103">IF(AP101=TRUE,IF(P101="",0,P101)*J101,0)</f>
        <v>0</v>
      </c>
      <c r="BP101" s="72">
        <f t="shared" ref="BP101:BP116" ca="1" si="104">K101*IF(P101="",0,P101)*BG101</f>
        <v>0</v>
      </c>
      <c r="BQ101" s="78">
        <f t="shared" si="85"/>
        <v>0</v>
      </c>
      <c r="BR101" s="78">
        <f t="shared" si="86"/>
        <v>0</v>
      </c>
      <c r="BS101" s="80">
        <f t="shared" ref="BS101:BS116" ca="1" si="105">IF(SUM(BO101:BP101)=0,0,AND(AC101=TRUE,BO$27&lt;0))</f>
        <v>0</v>
      </c>
      <c r="BT101" s="80">
        <f t="shared" ref="BT101:BT116" ca="1" si="106">IF(SUM(BO101:BP101)=0,0,AND(AC101=TRUE,BP$27&lt;0))</f>
        <v>0</v>
      </c>
      <c r="BU101" s="259" t="str">
        <f t="shared" ca="1" si="87"/>
        <v/>
      </c>
      <c r="BV101" s="206" t="str">
        <f t="shared" ca="1" si="88"/>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row>
    <row r="102" spans="1:116" ht="12.75" hidden="1" customHeight="1">
      <c r="A102" s="5"/>
      <c r="B102" s="327" t="str">
        <f t="shared" si="28"/>
        <v>-</v>
      </c>
      <c r="C102" s="398">
        <v>66</v>
      </c>
      <c r="D102" s="931"/>
      <c r="E102" s="932"/>
      <c r="F102" s="476"/>
      <c r="G102" s="483"/>
      <c r="H102" s="466"/>
      <c r="I102" s="467"/>
      <c r="J102" s="489"/>
      <c r="K102" s="490"/>
      <c r="L102" s="491"/>
      <c r="M102" s="492"/>
      <c r="N102" s="373" t="str">
        <f t="shared" ca="1" si="89"/>
        <v/>
      </c>
      <c r="O102" s="374" t="str">
        <f t="shared" ca="1" si="90"/>
        <v/>
      </c>
      <c r="P102" s="375">
        <f t="shared" ca="1" si="91"/>
        <v>0</v>
      </c>
      <c r="Q102" s="384" t="str">
        <f t="shared" ca="1" si="72"/>
        <v/>
      </c>
      <c r="R102" s="385" t="str">
        <f t="shared" ca="1" si="92"/>
        <v/>
      </c>
      <c r="S102" s="386">
        <f t="shared" ca="1" si="73"/>
        <v>0</v>
      </c>
      <c r="T102" s="387" t="str">
        <f t="shared" ca="1" si="93"/>
        <v/>
      </c>
      <c r="U102" s="5"/>
      <c r="V102" s="6"/>
      <c r="W102" s="4"/>
      <c r="X102" s="4">
        <v>66</v>
      </c>
      <c r="Y102" s="104" t="str">
        <f t="shared" si="74"/>
        <v>-</v>
      </c>
      <c r="Z102" s="104">
        <f t="shared" si="75"/>
        <v>0</v>
      </c>
      <c r="AA102" s="4"/>
      <c r="AB102" s="53">
        <f t="shared" si="76"/>
        <v>0</v>
      </c>
      <c r="AC102" s="54">
        <f>IF(SUM(AB102:AB$116)=0,0,F102&gt;0)</f>
        <v>0</v>
      </c>
      <c r="AD102" s="53">
        <f t="shared" si="77"/>
        <v>0</v>
      </c>
      <c r="AE102" s="54">
        <f>IF(SUM(AB102:AB$116)=0,0,AND(AC102=FALSE,AD102=0,SUM(AD102:AD$116)&gt;0))</f>
        <v>0</v>
      </c>
      <c r="AF102" s="54">
        <f t="shared" ref="AF102:AF116" si="107">IF(AB102=0,0,AND(AC102=FALSE,AD102&gt;0))</f>
        <v>0</v>
      </c>
      <c r="AG102" s="54">
        <f t="shared" ref="AG102:AG116" si="108">IF(AB102=0,0,AND(AH102&lt;&gt;TRUE,COUNTIF(AJ102:AO102,TRUE)=0,G102=0,L102&lt;&gt;"device",M102&gt;0))</f>
        <v>0</v>
      </c>
      <c r="AH102" s="56">
        <f t="shared" ref="AH102:AH116" si="109">IF(AB102=0,0,AND(AC102=TRUE,G102*H102=0,I102=0))</f>
        <v>0</v>
      </c>
      <c r="AI102" s="56">
        <f t="shared" ref="AI102:AI116" si="110">IF(H102=0,0,G102*H102&lt;I102)</f>
        <v>0</v>
      </c>
      <c r="AJ102" s="54">
        <f t="shared" ref="AJ102:AJ116" si="111">IF(AB102=0,0,AND(AC102=TRUE,AH102=FALSE,ISBLANK(J102)))</f>
        <v>0</v>
      </c>
      <c r="AK102" s="54" t="str">
        <f t="shared" ref="AK102:AK116" si="112">IF(AND(AJ102=TRUE,AL102=TRUE),AK$36,"")</f>
        <v/>
      </c>
      <c r="AL102" s="54">
        <f t="shared" ref="AL102:AL116" si="113">IF(AB102=0,0,AND(AC102=TRUE,AH102=FALSE,ISBLANK(K102)))</f>
        <v>0</v>
      </c>
      <c r="AM102" s="54">
        <f t="shared" ref="AM102:AM116" si="114">IF(AB102=0,0,AND(AJ102=FALSE,AL102=FALSE,OR(L102&lt;0,AND(ISTEXT(L102),L102&lt;&gt;"device"))))</f>
        <v>0</v>
      </c>
      <c r="AN102" s="54">
        <f t="shared" ref="AN102:AN116" si="115">IF(AB102=0,0,AND(AC102=TRUE,AH102=FALSE,AJ102=FALSE,AL102=FALSE,AM102=FALSE,L102&gt;0,L102&lt;&gt;"device",M102=0))</f>
        <v>0</v>
      </c>
      <c r="AO102" s="54">
        <f t="shared" ref="AO102:AO116" si="116">IF(AB102=0,0,AND(AC102=TRUE,AH102=FALSE,AJ102=FALSE,AL102=FALSE,M102&gt;0,OR(L102=0,L102="device")))</f>
        <v>0</v>
      </c>
      <c r="AP102" s="54">
        <f t="shared" ref="AP102:AP116" si="117">IF(AND(AB102=0,AE102&lt;&gt;TRUE),0,AND(AC102=TRUE,COUNTIF(AE102:AH102,TRUE)=0,COUNTIF(AJ102:AO102,TRUE)=0))</f>
        <v>0</v>
      </c>
      <c r="AQ102" s="54">
        <f t="shared" ref="AQ102:AQ116" si="118">IF(AB102=0,0,AND(L102&gt;0,AP102=TRUE))</f>
        <v>0</v>
      </c>
      <c r="AR102" s="53">
        <f t="shared" ref="AR102:AR116" si="119">IF(AND(AB102=0,AE102&lt;&gt;TRUE),0,COUNTIF(AF102:AH102,TRUE)+COUNTIF(AJ102:AO102,TRUE))</f>
        <v>0</v>
      </c>
      <c r="AS102" s="409" t="str">
        <f t="shared" ref="AS102:AS116" si="120">IF(AR102&gt;0,"Input "&amp;IF(AC102=TRUE,"alert","issue")&amp;IF(AR102=1,": ","s: "),"")&amp;IF(AE102=TRUE,AE$36,"")&amp;IF(AF102=TRUE,AF$36&amp;" (but "&amp;AD102&amp;" input"&amp;IF(AD102=1,") ","s) "),"")&amp;IF(AG102=TRUE,AG$36&amp;" ","")&amp;IF(AH102=TRUE,AH$36&amp;" ","")&amp;IF(AJ102=TRUE,AJ$36,"")&amp;AK102&amp;IF(AL102=TRUE,AL$36,"")&amp;IF(OR(AJ102=TRUE,AL102=TRUE)," needed","")&amp;IF(AM102=TRUE,AM$36&amp;" ","")&amp;IF(AN102=TRUE,AN$36&amp;" ","")&amp;IF(AO102=TRUE,IF(L102="device","shading H not needed",AO$36),"")</f>
        <v/>
      </c>
      <c r="AT102" s="54">
        <f t="shared" si="94"/>
        <v>0</v>
      </c>
      <c r="AU102" s="54">
        <f t="shared" si="95"/>
        <v>0</v>
      </c>
      <c r="AV102" s="54">
        <f t="shared" si="96"/>
        <v>0</v>
      </c>
      <c r="AW102" s="55" t="b">
        <f t="shared" ca="1" si="97"/>
        <v>0</v>
      </c>
      <c r="AX102" s="69"/>
      <c r="AY102" s="203">
        <f t="shared" ca="1" si="98"/>
        <v>0</v>
      </c>
      <c r="AZ102" s="72">
        <f t="shared" ca="1" si="99"/>
        <v>0</v>
      </c>
      <c r="BA102" s="72">
        <f t="shared" ca="1" si="78"/>
        <v>0</v>
      </c>
      <c r="BB102" s="75">
        <f t="shared" ca="1" si="100"/>
        <v>0</v>
      </c>
      <c r="BC102" s="209">
        <f t="shared" si="101"/>
        <v>0</v>
      </c>
      <c r="BD102" s="72">
        <f t="shared" si="79"/>
        <v>0</v>
      </c>
      <c r="BE102" s="72">
        <f t="shared" si="80"/>
        <v>0</v>
      </c>
      <c r="BF102" s="72">
        <f t="shared" si="81"/>
        <v>0</v>
      </c>
      <c r="BG102" s="200">
        <f t="shared" ca="1" si="82"/>
        <v>0</v>
      </c>
      <c r="BH102" s="69"/>
      <c r="BI102" s="198">
        <f t="shared" si="18"/>
        <v>0</v>
      </c>
      <c r="BJ102" s="71">
        <f t="shared" si="19"/>
        <v>0</v>
      </c>
      <c r="BK102" s="72">
        <f t="shared" si="83"/>
        <v>0</v>
      </c>
      <c r="BL102" s="72">
        <f t="shared" ca="1" si="84"/>
        <v>0</v>
      </c>
      <c r="BM102" s="200">
        <f t="shared" ca="1" si="102"/>
        <v>0</v>
      </c>
      <c r="BN102" s="69"/>
      <c r="BO102" s="198">
        <f t="shared" si="103"/>
        <v>0</v>
      </c>
      <c r="BP102" s="72">
        <f t="shared" ca="1" si="104"/>
        <v>0</v>
      </c>
      <c r="BQ102" s="78">
        <f t="shared" si="85"/>
        <v>0</v>
      </c>
      <c r="BR102" s="78">
        <f t="shared" si="86"/>
        <v>0</v>
      </c>
      <c r="BS102" s="80">
        <f t="shared" ca="1" si="105"/>
        <v>0</v>
      </c>
      <c r="BT102" s="80">
        <f t="shared" ca="1" si="106"/>
        <v>0</v>
      </c>
      <c r="BU102" s="259" t="str">
        <f t="shared" ca="1" si="87"/>
        <v/>
      </c>
      <c r="BV102" s="206" t="str">
        <f t="shared" ca="1" si="88"/>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row>
    <row r="103" spans="1:116" ht="12.75" hidden="1" customHeight="1">
      <c r="A103" s="5"/>
      <c r="B103" s="327" t="str">
        <f t="shared" si="28"/>
        <v>-</v>
      </c>
      <c r="C103" s="398">
        <v>67</v>
      </c>
      <c r="D103" s="931"/>
      <c r="E103" s="932"/>
      <c r="F103" s="476"/>
      <c r="G103" s="483"/>
      <c r="H103" s="466"/>
      <c r="I103" s="467"/>
      <c r="J103" s="489"/>
      <c r="K103" s="490"/>
      <c r="L103" s="491"/>
      <c r="M103" s="492"/>
      <c r="N103" s="373" t="str">
        <f t="shared" ca="1" si="89"/>
        <v/>
      </c>
      <c r="O103" s="374" t="str">
        <f t="shared" ca="1" si="90"/>
        <v/>
      </c>
      <c r="P103" s="375">
        <f t="shared" ca="1" si="91"/>
        <v>0</v>
      </c>
      <c r="Q103" s="384" t="str">
        <f t="shared" ca="1" si="72"/>
        <v/>
      </c>
      <c r="R103" s="385" t="str">
        <f t="shared" ca="1" si="92"/>
        <v/>
      </c>
      <c r="S103" s="386">
        <f t="shared" ca="1" si="73"/>
        <v>0</v>
      </c>
      <c r="T103" s="387" t="str">
        <f t="shared" ca="1" si="93"/>
        <v/>
      </c>
      <c r="U103" s="5"/>
      <c r="V103" s="6"/>
      <c r="W103" s="4"/>
      <c r="X103" s="4">
        <v>67</v>
      </c>
      <c r="Y103" s="104" t="str">
        <f t="shared" si="74"/>
        <v>-</v>
      </c>
      <c r="Z103" s="104">
        <f t="shared" si="75"/>
        <v>0</v>
      </c>
      <c r="AA103" s="4"/>
      <c r="AB103" s="53">
        <f t="shared" si="76"/>
        <v>0</v>
      </c>
      <c r="AC103" s="54">
        <f>IF(SUM(AB103:AB$116)=0,0,F103&gt;0)</f>
        <v>0</v>
      </c>
      <c r="AD103" s="53">
        <f t="shared" si="77"/>
        <v>0</v>
      </c>
      <c r="AE103" s="54">
        <f>IF(SUM(AB103:AB$116)=0,0,AND(AC103=FALSE,AD103=0,SUM(AD103:AD$116)&gt;0))</f>
        <v>0</v>
      </c>
      <c r="AF103" s="54">
        <f t="shared" si="107"/>
        <v>0</v>
      </c>
      <c r="AG103" s="54">
        <f t="shared" si="108"/>
        <v>0</v>
      </c>
      <c r="AH103" s="56">
        <f t="shared" si="109"/>
        <v>0</v>
      </c>
      <c r="AI103" s="56">
        <f t="shared" si="110"/>
        <v>0</v>
      </c>
      <c r="AJ103" s="54">
        <f t="shared" si="111"/>
        <v>0</v>
      </c>
      <c r="AK103" s="54" t="str">
        <f t="shared" si="112"/>
        <v/>
      </c>
      <c r="AL103" s="54">
        <f t="shared" si="113"/>
        <v>0</v>
      </c>
      <c r="AM103" s="54">
        <f t="shared" si="114"/>
        <v>0</v>
      </c>
      <c r="AN103" s="54">
        <f t="shared" si="115"/>
        <v>0</v>
      </c>
      <c r="AO103" s="54">
        <f t="shared" si="116"/>
        <v>0</v>
      </c>
      <c r="AP103" s="54">
        <f t="shared" si="117"/>
        <v>0</v>
      </c>
      <c r="AQ103" s="54">
        <f t="shared" si="118"/>
        <v>0</v>
      </c>
      <c r="AR103" s="53">
        <f t="shared" si="119"/>
        <v>0</v>
      </c>
      <c r="AS103" s="409" t="str">
        <f t="shared" si="120"/>
        <v/>
      </c>
      <c r="AT103" s="54">
        <f t="shared" si="94"/>
        <v>0</v>
      </c>
      <c r="AU103" s="54">
        <f t="shared" si="95"/>
        <v>0</v>
      </c>
      <c r="AV103" s="54">
        <f t="shared" si="96"/>
        <v>0</v>
      </c>
      <c r="AW103" s="55" t="b">
        <f t="shared" ca="1" si="97"/>
        <v>0</v>
      </c>
      <c r="AX103" s="69"/>
      <c r="AY103" s="203">
        <f t="shared" ca="1" si="98"/>
        <v>0</v>
      </c>
      <c r="AZ103" s="72">
        <f t="shared" ca="1" si="99"/>
        <v>0</v>
      </c>
      <c r="BA103" s="72">
        <f t="shared" ca="1" si="78"/>
        <v>0</v>
      </c>
      <c r="BB103" s="75">
        <f t="shared" ca="1" si="100"/>
        <v>0</v>
      </c>
      <c r="BC103" s="209">
        <f t="shared" si="101"/>
        <v>0</v>
      </c>
      <c r="BD103" s="72">
        <f t="shared" si="79"/>
        <v>0</v>
      </c>
      <c r="BE103" s="72">
        <f t="shared" si="80"/>
        <v>0</v>
      </c>
      <c r="BF103" s="72">
        <f t="shared" si="81"/>
        <v>0</v>
      </c>
      <c r="BG103" s="200">
        <f t="shared" ca="1" si="82"/>
        <v>0</v>
      </c>
      <c r="BH103" s="69"/>
      <c r="BI103" s="198">
        <f t="shared" si="18"/>
        <v>0</v>
      </c>
      <c r="BJ103" s="71">
        <f t="shared" si="19"/>
        <v>0</v>
      </c>
      <c r="BK103" s="72">
        <f t="shared" si="83"/>
        <v>0</v>
      </c>
      <c r="BL103" s="72">
        <f t="shared" ca="1" si="84"/>
        <v>0</v>
      </c>
      <c r="BM103" s="200">
        <f t="shared" ca="1" si="102"/>
        <v>0</v>
      </c>
      <c r="BN103" s="69"/>
      <c r="BO103" s="198">
        <f t="shared" si="103"/>
        <v>0</v>
      </c>
      <c r="BP103" s="72">
        <f t="shared" ca="1" si="104"/>
        <v>0</v>
      </c>
      <c r="BQ103" s="78">
        <f t="shared" si="85"/>
        <v>0</v>
      </c>
      <c r="BR103" s="78">
        <f t="shared" si="86"/>
        <v>0</v>
      </c>
      <c r="BS103" s="80">
        <f t="shared" ca="1" si="105"/>
        <v>0</v>
      </c>
      <c r="BT103" s="80">
        <f t="shared" ca="1" si="106"/>
        <v>0</v>
      </c>
      <c r="BU103" s="259" t="str">
        <f t="shared" ca="1" si="87"/>
        <v/>
      </c>
      <c r="BV103" s="206" t="str">
        <f t="shared" ca="1" si="88"/>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row>
    <row r="104" spans="1:116" ht="12.75" hidden="1" customHeight="1">
      <c r="A104" s="5"/>
      <c r="B104" s="327" t="str">
        <f t="shared" si="28"/>
        <v>-</v>
      </c>
      <c r="C104" s="398">
        <v>68</v>
      </c>
      <c r="D104" s="931"/>
      <c r="E104" s="932"/>
      <c r="F104" s="476"/>
      <c r="G104" s="483"/>
      <c r="H104" s="466"/>
      <c r="I104" s="467"/>
      <c r="J104" s="489"/>
      <c r="K104" s="490"/>
      <c r="L104" s="491"/>
      <c r="M104" s="492"/>
      <c r="N104" s="373" t="str">
        <f t="shared" ca="1" si="89"/>
        <v/>
      </c>
      <c r="O104" s="374" t="str">
        <f t="shared" ca="1" si="90"/>
        <v/>
      </c>
      <c r="P104" s="375">
        <f t="shared" ca="1" si="91"/>
        <v>0</v>
      </c>
      <c r="Q104" s="384" t="str">
        <f t="shared" ca="1" si="72"/>
        <v/>
      </c>
      <c r="R104" s="385" t="str">
        <f t="shared" ca="1" si="92"/>
        <v/>
      </c>
      <c r="S104" s="386">
        <f t="shared" ca="1" si="73"/>
        <v>0</v>
      </c>
      <c r="T104" s="387" t="str">
        <f t="shared" ca="1" si="93"/>
        <v/>
      </c>
      <c r="U104" s="5"/>
      <c r="V104" s="6"/>
      <c r="W104" s="4"/>
      <c r="X104" s="4">
        <v>68</v>
      </c>
      <c r="Y104" s="104" t="str">
        <f t="shared" si="74"/>
        <v>-</v>
      </c>
      <c r="Z104" s="104">
        <f t="shared" si="75"/>
        <v>0</v>
      </c>
      <c r="AA104" s="4"/>
      <c r="AB104" s="53">
        <f t="shared" si="76"/>
        <v>0</v>
      </c>
      <c r="AC104" s="54">
        <f>IF(SUM(AB104:AB$116)=0,0,F104&gt;0)</f>
        <v>0</v>
      </c>
      <c r="AD104" s="53">
        <f t="shared" si="77"/>
        <v>0</v>
      </c>
      <c r="AE104" s="54">
        <f>IF(SUM(AB104:AB$116)=0,0,AND(AC104=FALSE,AD104=0,SUM(AD104:AD$116)&gt;0))</f>
        <v>0</v>
      </c>
      <c r="AF104" s="54">
        <f t="shared" si="107"/>
        <v>0</v>
      </c>
      <c r="AG104" s="54">
        <f t="shared" si="108"/>
        <v>0</v>
      </c>
      <c r="AH104" s="56">
        <f t="shared" si="109"/>
        <v>0</v>
      </c>
      <c r="AI104" s="56">
        <f t="shared" si="110"/>
        <v>0</v>
      </c>
      <c r="AJ104" s="54">
        <f t="shared" si="111"/>
        <v>0</v>
      </c>
      <c r="AK104" s="54" t="str">
        <f t="shared" si="112"/>
        <v/>
      </c>
      <c r="AL104" s="54">
        <f t="shared" si="113"/>
        <v>0</v>
      </c>
      <c r="AM104" s="54">
        <f t="shared" si="114"/>
        <v>0</v>
      </c>
      <c r="AN104" s="54">
        <f t="shared" si="115"/>
        <v>0</v>
      </c>
      <c r="AO104" s="54">
        <f t="shared" si="116"/>
        <v>0</v>
      </c>
      <c r="AP104" s="54">
        <f t="shared" si="117"/>
        <v>0</v>
      </c>
      <c r="AQ104" s="54">
        <f t="shared" si="118"/>
        <v>0</v>
      </c>
      <c r="AR104" s="53">
        <f t="shared" si="119"/>
        <v>0</v>
      </c>
      <c r="AS104" s="409" t="str">
        <f t="shared" si="120"/>
        <v/>
      </c>
      <c r="AT104" s="54">
        <f t="shared" si="94"/>
        <v>0</v>
      </c>
      <c r="AU104" s="54">
        <f t="shared" si="95"/>
        <v>0</v>
      </c>
      <c r="AV104" s="54">
        <f t="shared" si="96"/>
        <v>0</v>
      </c>
      <c r="AW104" s="55" t="b">
        <f t="shared" ca="1" si="97"/>
        <v>0</v>
      </c>
      <c r="AX104" s="69"/>
      <c r="AY104" s="203">
        <f t="shared" ca="1" si="98"/>
        <v>0</v>
      </c>
      <c r="AZ104" s="72">
        <f t="shared" ca="1" si="99"/>
        <v>0</v>
      </c>
      <c r="BA104" s="72">
        <f t="shared" ca="1" si="78"/>
        <v>0</v>
      </c>
      <c r="BB104" s="75">
        <f t="shared" ca="1" si="100"/>
        <v>0</v>
      </c>
      <c r="BC104" s="209">
        <f t="shared" si="101"/>
        <v>0</v>
      </c>
      <c r="BD104" s="72">
        <f t="shared" si="79"/>
        <v>0</v>
      </c>
      <c r="BE104" s="72">
        <f t="shared" si="80"/>
        <v>0</v>
      </c>
      <c r="BF104" s="72">
        <f t="shared" si="81"/>
        <v>0</v>
      </c>
      <c r="BG104" s="200">
        <f t="shared" ca="1" si="82"/>
        <v>0</v>
      </c>
      <c r="BH104" s="69"/>
      <c r="BI104" s="198">
        <f t="shared" si="18"/>
        <v>0</v>
      </c>
      <c r="BJ104" s="71">
        <f t="shared" si="19"/>
        <v>0</v>
      </c>
      <c r="BK104" s="72">
        <f t="shared" si="83"/>
        <v>0</v>
      </c>
      <c r="BL104" s="72">
        <f t="shared" ca="1" si="84"/>
        <v>0</v>
      </c>
      <c r="BM104" s="200">
        <f t="shared" ca="1" si="102"/>
        <v>0</v>
      </c>
      <c r="BN104" s="69"/>
      <c r="BO104" s="198">
        <f t="shared" si="103"/>
        <v>0</v>
      </c>
      <c r="BP104" s="72">
        <f t="shared" ca="1" si="104"/>
        <v>0</v>
      </c>
      <c r="BQ104" s="78">
        <f t="shared" si="85"/>
        <v>0</v>
      </c>
      <c r="BR104" s="78">
        <f t="shared" si="86"/>
        <v>0</v>
      </c>
      <c r="BS104" s="80">
        <f t="shared" ca="1" si="105"/>
        <v>0</v>
      </c>
      <c r="BT104" s="80">
        <f t="shared" ca="1" si="106"/>
        <v>0</v>
      </c>
      <c r="BU104" s="259" t="str">
        <f t="shared" ca="1" si="87"/>
        <v/>
      </c>
      <c r="BV104" s="206" t="str">
        <f t="shared" ca="1" si="88"/>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row>
    <row r="105" spans="1:116" ht="12.75" hidden="1" customHeight="1">
      <c r="A105" s="5"/>
      <c r="B105" s="327" t="str">
        <f t="shared" si="28"/>
        <v>-</v>
      </c>
      <c r="C105" s="398">
        <v>69</v>
      </c>
      <c r="D105" s="931"/>
      <c r="E105" s="932"/>
      <c r="F105" s="476"/>
      <c r="G105" s="483"/>
      <c r="H105" s="466"/>
      <c r="I105" s="467"/>
      <c r="J105" s="489"/>
      <c r="K105" s="490"/>
      <c r="L105" s="491"/>
      <c r="M105" s="492"/>
      <c r="N105" s="373" t="str">
        <f t="shared" ca="1" si="89"/>
        <v/>
      </c>
      <c r="O105" s="374" t="str">
        <f t="shared" ca="1" si="90"/>
        <v/>
      </c>
      <c r="P105" s="375">
        <f t="shared" ca="1" si="91"/>
        <v>0</v>
      </c>
      <c r="Q105" s="384" t="str">
        <f t="shared" ca="1" si="72"/>
        <v/>
      </c>
      <c r="R105" s="385" t="str">
        <f t="shared" ca="1" si="92"/>
        <v/>
      </c>
      <c r="S105" s="386">
        <f t="shared" ca="1" si="73"/>
        <v>0</v>
      </c>
      <c r="T105" s="387" t="str">
        <f t="shared" ca="1" si="93"/>
        <v/>
      </c>
      <c r="U105" s="5"/>
      <c r="V105" s="6"/>
      <c r="W105" s="4"/>
      <c r="X105" s="4">
        <v>69</v>
      </c>
      <c r="Y105" s="104" t="str">
        <f t="shared" si="74"/>
        <v>-</v>
      </c>
      <c r="Z105" s="104">
        <f t="shared" si="75"/>
        <v>0</v>
      </c>
      <c r="AA105" s="4"/>
      <c r="AB105" s="53">
        <f t="shared" si="76"/>
        <v>0</v>
      </c>
      <c r="AC105" s="54">
        <f>IF(SUM(AB105:AB$116)=0,0,F105&gt;0)</f>
        <v>0</v>
      </c>
      <c r="AD105" s="53">
        <f t="shared" si="77"/>
        <v>0</v>
      </c>
      <c r="AE105" s="54">
        <f>IF(SUM(AB105:AB$116)=0,0,AND(AC105=FALSE,AD105=0,SUM(AD105:AD$116)&gt;0))</f>
        <v>0</v>
      </c>
      <c r="AF105" s="54">
        <f t="shared" si="107"/>
        <v>0</v>
      </c>
      <c r="AG105" s="54">
        <f t="shared" si="108"/>
        <v>0</v>
      </c>
      <c r="AH105" s="56">
        <f t="shared" si="109"/>
        <v>0</v>
      </c>
      <c r="AI105" s="56">
        <f t="shared" si="110"/>
        <v>0</v>
      </c>
      <c r="AJ105" s="54">
        <f t="shared" si="111"/>
        <v>0</v>
      </c>
      <c r="AK105" s="54" t="str">
        <f t="shared" si="112"/>
        <v/>
      </c>
      <c r="AL105" s="54">
        <f t="shared" si="113"/>
        <v>0</v>
      </c>
      <c r="AM105" s="54">
        <f t="shared" si="114"/>
        <v>0</v>
      </c>
      <c r="AN105" s="54">
        <f t="shared" si="115"/>
        <v>0</v>
      </c>
      <c r="AO105" s="54">
        <f t="shared" si="116"/>
        <v>0</v>
      </c>
      <c r="AP105" s="54">
        <f t="shared" si="117"/>
        <v>0</v>
      </c>
      <c r="AQ105" s="54">
        <f t="shared" si="118"/>
        <v>0</v>
      </c>
      <c r="AR105" s="53">
        <f t="shared" si="119"/>
        <v>0</v>
      </c>
      <c r="AS105" s="409" t="str">
        <f t="shared" si="120"/>
        <v/>
      </c>
      <c r="AT105" s="54">
        <f t="shared" si="94"/>
        <v>0</v>
      </c>
      <c r="AU105" s="54">
        <f t="shared" si="95"/>
        <v>0</v>
      </c>
      <c r="AV105" s="54">
        <f t="shared" si="96"/>
        <v>0</v>
      </c>
      <c r="AW105" s="55" t="b">
        <f t="shared" ca="1" si="97"/>
        <v>0</v>
      </c>
      <c r="AX105" s="69"/>
      <c r="AY105" s="203">
        <f t="shared" ca="1" si="98"/>
        <v>0</v>
      </c>
      <c r="AZ105" s="72">
        <f t="shared" ca="1" si="99"/>
        <v>0</v>
      </c>
      <c r="BA105" s="72">
        <f t="shared" ca="1" si="78"/>
        <v>0</v>
      </c>
      <c r="BB105" s="75">
        <f t="shared" ca="1" si="100"/>
        <v>0</v>
      </c>
      <c r="BC105" s="209">
        <f t="shared" si="101"/>
        <v>0</v>
      </c>
      <c r="BD105" s="72">
        <f t="shared" si="79"/>
        <v>0</v>
      </c>
      <c r="BE105" s="72">
        <f t="shared" si="80"/>
        <v>0</v>
      </c>
      <c r="BF105" s="72">
        <f t="shared" si="81"/>
        <v>0</v>
      </c>
      <c r="BG105" s="200">
        <f t="shared" ca="1" si="82"/>
        <v>0</v>
      </c>
      <c r="BH105" s="69"/>
      <c r="BI105" s="198">
        <f t="shared" si="18"/>
        <v>0</v>
      </c>
      <c r="BJ105" s="71">
        <f t="shared" si="19"/>
        <v>0</v>
      </c>
      <c r="BK105" s="72">
        <f t="shared" si="83"/>
        <v>0</v>
      </c>
      <c r="BL105" s="72">
        <f t="shared" ca="1" si="84"/>
        <v>0</v>
      </c>
      <c r="BM105" s="200">
        <f t="shared" ca="1" si="102"/>
        <v>0</v>
      </c>
      <c r="BN105" s="69"/>
      <c r="BO105" s="198">
        <f t="shared" si="103"/>
        <v>0</v>
      </c>
      <c r="BP105" s="72">
        <f t="shared" ca="1" si="104"/>
        <v>0</v>
      </c>
      <c r="BQ105" s="78">
        <f t="shared" si="85"/>
        <v>0</v>
      </c>
      <c r="BR105" s="78">
        <f t="shared" si="86"/>
        <v>0</v>
      </c>
      <c r="BS105" s="80">
        <f t="shared" ca="1" si="105"/>
        <v>0</v>
      </c>
      <c r="BT105" s="80">
        <f t="shared" ca="1" si="106"/>
        <v>0</v>
      </c>
      <c r="BU105" s="259" t="str">
        <f t="shared" ca="1" si="87"/>
        <v/>
      </c>
      <c r="BV105" s="206" t="str">
        <f t="shared" ca="1" si="88"/>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row>
    <row r="106" spans="1:116" ht="12.75" hidden="1" customHeight="1">
      <c r="A106" s="5"/>
      <c r="B106" s="327" t="str">
        <f t="shared" si="28"/>
        <v>-</v>
      </c>
      <c r="C106" s="398">
        <v>70</v>
      </c>
      <c r="D106" s="931"/>
      <c r="E106" s="932"/>
      <c r="F106" s="476"/>
      <c r="G106" s="483"/>
      <c r="H106" s="466"/>
      <c r="I106" s="467"/>
      <c r="J106" s="489"/>
      <c r="K106" s="490"/>
      <c r="L106" s="491"/>
      <c r="M106" s="492"/>
      <c r="N106" s="373" t="str">
        <f t="shared" ca="1" si="89"/>
        <v/>
      </c>
      <c r="O106" s="374" t="str">
        <f t="shared" ca="1" si="90"/>
        <v/>
      </c>
      <c r="P106" s="375">
        <f t="shared" ca="1" si="91"/>
        <v>0</v>
      </c>
      <c r="Q106" s="384" t="str">
        <f t="shared" ca="1" si="72"/>
        <v/>
      </c>
      <c r="R106" s="385" t="str">
        <f t="shared" ca="1" si="92"/>
        <v/>
      </c>
      <c r="S106" s="386">
        <f t="shared" ca="1" si="73"/>
        <v>0</v>
      </c>
      <c r="T106" s="387" t="str">
        <f t="shared" ca="1" si="93"/>
        <v/>
      </c>
      <c r="U106" s="5"/>
      <c r="V106" s="6"/>
      <c r="W106" s="4"/>
      <c r="X106" s="4">
        <v>70</v>
      </c>
      <c r="Y106" s="104" t="str">
        <f t="shared" si="74"/>
        <v>-</v>
      </c>
      <c r="Z106" s="104">
        <f t="shared" si="75"/>
        <v>0</v>
      </c>
      <c r="AA106" s="4"/>
      <c r="AB106" s="53">
        <f t="shared" si="76"/>
        <v>0</v>
      </c>
      <c r="AC106" s="54">
        <f>IF(SUM(AB106:AB$116)=0,0,F106&gt;0)</f>
        <v>0</v>
      </c>
      <c r="AD106" s="53">
        <f t="shared" si="77"/>
        <v>0</v>
      </c>
      <c r="AE106" s="54">
        <f>IF(SUM(AB106:AB$116)=0,0,AND(AC106=FALSE,AD106=0,SUM(AD106:AD$116)&gt;0))</f>
        <v>0</v>
      </c>
      <c r="AF106" s="54">
        <f t="shared" si="107"/>
        <v>0</v>
      </c>
      <c r="AG106" s="54">
        <f t="shared" si="108"/>
        <v>0</v>
      </c>
      <c r="AH106" s="56">
        <f t="shared" si="109"/>
        <v>0</v>
      </c>
      <c r="AI106" s="56">
        <f t="shared" si="110"/>
        <v>0</v>
      </c>
      <c r="AJ106" s="54">
        <f t="shared" si="111"/>
        <v>0</v>
      </c>
      <c r="AK106" s="54" t="str">
        <f t="shared" si="112"/>
        <v/>
      </c>
      <c r="AL106" s="54">
        <f t="shared" si="113"/>
        <v>0</v>
      </c>
      <c r="AM106" s="54">
        <f t="shared" si="114"/>
        <v>0</v>
      </c>
      <c r="AN106" s="54">
        <f t="shared" si="115"/>
        <v>0</v>
      </c>
      <c r="AO106" s="54">
        <f t="shared" si="116"/>
        <v>0</v>
      </c>
      <c r="AP106" s="54">
        <f t="shared" si="117"/>
        <v>0</v>
      </c>
      <c r="AQ106" s="54">
        <f t="shared" si="118"/>
        <v>0</v>
      </c>
      <c r="AR106" s="53">
        <f t="shared" si="119"/>
        <v>0</v>
      </c>
      <c r="AS106" s="409" t="str">
        <f t="shared" si="120"/>
        <v/>
      </c>
      <c r="AT106" s="54">
        <f t="shared" si="94"/>
        <v>0</v>
      </c>
      <c r="AU106" s="54">
        <f t="shared" si="95"/>
        <v>0</v>
      </c>
      <c r="AV106" s="54">
        <f t="shared" si="96"/>
        <v>0</v>
      </c>
      <c r="AW106" s="55" t="b">
        <f t="shared" ca="1" si="97"/>
        <v>0</v>
      </c>
      <c r="AX106" s="69"/>
      <c r="AY106" s="203">
        <f t="shared" ca="1" si="98"/>
        <v>0</v>
      </c>
      <c r="AZ106" s="72">
        <f t="shared" ca="1" si="99"/>
        <v>0</v>
      </c>
      <c r="BA106" s="72">
        <f t="shared" ca="1" si="78"/>
        <v>0</v>
      </c>
      <c r="BB106" s="75">
        <f t="shared" ca="1" si="100"/>
        <v>0</v>
      </c>
      <c r="BC106" s="209">
        <f t="shared" si="101"/>
        <v>0</v>
      </c>
      <c r="BD106" s="72">
        <f t="shared" si="79"/>
        <v>0</v>
      </c>
      <c r="BE106" s="72">
        <f t="shared" si="80"/>
        <v>0</v>
      </c>
      <c r="BF106" s="72">
        <f t="shared" si="81"/>
        <v>0</v>
      </c>
      <c r="BG106" s="200">
        <f t="shared" ca="1" si="82"/>
        <v>0</v>
      </c>
      <c r="BH106" s="69"/>
      <c r="BI106" s="198">
        <f t="shared" si="18"/>
        <v>0</v>
      </c>
      <c r="BJ106" s="71">
        <f t="shared" si="19"/>
        <v>0</v>
      </c>
      <c r="BK106" s="72">
        <f t="shared" si="83"/>
        <v>0</v>
      </c>
      <c r="BL106" s="72">
        <f t="shared" ca="1" si="84"/>
        <v>0</v>
      </c>
      <c r="BM106" s="200">
        <f t="shared" ca="1" si="102"/>
        <v>0</v>
      </c>
      <c r="BN106" s="69"/>
      <c r="BO106" s="198">
        <f t="shared" si="103"/>
        <v>0</v>
      </c>
      <c r="BP106" s="72">
        <f t="shared" ca="1" si="104"/>
        <v>0</v>
      </c>
      <c r="BQ106" s="78">
        <f t="shared" si="85"/>
        <v>0</v>
      </c>
      <c r="BR106" s="78">
        <f t="shared" si="86"/>
        <v>0</v>
      </c>
      <c r="BS106" s="80">
        <f t="shared" ca="1" si="105"/>
        <v>0</v>
      </c>
      <c r="BT106" s="80">
        <f t="shared" ca="1" si="106"/>
        <v>0</v>
      </c>
      <c r="BU106" s="259" t="str">
        <f t="shared" ca="1" si="87"/>
        <v/>
      </c>
      <c r="BV106" s="206" t="str">
        <f t="shared" ca="1" si="88"/>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row>
    <row r="107" spans="1:116" ht="12.75" hidden="1" customHeight="1">
      <c r="A107" s="5"/>
      <c r="B107" s="327" t="str">
        <f t="shared" si="28"/>
        <v>-</v>
      </c>
      <c r="C107" s="398">
        <v>71</v>
      </c>
      <c r="D107" s="931"/>
      <c r="E107" s="932"/>
      <c r="F107" s="476"/>
      <c r="G107" s="483"/>
      <c r="H107" s="466"/>
      <c r="I107" s="467"/>
      <c r="J107" s="489"/>
      <c r="K107" s="490"/>
      <c r="L107" s="491"/>
      <c r="M107" s="492"/>
      <c r="N107" s="373" t="str">
        <f t="shared" ca="1" si="89"/>
        <v/>
      </c>
      <c r="O107" s="374" t="str">
        <f t="shared" ca="1" si="90"/>
        <v/>
      </c>
      <c r="P107" s="375">
        <f t="shared" ca="1" si="91"/>
        <v>0</v>
      </c>
      <c r="Q107" s="384" t="str">
        <f t="shared" ca="1" si="72"/>
        <v/>
      </c>
      <c r="R107" s="385" t="str">
        <f t="shared" ca="1" si="92"/>
        <v/>
      </c>
      <c r="S107" s="386">
        <f t="shared" ca="1" si="73"/>
        <v>0</v>
      </c>
      <c r="T107" s="387" t="str">
        <f t="shared" ca="1" si="93"/>
        <v/>
      </c>
      <c r="U107" s="5"/>
      <c r="V107" s="6"/>
      <c r="W107" s="4"/>
      <c r="X107" s="4">
        <v>71</v>
      </c>
      <c r="Y107" s="104" t="str">
        <f t="shared" si="74"/>
        <v>-</v>
      </c>
      <c r="Z107" s="104">
        <f t="shared" si="75"/>
        <v>0</v>
      </c>
      <c r="AA107" s="4"/>
      <c r="AB107" s="53">
        <f t="shared" si="76"/>
        <v>0</v>
      </c>
      <c r="AC107" s="54">
        <f>IF(SUM(AB107:AB$116)=0,0,F107&gt;0)</f>
        <v>0</v>
      </c>
      <c r="AD107" s="53">
        <f t="shared" si="77"/>
        <v>0</v>
      </c>
      <c r="AE107" s="54">
        <f>IF(SUM(AB107:AB$116)=0,0,AND(AC107=FALSE,AD107=0,SUM(AD107:AD$116)&gt;0))</f>
        <v>0</v>
      </c>
      <c r="AF107" s="54">
        <f t="shared" si="107"/>
        <v>0</v>
      </c>
      <c r="AG107" s="54">
        <f t="shared" si="108"/>
        <v>0</v>
      </c>
      <c r="AH107" s="56">
        <f t="shared" si="109"/>
        <v>0</v>
      </c>
      <c r="AI107" s="56">
        <f t="shared" si="110"/>
        <v>0</v>
      </c>
      <c r="AJ107" s="54">
        <f t="shared" si="111"/>
        <v>0</v>
      </c>
      <c r="AK107" s="54" t="str">
        <f t="shared" si="112"/>
        <v/>
      </c>
      <c r="AL107" s="54">
        <f t="shared" si="113"/>
        <v>0</v>
      </c>
      <c r="AM107" s="54">
        <f t="shared" si="114"/>
        <v>0</v>
      </c>
      <c r="AN107" s="54">
        <f t="shared" si="115"/>
        <v>0</v>
      </c>
      <c r="AO107" s="54">
        <f t="shared" si="116"/>
        <v>0</v>
      </c>
      <c r="AP107" s="54">
        <f t="shared" si="117"/>
        <v>0</v>
      </c>
      <c r="AQ107" s="54">
        <f t="shared" si="118"/>
        <v>0</v>
      </c>
      <c r="AR107" s="53">
        <f t="shared" si="119"/>
        <v>0</v>
      </c>
      <c r="AS107" s="409" t="str">
        <f t="shared" si="120"/>
        <v/>
      </c>
      <c r="AT107" s="54">
        <f t="shared" si="94"/>
        <v>0</v>
      </c>
      <c r="AU107" s="54">
        <f t="shared" si="95"/>
        <v>0</v>
      </c>
      <c r="AV107" s="54">
        <f t="shared" si="96"/>
        <v>0</v>
      </c>
      <c r="AW107" s="55" t="b">
        <f t="shared" ca="1" si="97"/>
        <v>0</v>
      </c>
      <c r="AX107" s="69"/>
      <c r="AY107" s="203">
        <f t="shared" ca="1" si="98"/>
        <v>0</v>
      </c>
      <c r="AZ107" s="72">
        <f t="shared" ca="1" si="99"/>
        <v>0</v>
      </c>
      <c r="BA107" s="72">
        <f t="shared" ca="1" si="78"/>
        <v>0</v>
      </c>
      <c r="BB107" s="75">
        <f t="shared" ca="1" si="100"/>
        <v>0</v>
      </c>
      <c r="BC107" s="209">
        <f t="shared" si="101"/>
        <v>0</v>
      </c>
      <c r="BD107" s="72">
        <f t="shared" si="79"/>
        <v>0</v>
      </c>
      <c r="BE107" s="72">
        <f t="shared" si="80"/>
        <v>0</v>
      </c>
      <c r="BF107" s="72">
        <f t="shared" si="81"/>
        <v>0</v>
      </c>
      <c r="BG107" s="200">
        <f t="shared" ca="1" si="82"/>
        <v>0</v>
      </c>
      <c r="BH107" s="69"/>
      <c r="BI107" s="198">
        <f t="shared" si="18"/>
        <v>0</v>
      </c>
      <c r="BJ107" s="71">
        <f t="shared" si="19"/>
        <v>0</v>
      </c>
      <c r="BK107" s="72">
        <f t="shared" si="83"/>
        <v>0</v>
      </c>
      <c r="BL107" s="72">
        <f t="shared" ca="1" si="84"/>
        <v>0</v>
      </c>
      <c r="BM107" s="200">
        <f t="shared" ca="1" si="102"/>
        <v>0</v>
      </c>
      <c r="BN107" s="69"/>
      <c r="BO107" s="198">
        <f t="shared" si="103"/>
        <v>0</v>
      </c>
      <c r="BP107" s="72">
        <f t="shared" ca="1" si="104"/>
        <v>0</v>
      </c>
      <c r="BQ107" s="78">
        <f t="shared" si="85"/>
        <v>0</v>
      </c>
      <c r="BR107" s="78">
        <f t="shared" si="86"/>
        <v>0</v>
      </c>
      <c r="BS107" s="80">
        <f t="shared" ca="1" si="105"/>
        <v>0</v>
      </c>
      <c r="BT107" s="80">
        <f t="shared" ca="1" si="106"/>
        <v>0</v>
      </c>
      <c r="BU107" s="259" t="str">
        <f t="shared" ca="1" si="87"/>
        <v/>
      </c>
      <c r="BV107" s="206" t="str">
        <f t="shared" ca="1" si="88"/>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row>
    <row r="108" spans="1:116" ht="12.75" hidden="1" customHeight="1">
      <c r="A108" s="5"/>
      <c r="B108" s="327" t="str">
        <f t="shared" si="28"/>
        <v>-</v>
      </c>
      <c r="C108" s="398">
        <v>72</v>
      </c>
      <c r="D108" s="931"/>
      <c r="E108" s="932"/>
      <c r="F108" s="476"/>
      <c r="G108" s="483"/>
      <c r="H108" s="466"/>
      <c r="I108" s="467"/>
      <c r="J108" s="489"/>
      <c r="K108" s="490"/>
      <c r="L108" s="491"/>
      <c r="M108" s="492"/>
      <c r="N108" s="373" t="str">
        <f t="shared" ca="1" si="89"/>
        <v/>
      </c>
      <c r="O108" s="374" t="str">
        <f t="shared" ca="1" si="90"/>
        <v/>
      </c>
      <c r="P108" s="375">
        <f t="shared" ca="1" si="91"/>
        <v>0</v>
      </c>
      <c r="Q108" s="384" t="str">
        <f t="shared" ca="1" si="72"/>
        <v/>
      </c>
      <c r="R108" s="385" t="str">
        <f t="shared" ca="1" si="92"/>
        <v/>
      </c>
      <c r="S108" s="386">
        <f t="shared" ca="1" si="73"/>
        <v>0</v>
      </c>
      <c r="T108" s="387" t="str">
        <f t="shared" ca="1" si="93"/>
        <v/>
      </c>
      <c r="U108" s="5"/>
      <c r="V108" s="6"/>
      <c r="W108" s="4"/>
      <c r="X108" s="4">
        <v>72</v>
      </c>
      <c r="Y108" s="104" t="str">
        <f t="shared" si="74"/>
        <v>-</v>
      </c>
      <c r="Z108" s="104">
        <f t="shared" si="75"/>
        <v>0</v>
      </c>
      <c r="AA108" s="4"/>
      <c r="AB108" s="53">
        <f t="shared" si="76"/>
        <v>0</v>
      </c>
      <c r="AC108" s="54">
        <f>IF(SUM(AB108:AB$116)=0,0,F108&gt;0)</f>
        <v>0</v>
      </c>
      <c r="AD108" s="53">
        <f t="shared" si="77"/>
        <v>0</v>
      </c>
      <c r="AE108" s="54">
        <f>IF(SUM(AB108:AB$116)=0,0,AND(AC108=FALSE,AD108=0,SUM(AD108:AD$116)&gt;0))</f>
        <v>0</v>
      </c>
      <c r="AF108" s="54">
        <f t="shared" si="107"/>
        <v>0</v>
      </c>
      <c r="AG108" s="54">
        <f t="shared" si="108"/>
        <v>0</v>
      </c>
      <c r="AH108" s="56">
        <f t="shared" si="109"/>
        <v>0</v>
      </c>
      <c r="AI108" s="56">
        <f t="shared" si="110"/>
        <v>0</v>
      </c>
      <c r="AJ108" s="54">
        <f t="shared" si="111"/>
        <v>0</v>
      </c>
      <c r="AK108" s="54" t="str">
        <f t="shared" si="112"/>
        <v/>
      </c>
      <c r="AL108" s="54">
        <f t="shared" si="113"/>
        <v>0</v>
      </c>
      <c r="AM108" s="54">
        <f t="shared" si="114"/>
        <v>0</v>
      </c>
      <c r="AN108" s="54">
        <f t="shared" si="115"/>
        <v>0</v>
      </c>
      <c r="AO108" s="54">
        <f t="shared" si="116"/>
        <v>0</v>
      </c>
      <c r="AP108" s="54">
        <f t="shared" si="117"/>
        <v>0</v>
      </c>
      <c r="AQ108" s="54">
        <f t="shared" si="118"/>
        <v>0</v>
      </c>
      <c r="AR108" s="53">
        <f t="shared" si="119"/>
        <v>0</v>
      </c>
      <c r="AS108" s="409" t="str">
        <f t="shared" si="120"/>
        <v/>
      </c>
      <c r="AT108" s="54">
        <f t="shared" si="94"/>
        <v>0</v>
      </c>
      <c r="AU108" s="54">
        <f t="shared" si="95"/>
        <v>0</v>
      </c>
      <c r="AV108" s="54">
        <f t="shared" si="96"/>
        <v>0</v>
      </c>
      <c r="AW108" s="55" t="b">
        <f t="shared" ca="1" si="97"/>
        <v>0</v>
      </c>
      <c r="AX108" s="69"/>
      <c r="AY108" s="203">
        <f t="shared" ca="1" si="98"/>
        <v>0</v>
      </c>
      <c r="AZ108" s="72">
        <f t="shared" ca="1" si="99"/>
        <v>0</v>
      </c>
      <c r="BA108" s="72">
        <f t="shared" ca="1" si="78"/>
        <v>0</v>
      </c>
      <c r="BB108" s="75">
        <f t="shared" ca="1" si="100"/>
        <v>0</v>
      </c>
      <c r="BC108" s="209">
        <f t="shared" si="101"/>
        <v>0</v>
      </c>
      <c r="BD108" s="72">
        <f t="shared" si="79"/>
        <v>0</v>
      </c>
      <c r="BE108" s="72">
        <f t="shared" si="80"/>
        <v>0</v>
      </c>
      <c r="BF108" s="72">
        <f t="shared" si="81"/>
        <v>0</v>
      </c>
      <c r="BG108" s="200">
        <f t="shared" ca="1" si="82"/>
        <v>0</v>
      </c>
      <c r="BH108" s="69"/>
      <c r="BI108" s="198">
        <f t="shared" si="18"/>
        <v>0</v>
      </c>
      <c r="BJ108" s="71">
        <f t="shared" si="19"/>
        <v>0</v>
      </c>
      <c r="BK108" s="72">
        <f t="shared" si="83"/>
        <v>0</v>
      </c>
      <c r="BL108" s="72">
        <f t="shared" ca="1" si="84"/>
        <v>0</v>
      </c>
      <c r="BM108" s="200">
        <f t="shared" ca="1" si="102"/>
        <v>0</v>
      </c>
      <c r="BN108" s="69"/>
      <c r="BO108" s="198">
        <f t="shared" si="103"/>
        <v>0</v>
      </c>
      <c r="BP108" s="72">
        <f t="shared" ca="1" si="104"/>
        <v>0</v>
      </c>
      <c r="BQ108" s="78">
        <f t="shared" si="85"/>
        <v>0</v>
      </c>
      <c r="BR108" s="78">
        <f t="shared" si="86"/>
        <v>0</v>
      </c>
      <c r="BS108" s="80">
        <f t="shared" ca="1" si="105"/>
        <v>0</v>
      </c>
      <c r="BT108" s="80">
        <f t="shared" ca="1" si="106"/>
        <v>0</v>
      </c>
      <c r="BU108" s="259" t="str">
        <f t="shared" ca="1" si="87"/>
        <v/>
      </c>
      <c r="BV108" s="206" t="str">
        <f t="shared" ca="1" si="88"/>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row>
    <row r="109" spans="1:116" ht="12.75" hidden="1" customHeight="1">
      <c r="A109" s="5"/>
      <c r="B109" s="327" t="str">
        <f t="shared" si="28"/>
        <v>-</v>
      </c>
      <c r="C109" s="398">
        <v>73</v>
      </c>
      <c r="D109" s="931"/>
      <c r="E109" s="932"/>
      <c r="F109" s="476"/>
      <c r="G109" s="483"/>
      <c r="H109" s="466"/>
      <c r="I109" s="467"/>
      <c r="J109" s="489"/>
      <c r="K109" s="490"/>
      <c r="L109" s="491"/>
      <c r="M109" s="492"/>
      <c r="N109" s="373" t="str">
        <f t="shared" ca="1" si="89"/>
        <v/>
      </c>
      <c r="O109" s="374" t="str">
        <f t="shared" ca="1" si="90"/>
        <v/>
      </c>
      <c r="P109" s="375">
        <f t="shared" ca="1" si="91"/>
        <v>0</v>
      </c>
      <c r="Q109" s="384" t="str">
        <f t="shared" ca="1" si="72"/>
        <v/>
      </c>
      <c r="R109" s="385" t="str">
        <f t="shared" ca="1" si="92"/>
        <v/>
      </c>
      <c r="S109" s="386">
        <f t="shared" ca="1" si="73"/>
        <v>0</v>
      </c>
      <c r="T109" s="387" t="str">
        <f t="shared" ca="1" si="93"/>
        <v/>
      </c>
      <c r="U109" s="5"/>
      <c r="V109" s="6"/>
      <c r="W109" s="4"/>
      <c r="X109" s="4">
        <v>73</v>
      </c>
      <c r="Y109" s="104" t="str">
        <f t="shared" si="74"/>
        <v>-</v>
      </c>
      <c r="Z109" s="104">
        <f t="shared" si="75"/>
        <v>0</v>
      </c>
      <c r="AA109" s="4"/>
      <c r="AB109" s="53">
        <f t="shared" si="76"/>
        <v>0</v>
      </c>
      <c r="AC109" s="54">
        <f>IF(SUM(AB109:AB$116)=0,0,F109&gt;0)</f>
        <v>0</v>
      </c>
      <c r="AD109" s="53">
        <f t="shared" si="77"/>
        <v>0</v>
      </c>
      <c r="AE109" s="54">
        <f>IF(SUM(AB109:AB$116)=0,0,AND(AC109=FALSE,AD109=0,SUM(AD109:AD$116)&gt;0))</f>
        <v>0</v>
      </c>
      <c r="AF109" s="54">
        <f t="shared" si="107"/>
        <v>0</v>
      </c>
      <c r="AG109" s="54">
        <f t="shared" si="108"/>
        <v>0</v>
      </c>
      <c r="AH109" s="56">
        <f t="shared" si="109"/>
        <v>0</v>
      </c>
      <c r="AI109" s="56">
        <f t="shared" si="110"/>
        <v>0</v>
      </c>
      <c r="AJ109" s="54">
        <f t="shared" si="111"/>
        <v>0</v>
      </c>
      <c r="AK109" s="54" t="str">
        <f t="shared" si="112"/>
        <v/>
      </c>
      <c r="AL109" s="54">
        <f t="shared" si="113"/>
        <v>0</v>
      </c>
      <c r="AM109" s="54">
        <f t="shared" si="114"/>
        <v>0</v>
      </c>
      <c r="AN109" s="54">
        <f t="shared" si="115"/>
        <v>0</v>
      </c>
      <c r="AO109" s="54">
        <f t="shared" si="116"/>
        <v>0</v>
      </c>
      <c r="AP109" s="54">
        <f t="shared" si="117"/>
        <v>0</v>
      </c>
      <c r="AQ109" s="54">
        <f t="shared" si="118"/>
        <v>0</v>
      </c>
      <c r="AR109" s="53">
        <f t="shared" si="119"/>
        <v>0</v>
      </c>
      <c r="AS109" s="409" t="str">
        <f t="shared" si="120"/>
        <v/>
      </c>
      <c r="AT109" s="54">
        <f t="shared" si="94"/>
        <v>0</v>
      </c>
      <c r="AU109" s="54">
        <f t="shared" si="95"/>
        <v>0</v>
      </c>
      <c r="AV109" s="54">
        <f t="shared" si="96"/>
        <v>0</v>
      </c>
      <c r="AW109" s="55" t="b">
        <f t="shared" ca="1" si="97"/>
        <v>0</v>
      </c>
      <c r="AX109" s="69"/>
      <c r="AY109" s="203">
        <f t="shared" ca="1" si="98"/>
        <v>0</v>
      </c>
      <c r="AZ109" s="72">
        <f t="shared" ca="1" si="99"/>
        <v>0</v>
      </c>
      <c r="BA109" s="72">
        <f t="shared" ca="1" si="78"/>
        <v>0</v>
      </c>
      <c r="BB109" s="75">
        <f t="shared" ca="1" si="100"/>
        <v>0</v>
      </c>
      <c r="BC109" s="209">
        <f t="shared" si="101"/>
        <v>0</v>
      </c>
      <c r="BD109" s="72">
        <f t="shared" si="79"/>
        <v>0</v>
      </c>
      <c r="BE109" s="72">
        <f t="shared" si="80"/>
        <v>0</v>
      </c>
      <c r="BF109" s="72">
        <f t="shared" si="81"/>
        <v>0</v>
      </c>
      <c r="BG109" s="200">
        <f t="shared" ca="1" si="82"/>
        <v>0</v>
      </c>
      <c r="BH109" s="69"/>
      <c r="BI109" s="198">
        <f t="shared" si="18"/>
        <v>0</v>
      </c>
      <c r="BJ109" s="71">
        <f t="shared" si="19"/>
        <v>0</v>
      </c>
      <c r="BK109" s="72">
        <f t="shared" si="83"/>
        <v>0</v>
      </c>
      <c r="BL109" s="72">
        <f t="shared" ca="1" si="84"/>
        <v>0</v>
      </c>
      <c r="BM109" s="200">
        <f t="shared" ca="1" si="102"/>
        <v>0</v>
      </c>
      <c r="BN109" s="69"/>
      <c r="BO109" s="198">
        <f t="shared" si="103"/>
        <v>0</v>
      </c>
      <c r="BP109" s="72">
        <f t="shared" ca="1" si="104"/>
        <v>0</v>
      </c>
      <c r="BQ109" s="78">
        <f t="shared" si="85"/>
        <v>0</v>
      </c>
      <c r="BR109" s="78">
        <f t="shared" si="86"/>
        <v>0</v>
      </c>
      <c r="BS109" s="80">
        <f t="shared" ca="1" si="105"/>
        <v>0</v>
      </c>
      <c r="BT109" s="80">
        <f t="shared" ca="1" si="106"/>
        <v>0</v>
      </c>
      <c r="BU109" s="259" t="str">
        <f t="shared" ca="1" si="87"/>
        <v/>
      </c>
      <c r="BV109" s="206" t="str">
        <f t="shared" ca="1" si="88"/>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row>
    <row r="110" spans="1:116" ht="12.75" hidden="1" customHeight="1">
      <c r="A110" s="5"/>
      <c r="B110" s="327" t="str">
        <f t="shared" si="28"/>
        <v>-</v>
      </c>
      <c r="C110" s="398">
        <v>74</v>
      </c>
      <c r="D110" s="931"/>
      <c r="E110" s="932"/>
      <c r="F110" s="476"/>
      <c r="G110" s="483"/>
      <c r="H110" s="466"/>
      <c r="I110" s="467"/>
      <c r="J110" s="489"/>
      <c r="K110" s="490"/>
      <c r="L110" s="491"/>
      <c r="M110" s="492"/>
      <c r="N110" s="373" t="str">
        <f t="shared" ca="1" si="89"/>
        <v/>
      </c>
      <c r="O110" s="374" t="str">
        <f t="shared" ca="1" si="90"/>
        <v/>
      </c>
      <c r="P110" s="375">
        <f t="shared" ca="1" si="91"/>
        <v>0</v>
      </c>
      <c r="Q110" s="384" t="str">
        <f t="shared" ca="1" si="72"/>
        <v/>
      </c>
      <c r="R110" s="385" t="str">
        <f t="shared" ca="1" si="92"/>
        <v/>
      </c>
      <c r="S110" s="386">
        <f t="shared" ca="1" si="73"/>
        <v>0</v>
      </c>
      <c r="T110" s="387" t="str">
        <f t="shared" ca="1" si="93"/>
        <v/>
      </c>
      <c r="U110" s="5"/>
      <c r="V110" s="6"/>
      <c r="W110" s="4"/>
      <c r="X110" s="4">
        <v>74</v>
      </c>
      <c r="Y110" s="104" t="str">
        <f t="shared" si="74"/>
        <v>-</v>
      </c>
      <c r="Z110" s="104">
        <f t="shared" si="75"/>
        <v>0</v>
      </c>
      <c r="AA110" s="4"/>
      <c r="AB110" s="53">
        <f t="shared" si="76"/>
        <v>0</v>
      </c>
      <c r="AC110" s="54">
        <f>IF(SUM(AB110:AB$116)=0,0,F110&gt;0)</f>
        <v>0</v>
      </c>
      <c r="AD110" s="53">
        <f t="shared" si="77"/>
        <v>0</v>
      </c>
      <c r="AE110" s="54">
        <f>IF(SUM(AB110:AB$116)=0,0,AND(AC110=FALSE,AD110=0,SUM(AD110:AD$116)&gt;0))</f>
        <v>0</v>
      </c>
      <c r="AF110" s="54">
        <f t="shared" si="107"/>
        <v>0</v>
      </c>
      <c r="AG110" s="54">
        <f t="shared" si="108"/>
        <v>0</v>
      </c>
      <c r="AH110" s="56">
        <f t="shared" si="109"/>
        <v>0</v>
      </c>
      <c r="AI110" s="56">
        <f t="shared" si="110"/>
        <v>0</v>
      </c>
      <c r="AJ110" s="54">
        <f t="shared" si="111"/>
        <v>0</v>
      </c>
      <c r="AK110" s="54" t="str">
        <f t="shared" si="112"/>
        <v/>
      </c>
      <c r="AL110" s="54">
        <f t="shared" si="113"/>
        <v>0</v>
      </c>
      <c r="AM110" s="54">
        <f t="shared" si="114"/>
        <v>0</v>
      </c>
      <c r="AN110" s="54">
        <f t="shared" si="115"/>
        <v>0</v>
      </c>
      <c r="AO110" s="54">
        <f t="shared" si="116"/>
        <v>0</v>
      </c>
      <c r="AP110" s="54">
        <f t="shared" si="117"/>
        <v>0</v>
      </c>
      <c r="AQ110" s="54">
        <f t="shared" si="118"/>
        <v>0</v>
      </c>
      <c r="AR110" s="53">
        <f t="shared" si="119"/>
        <v>0</v>
      </c>
      <c r="AS110" s="409" t="str">
        <f t="shared" si="120"/>
        <v/>
      </c>
      <c r="AT110" s="54">
        <f t="shared" si="94"/>
        <v>0</v>
      </c>
      <c r="AU110" s="54">
        <f t="shared" si="95"/>
        <v>0</v>
      </c>
      <c r="AV110" s="54">
        <f t="shared" si="96"/>
        <v>0</v>
      </c>
      <c r="AW110" s="55" t="b">
        <f t="shared" ca="1" si="97"/>
        <v>0</v>
      </c>
      <c r="AX110" s="69"/>
      <c r="AY110" s="203">
        <f t="shared" ca="1" si="98"/>
        <v>0</v>
      </c>
      <c r="AZ110" s="72">
        <f t="shared" ca="1" si="99"/>
        <v>0</v>
      </c>
      <c r="BA110" s="72">
        <f t="shared" ca="1" si="78"/>
        <v>0</v>
      </c>
      <c r="BB110" s="75">
        <f t="shared" ca="1" si="100"/>
        <v>0</v>
      </c>
      <c r="BC110" s="209">
        <f t="shared" si="101"/>
        <v>0</v>
      </c>
      <c r="BD110" s="72">
        <f t="shared" si="79"/>
        <v>0</v>
      </c>
      <c r="BE110" s="72">
        <f t="shared" si="80"/>
        <v>0</v>
      </c>
      <c r="BF110" s="72">
        <f t="shared" si="81"/>
        <v>0</v>
      </c>
      <c r="BG110" s="200">
        <f t="shared" ca="1" si="82"/>
        <v>0</v>
      </c>
      <c r="BH110" s="69"/>
      <c r="BI110" s="198">
        <f t="shared" si="18"/>
        <v>0</v>
      </c>
      <c r="BJ110" s="71">
        <f t="shared" si="19"/>
        <v>0</v>
      </c>
      <c r="BK110" s="72">
        <f t="shared" si="83"/>
        <v>0</v>
      </c>
      <c r="BL110" s="72">
        <f t="shared" ca="1" si="84"/>
        <v>0</v>
      </c>
      <c r="BM110" s="200">
        <f t="shared" ca="1" si="102"/>
        <v>0</v>
      </c>
      <c r="BN110" s="69"/>
      <c r="BO110" s="198">
        <f t="shared" si="103"/>
        <v>0</v>
      </c>
      <c r="BP110" s="72">
        <f t="shared" ca="1" si="104"/>
        <v>0</v>
      </c>
      <c r="BQ110" s="78">
        <f t="shared" si="85"/>
        <v>0</v>
      </c>
      <c r="BR110" s="78">
        <f t="shared" si="86"/>
        <v>0</v>
      </c>
      <c r="BS110" s="80">
        <f t="shared" ca="1" si="105"/>
        <v>0</v>
      </c>
      <c r="BT110" s="80">
        <f t="shared" ca="1" si="106"/>
        <v>0</v>
      </c>
      <c r="BU110" s="259" t="str">
        <f t="shared" ca="1" si="87"/>
        <v/>
      </c>
      <c r="BV110" s="206" t="str">
        <f t="shared" ca="1" si="88"/>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row>
    <row r="111" spans="1:116" ht="12.75" hidden="1" customHeight="1">
      <c r="A111" s="5"/>
      <c r="B111" s="327" t="str">
        <f t="shared" si="28"/>
        <v>-</v>
      </c>
      <c r="C111" s="398">
        <v>75</v>
      </c>
      <c r="D111" s="931"/>
      <c r="E111" s="932"/>
      <c r="F111" s="476"/>
      <c r="G111" s="483"/>
      <c r="H111" s="466"/>
      <c r="I111" s="467"/>
      <c r="J111" s="489"/>
      <c r="K111" s="490"/>
      <c r="L111" s="491"/>
      <c r="M111" s="492"/>
      <c r="N111" s="373" t="str">
        <f t="shared" ca="1" si="89"/>
        <v/>
      </c>
      <c r="O111" s="374" t="str">
        <f t="shared" ca="1" si="90"/>
        <v/>
      </c>
      <c r="P111" s="375">
        <f t="shared" ca="1" si="91"/>
        <v>0</v>
      </c>
      <c r="Q111" s="384" t="str">
        <f t="shared" ca="1" si="72"/>
        <v/>
      </c>
      <c r="R111" s="385" t="str">
        <f t="shared" ca="1" si="92"/>
        <v/>
      </c>
      <c r="S111" s="386">
        <f t="shared" ca="1" si="73"/>
        <v>0</v>
      </c>
      <c r="T111" s="387" t="str">
        <f t="shared" ca="1" si="93"/>
        <v/>
      </c>
      <c r="U111" s="5"/>
      <c r="V111" s="6"/>
      <c r="W111" s="4"/>
      <c r="X111" s="4">
        <v>75</v>
      </c>
      <c r="Y111" s="104" t="str">
        <f t="shared" si="74"/>
        <v>-</v>
      </c>
      <c r="Z111" s="104">
        <f t="shared" si="75"/>
        <v>0</v>
      </c>
      <c r="AA111" s="4"/>
      <c r="AB111" s="53">
        <f t="shared" si="76"/>
        <v>0</v>
      </c>
      <c r="AC111" s="54">
        <f>IF(SUM(AB111:AB$116)=0,0,F111&gt;0)</f>
        <v>0</v>
      </c>
      <c r="AD111" s="53">
        <f t="shared" si="77"/>
        <v>0</v>
      </c>
      <c r="AE111" s="54">
        <f>IF(SUM(AB111:AB$116)=0,0,AND(AC111=FALSE,AD111=0,SUM(AD111:AD$116)&gt;0))</f>
        <v>0</v>
      </c>
      <c r="AF111" s="54">
        <f t="shared" si="107"/>
        <v>0</v>
      </c>
      <c r="AG111" s="54">
        <f t="shared" si="108"/>
        <v>0</v>
      </c>
      <c r="AH111" s="56">
        <f t="shared" si="109"/>
        <v>0</v>
      </c>
      <c r="AI111" s="56">
        <f t="shared" si="110"/>
        <v>0</v>
      </c>
      <c r="AJ111" s="54">
        <f t="shared" si="111"/>
        <v>0</v>
      </c>
      <c r="AK111" s="54" t="str">
        <f t="shared" si="112"/>
        <v/>
      </c>
      <c r="AL111" s="54">
        <f t="shared" si="113"/>
        <v>0</v>
      </c>
      <c r="AM111" s="54">
        <f t="shared" si="114"/>
        <v>0</v>
      </c>
      <c r="AN111" s="54">
        <f t="shared" si="115"/>
        <v>0</v>
      </c>
      <c r="AO111" s="54">
        <f t="shared" si="116"/>
        <v>0</v>
      </c>
      <c r="AP111" s="54">
        <f t="shared" si="117"/>
        <v>0</v>
      </c>
      <c r="AQ111" s="54">
        <f t="shared" si="118"/>
        <v>0</v>
      </c>
      <c r="AR111" s="53">
        <f t="shared" si="119"/>
        <v>0</v>
      </c>
      <c r="AS111" s="409" t="str">
        <f t="shared" si="120"/>
        <v/>
      </c>
      <c r="AT111" s="54">
        <f t="shared" si="94"/>
        <v>0</v>
      </c>
      <c r="AU111" s="54">
        <f t="shared" si="95"/>
        <v>0</v>
      </c>
      <c r="AV111" s="54">
        <f t="shared" si="96"/>
        <v>0</v>
      </c>
      <c r="AW111" s="55" t="b">
        <f t="shared" ca="1" si="97"/>
        <v>0</v>
      </c>
      <c r="AX111" s="69"/>
      <c r="AY111" s="203">
        <f t="shared" ca="1" si="98"/>
        <v>0</v>
      </c>
      <c r="AZ111" s="72">
        <f t="shared" ca="1" si="99"/>
        <v>0</v>
      </c>
      <c r="BA111" s="72">
        <f t="shared" ca="1" si="78"/>
        <v>0</v>
      </c>
      <c r="BB111" s="75">
        <f t="shared" ca="1" si="100"/>
        <v>0</v>
      </c>
      <c r="BC111" s="209">
        <f t="shared" si="101"/>
        <v>0</v>
      </c>
      <c r="BD111" s="72">
        <f t="shared" si="79"/>
        <v>0</v>
      </c>
      <c r="BE111" s="72">
        <f t="shared" si="80"/>
        <v>0</v>
      </c>
      <c r="BF111" s="72">
        <f t="shared" si="81"/>
        <v>0</v>
      </c>
      <c r="BG111" s="200">
        <f t="shared" ca="1" si="82"/>
        <v>0</v>
      </c>
      <c r="BH111" s="69"/>
      <c r="BI111" s="198">
        <f t="shared" si="18"/>
        <v>0</v>
      </c>
      <c r="BJ111" s="71">
        <f t="shared" si="19"/>
        <v>0</v>
      </c>
      <c r="BK111" s="72">
        <f t="shared" si="83"/>
        <v>0</v>
      </c>
      <c r="BL111" s="72">
        <f t="shared" ca="1" si="84"/>
        <v>0</v>
      </c>
      <c r="BM111" s="200">
        <f t="shared" ca="1" si="102"/>
        <v>0</v>
      </c>
      <c r="BN111" s="69"/>
      <c r="BO111" s="198">
        <f t="shared" si="103"/>
        <v>0</v>
      </c>
      <c r="BP111" s="72">
        <f t="shared" ca="1" si="104"/>
        <v>0</v>
      </c>
      <c r="BQ111" s="78">
        <f t="shared" si="85"/>
        <v>0</v>
      </c>
      <c r="BR111" s="78">
        <f t="shared" si="86"/>
        <v>0</v>
      </c>
      <c r="BS111" s="80">
        <f t="shared" ca="1" si="105"/>
        <v>0</v>
      </c>
      <c r="BT111" s="80">
        <f t="shared" ca="1" si="106"/>
        <v>0</v>
      </c>
      <c r="BU111" s="259" t="str">
        <f t="shared" ca="1" si="87"/>
        <v/>
      </c>
      <c r="BV111" s="206" t="str">
        <f t="shared" ca="1" si="88"/>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row>
    <row r="112" spans="1:116" ht="12.75" hidden="1" customHeight="1">
      <c r="A112" s="5"/>
      <c r="B112" s="327" t="str">
        <f t="shared" si="28"/>
        <v>-</v>
      </c>
      <c r="C112" s="398">
        <v>76</v>
      </c>
      <c r="D112" s="931"/>
      <c r="E112" s="932"/>
      <c r="F112" s="476"/>
      <c r="G112" s="483"/>
      <c r="H112" s="466"/>
      <c r="I112" s="467"/>
      <c r="J112" s="489"/>
      <c r="K112" s="490"/>
      <c r="L112" s="491"/>
      <c r="M112" s="492"/>
      <c r="N112" s="373" t="str">
        <f t="shared" ca="1" si="89"/>
        <v/>
      </c>
      <c r="O112" s="374" t="str">
        <f t="shared" ca="1" si="90"/>
        <v/>
      </c>
      <c r="P112" s="375">
        <f t="shared" ca="1" si="91"/>
        <v>0</v>
      </c>
      <c r="Q112" s="384" t="str">
        <f t="shared" ca="1" si="72"/>
        <v/>
      </c>
      <c r="R112" s="385" t="str">
        <f t="shared" ca="1" si="92"/>
        <v/>
      </c>
      <c r="S112" s="386">
        <f t="shared" ca="1" si="73"/>
        <v>0</v>
      </c>
      <c r="T112" s="387" t="str">
        <f t="shared" ca="1" si="93"/>
        <v/>
      </c>
      <c r="U112" s="5"/>
      <c r="V112" s="6"/>
      <c r="W112" s="4"/>
      <c r="X112" s="4">
        <v>76</v>
      </c>
      <c r="Y112" s="104" t="str">
        <f t="shared" si="74"/>
        <v>-</v>
      </c>
      <c r="Z112" s="104">
        <f t="shared" si="75"/>
        <v>0</v>
      </c>
      <c r="AA112" s="4"/>
      <c r="AB112" s="53">
        <f t="shared" si="76"/>
        <v>0</v>
      </c>
      <c r="AC112" s="54">
        <f>IF(SUM(AB112:AB$116)=0,0,F112&gt;0)</f>
        <v>0</v>
      </c>
      <c r="AD112" s="53">
        <f t="shared" si="77"/>
        <v>0</v>
      </c>
      <c r="AE112" s="54">
        <f>IF(SUM(AB112:AB$116)=0,0,AND(AC112=FALSE,AD112=0,SUM(AD112:AD$116)&gt;0))</f>
        <v>0</v>
      </c>
      <c r="AF112" s="54">
        <f t="shared" si="107"/>
        <v>0</v>
      </c>
      <c r="AG112" s="54">
        <f t="shared" si="108"/>
        <v>0</v>
      </c>
      <c r="AH112" s="56">
        <f t="shared" si="109"/>
        <v>0</v>
      </c>
      <c r="AI112" s="56">
        <f t="shared" si="110"/>
        <v>0</v>
      </c>
      <c r="AJ112" s="54">
        <f t="shared" si="111"/>
        <v>0</v>
      </c>
      <c r="AK112" s="54" t="str">
        <f t="shared" si="112"/>
        <v/>
      </c>
      <c r="AL112" s="54">
        <f t="shared" si="113"/>
        <v>0</v>
      </c>
      <c r="AM112" s="54">
        <f t="shared" si="114"/>
        <v>0</v>
      </c>
      <c r="AN112" s="54">
        <f t="shared" si="115"/>
        <v>0</v>
      </c>
      <c r="AO112" s="54">
        <f t="shared" si="116"/>
        <v>0</v>
      </c>
      <c r="AP112" s="54">
        <f t="shared" si="117"/>
        <v>0</v>
      </c>
      <c r="AQ112" s="54">
        <f t="shared" si="118"/>
        <v>0</v>
      </c>
      <c r="AR112" s="53">
        <f t="shared" si="119"/>
        <v>0</v>
      </c>
      <c r="AS112" s="409" t="str">
        <f t="shared" si="120"/>
        <v/>
      </c>
      <c r="AT112" s="54">
        <f t="shared" si="94"/>
        <v>0</v>
      </c>
      <c r="AU112" s="54">
        <f t="shared" si="95"/>
        <v>0</v>
      </c>
      <c r="AV112" s="54">
        <f t="shared" si="96"/>
        <v>0</v>
      </c>
      <c r="AW112" s="55" t="b">
        <f t="shared" ca="1" si="97"/>
        <v>0</v>
      </c>
      <c r="AX112" s="69"/>
      <c r="AY112" s="203">
        <f t="shared" ca="1" si="98"/>
        <v>0</v>
      </c>
      <c r="AZ112" s="72">
        <f t="shared" ca="1" si="99"/>
        <v>0</v>
      </c>
      <c r="BA112" s="72">
        <f t="shared" ca="1" si="78"/>
        <v>0</v>
      </c>
      <c r="BB112" s="75">
        <f t="shared" ca="1" si="100"/>
        <v>0</v>
      </c>
      <c r="BC112" s="209">
        <f t="shared" si="101"/>
        <v>0</v>
      </c>
      <c r="BD112" s="72">
        <f t="shared" si="79"/>
        <v>0</v>
      </c>
      <c r="BE112" s="72">
        <f t="shared" si="80"/>
        <v>0</v>
      </c>
      <c r="BF112" s="72">
        <f t="shared" si="81"/>
        <v>0</v>
      </c>
      <c r="BG112" s="200">
        <f t="shared" ca="1" si="82"/>
        <v>0</v>
      </c>
      <c r="BH112" s="69"/>
      <c r="BI112" s="198">
        <f t="shared" si="18"/>
        <v>0</v>
      </c>
      <c r="BJ112" s="71">
        <f t="shared" si="19"/>
        <v>0</v>
      </c>
      <c r="BK112" s="72">
        <f t="shared" si="83"/>
        <v>0</v>
      </c>
      <c r="BL112" s="72">
        <f t="shared" ca="1" si="84"/>
        <v>0</v>
      </c>
      <c r="BM112" s="200">
        <f t="shared" ca="1" si="102"/>
        <v>0</v>
      </c>
      <c r="BN112" s="69"/>
      <c r="BO112" s="198">
        <f t="shared" si="103"/>
        <v>0</v>
      </c>
      <c r="BP112" s="72">
        <f t="shared" ca="1" si="104"/>
        <v>0</v>
      </c>
      <c r="BQ112" s="78">
        <f t="shared" si="85"/>
        <v>0</v>
      </c>
      <c r="BR112" s="78">
        <f t="shared" si="86"/>
        <v>0</v>
      </c>
      <c r="BS112" s="80">
        <f t="shared" ca="1" si="105"/>
        <v>0</v>
      </c>
      <c r="BT112" s="80">
        <f t="shared" ca="1" si="106"/>
        <v>0</v>
      </c>
      <c r="BU112" s="259" t="str">
        <f t="shared" ca="1" si="87"/>
        <v/>
      </c>
      <c r="BV112" s="206" t="str">
        <f t="shared" ca="1" si="88"/>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row>
    <row r="113" spans="1:116" ht="12.75" hidden="1" customHeight="1">
      <c r="A113" s="5"/>
      <c r="B113" s="327" t="str">
        <f t="shared" si="28"/>
        <v>-</v>
      </c>
      <c r="C113" s="398">
        <v>77</v>
      </c>
      <c r="D113" s="931"/>
      <c r="E113" s="932"/>
      <c r="F113" s="476"/>
      <c r="G113" s="483"/>
      <c r="H113" s="466"/>
      <c r="I113" s="467"/>
      <c r="J113" s="489"/>
      <c r="K113" s="490"/>
      <c r="L113" s="491"/>
      <c r="M113" s="492"/>
      <c r="N113" s="373" t="str">
        <f t="shared" ca="1" si="89"/>
        <v/>
      </c>
      <c r="O113" s="374" t="str">
        <f t="shared" ca="1" si="90"/>
        <v/>
      </c>
      <c r="P113" s="375">
        <f t="shared" ca="1" si="91"/>
        <v>0</v>
      </c>
      <c r="Q113" s="384" t="str">
        <f t="shared" ca="1" si="72"/>
        <v/>
      </c>
      <c r="R113" s="385" t="str">
        <f t="shared" ca="1" si="92"/>
        <v/>
      </c>
      <c r="S113" s="386">
        <f t="shared" ca="1" si="73"/>
        <v>0</v>
      </c>
      <c r="T113" s="387" t="str">
        <f t="shared" ca="1" si="93"/>
        <v/>
      </c>
      <c r="U113" s="5"/>
      <c r="V113" s="6"/>
      <c r="W113" s="4"/>
      <c r="X113" s="4">
        <v>77</v>
      </c>
      <c r="Y113" s="104" t="str">
        <f t="shared" si="74"/>
        <v>-</v>
      </c>
      <c r="Z113" s="104">
        <f t="shared" si="75"/>
        <v>0</v>
      </c>
      <c r="AA113" s="4"/>
      <c r="AB113" s="53">
        <f t="shared" si="76"/>
        <v>0</v>
      </c>
      <c r="AC113" s="54">
        <f>IF(SUM(AB113:AB$116)=0,0,F113&gt;0)</f>
        <v>0</v>
      </c>
      <c r="AD113" s="53">
        <f t="shared" si="77"/>
        <v>0</v>
      </c>
      <c r="AE113" s="54">
        <f>IF(SUM(AB113:AB$116)=0,0,AND(AC113=FALSE,AD113=0,SUM(AD113:AD$116)&gt;0))</f>
        <v>0</v>
      </c>
      <c r="AF113" s="54">
        <f t="shared" si="107"/>
        <v>0</v>
      </c>
      <c r="AG113" s="54">
        <f t="shared" si="108"/>
        <v>0</v>
      </c>
      <c r="AH113" s="56">
        <f t="shared" si="109"/>
        <v>0</v>
      </c>
      <c r="AI113" s="56">
        <f t="shared" si="110"/>
        <v>0</v>
      </c>
      <c r="AJ113" s="54">
        <f t="shared" si="111"/>
        <v>0</v>
      </c>
      <c r="AK113" s="54" t="str">
        <f t="shared" si="112"/>
        <v/>
      </c>
      <c r="AL113" s="54">
        <f t="shared" si="113"/>
        <v>0</v>
      </c>
      <c r="AM113" s="54">
        <f t="shared" si="114"/>
        <v>0</v>
      </c>
      <c r="AN113" s="54">
        <f t="shared" si="115"/>
        <v>0</v>
      </c>
      <c r="AO113" s="54">
        <f t="shared" si="116"/>
        <v>0</v>
      </c>
      <c r="AP113" s="54">
        <f t="shared" si="117"/>
        <v>0</v>
      </c>
      <c r="AQ113" s="54">
        <f t="shared" si="118"/>
        <v>0</v>
      </c>
      <c r="AR113" s="53">
        <f t="shared" si="119"/>
        <v>0</v>
      </c>
      <c r="AS113" s="409" t="str">
        <f t="shared" si="120"/>
        <v/>
      </c>
      <c r="AT113" s="54">
        <f t="shared" si="94"/>
        <v>0</v>
      </c>
      <c r="AU113" s="54">
        <f t="shared" si="95"/>
        <v>0</v>
      </c>
      <c r="AV113" s="54">
        <f t="shared" si="96"/>
        <v>0</v>
      </c>
      <c r="AW113" s="55" t="b">
        <f t="shared" ca="1" si="97"/>
        <v>0</v>
      </c>
      <c r="AX113" s="69"/>
      <c r="AY113" s="203">
        <f t="shared" ca="1" si="98"/>
        <v>0</v>
      </c>
      <c r="AZ113" s="72">
        <f t="shared" ca="1" si="99"/>
        <v>0</v>
      </c>
      <c r="BA113" s="72">
        <f t="shared" ca="1" si="78"/>
        <v>0</v>
      </c>
      <c r="BB113" s="75">
        <f t="shared" ca="1" si="100"/>
        <v>0</v>
      </c>
      <c r="BC113" s="209">
        <f t="shared" si="101"/>
        <v>0</v>
      </c>
      <c r="BD113" s="72">
        <f t="shared" si="79"/>
        <v>0</v>
      </c>
      <c r="BE113" s="72">
        <f t="shared" si="80"/>
        <v>0</v>
      </c>
      <c r="BF113" s="72">
        <f t="shared" si="81"/>
        <v>0</v>
      </c>
      <c r="BG113" s="200">
        <f t="shared" ca="1" si="82"/>
        <v>0</v>
      </c>
      <c r="BH113" s="69"/>
      <c r="BI113" s="198">
        <f t="shared" si="18"/>
        <v>0</v>
      </c>
      <c r="BJ113" s="71">
        <f t="shared" si="19"/>
        <v>0</v>
      </c>
      <c r="BK113" s="72">
        <f t="shared" si="83"/>
        <v>0</v>
      </c>
      <c r="BL113" s="72">
        <f t="shared" ca="1" si="84"/>
        <v>0</v>
      </c>
      <c r="BM113" s="200">
        <f t="shared" ca="1" si="102"/>
        <v>0</v>
      </c>
      <c r="BN113" s="69"/>
      <c r="BO113" s="198">
        <f t="shared" si="103"/>
        <v>0</v>
      </c>
      <c r="BP113" s="72">
        <f t="shared" ca="1" si="104"/>
        <v>0</v>
      </c>
      <c r="BQ113" s="78">
        <f t="shared" si="85"/>
        <v>0</v>
      </c>
      <c r="BR113" s="78">
        <f t="shared" si="86"/>
        <v>0</v>
      </c>
      <c r="BS113" s="80">
        <f t="shared" ca="1" si="105"/>
        <v>0</v>
      </c>
      <c r="BT113" s="80">
        <f t="shared" ca="1" si="106"/>
        <v>0</v>
      </c>
      <c r="BU113" s="259" t="str">
        <f t="shared" ca="1" si="87"/>
        <v/>
      </c>
      <c r="BV113" s="206" t="str">
        <f t="shared" ca="1" si="88"/>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row>
    <row r="114" spans="1:116" ht="12.75" hidden="1" customHeight="1">
      <c r="A114" s="5"/>
      <c r="B114" s="327" t="str">
        <f t="shared" si="28"/>
        <v>-</v>
      </c>
      <c r="C114" s="398">
        <v>78</v>
      </c>
      <c r="D114" s="931"/>
      <c r="E114" s="932"/>
      <c r="F114" s="476"/>
      <c r="G114" s="483"/>
      <c r="H114" s="466"/>
      <c r="I114" s="467"/>
      <c r="J114" s="489"/>
      <c r="K114" s="490"/>
      <c r="L114" s="491"/>
      <c r="M114" s="492"/>
      <c r="N114" s="373" t="str">
        <f t="shared" ca="1" si="89"/>
        <v/>
      </c>
      <c r="O114" s="374" t="str">
        <f t="shared" ca="1" si="90"/>
        <v/>
      </c>
      <c r="P114" s="375">
        <f t="shared" ca="1" si="91"/>
        <v>0</v>
      </c>
      <c r="Q114" s="384" t="str">
        <f t="shared" ca="1" si="72"/>
        <v/>
      </c>
      <c r="R114" s="385" t="str">
        <f t="shared" ca="1" si="92"/>
        <v/>
      </c>
      <c r="S114" s="386">
        <f t="shared" ca="1" si="73"/>
        <v>0</v>
      </c>
      <c r="T114" s="387" t="str">
        <f t="shared" ca="1" si="93"/>
        <v/>
      </c>
      <c r="U114" s="5"/>
      <c r="V114" s="6"/>
      <c r="W114" s="4"/>
      <c r="X114" s="4">
        <v>78</v>
      </c>
      <c r="Y114" s="104" t="str">
        <f t="shared" si="74"/>
        <v>-</v>
      </c>
      <c r="Z114" s="104">
        <f t="shared" si="75"/>
        <v>0</v>
      </c>
      <c r="AA114" s="4"/>
      <c r="AB114" s="53">
        <f t="shared" si="76"/>
        <v>0</v>
      </c>
      <c r="AC114" s="54">
        <f>IF(SUM(AB114:AB$116)=0,0,F114&gt;0)</f>
        <v>0</v>
      </c>
      <c r="AD114" s="53">
        <f t="shared" si="77"/>
        <v>0</v>
      </c>
      <c r="AE114" s="54">
        <f>IF(SUM(AB114:AB$116)=0,0,AND(AC114=FALSE,AD114=0,SUM(AD114:AD$116)&gt;0))</f>
        <v>0</v>
      </c>
      <c r="AF114" s="54">
        <f t="shared" si="107"/>
        <v>0</v>
      </c>
      <c r="AG114" s="54">
        <f t="shared" si="108"/>
        <v>0</v>
      </c>
      <c r="AH114" s="56">
        <f t="shared" si="109"/>
        <v>0</v>
      </c>
      <c r="AI114" s="56">
        <f t="shared" si="110"/>
        <v>0</v>
      </c>
      <c r="AJ114" s="54">
        <f t="shared" si="111"/>
        <v>0</v>
      </c>
      <c r="AK114" s="54" t="str">
        <f t="shared" si="112"/>
        <v/>
      </c>
      <c r="AL114" s="54">
        <f t="shared" si="113"/>
        <v>0</v>
      </c>
      <c r="AM114" s="54">
        <f t="shared" si="114"/>
        <v>0</v>
      </c>
      <c r="AN114" s="54">
        <f t="shared" si="115"/>
        <v>0</v>
      </c>
      <c r="AO114" s="54">
        <f t="shared" si="116"/>
        <v>0</v>
      </c>
      <c r="AP114" s="54">
        <f t="shared" si="117"/>
        <v>0</v>
      </c>
      <c r="AQ114" s="54">
        <f t="shared" si="118"/>
        <v>0</v>
      </c>
      <c r="AR114" s="53">
        <f t="shared" si="119"/>
        <v>0</v>
      </c>
      <c r="AS114" s="409" t="str">
        <f t="shared" si="120"/>
        <v/>
      </c>
      <c r="AT114" s="54">
        <f t="shared" si="94"/>
        <v>0</v>
      </c>
      <c r="AU114" s="54">
        <f t="shared" si="95"/>
        <v>0</v>
      </c>
      <c r="AV114" s="54">
        <f t="shared" si="96"/>
        <v>0</v>
      </c>
      <c r="AW114" s="55" t="b">
        <f t="shared" ca="1" si="97"/>
        <v>0</v>
      </c>
      <c r="AX114" s="69"/>
      <c r="AY114" s="203">
        <f t="shared" ca="1" si="98"/>
        <v>0</v>
      </c>
      <c r="AZ114" s="72">
        <f t="shared" ca="1" si="99"/>
        <v>0</v>
      </c>
      <c r="BA114" s="72">
        <f t="shared" ca="1" si="78"/>
        <v>0</v>
      </c>
      <c r="BB114" s="75">
        <f t="shared" ca="1" si="100"/>
        <v>0</v>
      </c>
      <c r="BC114" s="209">
        <f t="shared" si="101"/>
        <v>0</v>
      </c>
      <c r="BD114" s="72">
        <f t="shared" si="79"/>
        <v>0</v>
      </c>
      <c r="BE114" s="72">
        <f t="shared" si="80"/>
        <v>0</v>
      </c>
      <c r="BF114" s="72">
        <f t="shared" si="81"/>
        <v>0</v>
      </c>
      <c r="BG114" s="200">
        <f t="shared" ca="1" si="82"/>
        <v>0</v>
      </c>
      <c r="BH114" s="69"/>
      <c r="BI114" s="198">
        <f t="shared" si="18"/>
        <v>0</v>
      </c>
      <c r="BJ114" s="71">
        <f t="shared" si="19"/>
        <v>0</v>
      </c>
      <c r="BK114" s="72">
        <f t="shared" si="83"/>
        <v>0</v>
      </c>
      <c r="BL114" s="72">
        <f t="shared" ca="1" si="84"/>
        <v>0</v>
      </c>
      <c r="BM114" s="200">
        <f t="shared" ca="1" si="102"/>
        <v>0</v>
      </c>
      <c r="BN114" s="69"/>
      <c r="BO114" s="198">
        <f t="shared" si="103"/>
        <v>0</v>
      </c>
      <c r="BP114" s="72">
        <f t="shared" ca="1" si="104"/>
        <v>0</v>
      </c>
      <c r="BQ114" s="78">
        <f t="shared" si="85"/>
        <v>0</v>
      </c>
      <c r="BR114" s="78">
        <f t="shared" si="86"/>
        <v>0</v>
      </c>
      <c r="BS114" s="80">
        <f t="shared" ca="1" si="105"/>
        <v>0</v>
      </c>
      <c r="BT114" s="80">
        <f t="shared" ca="1" si="106"/>
        <v>0</v>
      </c>
      <c r="BU114" s="259" t="str">
        <f t="shared" ca="1" si="87"/>
        <v/>
      </c>
      <c r="BV114" s="206" t="str">
        <f t="shared" ca="1" si="88"/>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row>
    <row r="115" spans="1:116" ht="12.75" hidden="1" customHeight="1">
      <c r="A115" s="5"/>
      <c r="B115" s="327" t="str">
        <f t="shared" si="28"/>
        <v>-</v>
      </c>
      <c r="C115" s="398">
        <v>79</v>
      </c>
      <c r="D115" s="931"/>
      <c r="E115" s="932"/>
      <c r="F115" s="476"/>
      <c r="G115" s="483"/>
      <c r="H115" s="466"/>
      <c r="I115" s="467"/>
      <c r="J115" s="489"/>
      <c r="K115" s="490"/>
      <c r="L115" s="491"/>
      <c r="M115" s="492"/>
      <c r="N115" s="373" t="str">
        <f t="shared" ca="1" si="89"/>
        <v/>
      </c>
      <c r="O115" s="374" t="str">
        <f t="shared" ca="1" si="90"/>
        <v/>
      </c>
      <c r="P115" s="375">
        <f t="shared" ca="1" si="91"/>
        <v>0</v>
      </c>
      <c r="Q115" s="384" t="str">
        <f t="shared" ca="1" si="72"/>
        <v/>
      </c>
      <c r="R115" s="385" t="str">
        <f t="shared" ca="1" si="92"/>
        <v/>
      </c>
      <c r="S115" s="386">
        <f t="shared" ca="1" si="73"/>
        <v>0</v>
      </c>
      <c r="T115" s="387" t="str">
        <f t="shared" ca="1" si="93"/>
        <v/>
      </c>
      <c r="U115" s="5"/>
      <c r="V115" s="6"/>
      <c r="W115" s="4"/>
      <c r="X115" s="4">
        <v>79</v>
      </c>
      <c r="Y115" s="104" t="str">
        <f t="shared" si="74"/>
        <v>-</v>
      </c>
      <c r="Z115" s="104">
        <f t="shared" si="75"/>
        <v>0</v>
      </c>
      <c r="AA115" s="4"/>
      <c r="AB115" s="53">
        <f t="shared" si="76"/>
        <v>0</v>
      </c>
      <c r="AC115" s="54">
        <f>IF(SUM(AB115:AB$116)=0,0,F115&gt;0)</f>
        <v>0</v>
      </c>
      <c r="AD115" s="53">
        <f t="shared" si="77"/>
        <v>0</v>
      </c>
      <c r="AE115" s="54">
        <f>IF(SUM(AB115:AB$116)=0,0,AND(AC115=FALSE,AD115=0,SUM(AD115:AD$116)&gt;0))</f>
        <v>0</v>
      </c>
      <c r="AF115" s="54">
        <f t="shared" si="107"/>
        <v>0</v>
      </c>
      <c r="AG115" s="54">
        <f t="shared" si="108"/>
        <v>0</v>
      </c>
      <c r="AH115" s="56">
        <f t="shared" si="109"/>
        <v>0</v>
      </c>
      <c r="AI115" s="56">
        <f t="shared" si="110"/>
        <v>0</v>
      </c>
      <c r="AJ115" s="54">
        <f t="shared" si="111"/>
        <v>0</v>
      </c>
      <c r="AK115" s="54" t="str">
        <f t="shared" si="112"/>
        <v/>
      </c>
      <c r="AL115" s="54">
        <f t="shared" si="113"/>
        <v>0</v>
      </c>
      <c r="AM115" s="54">
        <f t="shared" si="114"/>
        <v>0</v>
      </c>
      <c r="AN115" s="54">
        <f t="shared" si="115"/>
        <v>0</v>
      </c>
      <c r="AO115" s="54">
        <f t="shared" si="116"/>
        <v>0</v>
      </c>
      <c r="AP115" s="54">
        <f t="shared" si="117"/>
        <v>0</v>
      </c>
      <c r="AQ115" s="54">
        <f t="shared" si="118"/>
        <v>0</v>
      </c>
      <c r="AR115" s="53">
        <f t="shared" si="119"/>
        <v>0</v>
      </c>
      <c r="AS115" s="409" t="str">
        <f t="shared" si="120"/>
        <v/>
      </c>
      <c r="AT115" s="54">
        <f t="shared" si="94"/>
        <v>0</v>
      </c>
      <c r="AU115" s="54">
        <f t="shared" si="95"/>
        <v>0</v>
      </c>
      <c r="AV115" s="54">
        <f t="shared" si="96"/>
        <v>0</v>
      </c>
      <c r="AW115" s="55" t="b">
        <f t="shared" ca="1" si="97"/>
        <v>0</v>
      </c>
      <c r="AX115" s="69"/>
      <c r="AY115" s="203">
        <f t="shared" ca="1" si="98"/>
        <v>0</v>
      </c>
      <c r="AZ115" s="72">
        <f t="shared" ca="1" si="99"/>
        <v>0</v>
      </c>
      <c r="BA115" s="72">
        <f t="shared" ca="1" si="78"/>
        <v>0</v>
      </c>
      <c r="BB115" s="75">
        <f t="shared" ca="1" si="100"/>
        <v>0</v>
      </c>
      <c r="BC115" s="209">
        <f t="shared" si="101"/>
        <v>0</v>
      </c>
      <c r="BD115" s="72">
        <f t="shared" si="79"/>
        <v>0</v>
      </c>
      <c r="BE115" s="72">
        <f t="shared" si="80"/>
        <v>0</v>
      </c>
      <c r="BF115" s="72">
        <f t="shared" si="81"/>
        <v>0</v>
      </c>
      <c r="BG115" s="200">
        <f t="shared" ca="1" si="82"/>
        <v>0</v>
      </c>
      <c r="BH115" s="69"/>
      <c r="BI115" s="198">
        <f t="shared" si="18"/>
        <v>0</v>
      </c>
      <c r="BJ115" s="71">
        <f t="shared" si="19"/>
        <v>0</v>
      </c>
      <c r="BK115" s="72">
        <f t="shared" si="83"/>
        <v>0</v>
      </c>
      <c r="BL115" s="72">
        <f t="shared" ca="1" si="84"/>
        <v>0</v>
      </c>
      <c r="BM115" s="200">
        <f t="shared" ca="1" si="102"/>
        <v>0</v>
      </c>
      <c r="BN115" s="69"/>
      <c r="BO115" s="198">
        <f t="shared" si="103"/>
        <v>0</v>
      </c>
      <c r="BP115" s="72">
        <f t="shared" ca="1" si="104"/>
        <v>0</v>
      </c>
      <c r="BQ115" s="78">
        <f t="shared" si="85"/>
        <v>0</v>
      </c>
      <c r="BR115" s="78">
        <f t="shared" si="86"/>
        <v>0</v>
      </c>
      <c r="BS115" s="80">
        <f t="shared" ca="1" si="105"/>
        <v>0</v>
      </c>
      <c r="BT115" s="80">
        <f t="shared" ca="1" si="106"/>
        <v>0</v>
      </c>
      <c r="BU115" s="259" t="str">
        <f t="shared" ca="1" si="87"/>
        <v/>
      </c>
      <c r="BV115" s="206" t="str">
        <f t="shared" ca="1" si="88"/>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row>
    <row r="116" spans="1:116" ht="13.5" hidden="1" customHeight="1" thickBot="1">
      <c r="A116" s="5"/>
      <c r="B116" s="327" t="str">
        <f t="shared" si="28"/>
        <v>-</v>
      </c>
      <c r="C116" s="399">
        <v>80</v>
      </c>
      <c r="D116" s="944"/>
      <c r="E116" s="945"/>
      <c r="F116" s="477"/>
      <c r="G116" s="484"/>
      <c r="H116" s="468"/>
      <c r="I116" s="469"/>
      <c r="J116" s="493"/>
      <c r="K116" s="494"/>
      <c r="L116" s="495"/>
      <c r="M116" s="496"/>
      <c r="N116" s="376" t="str">
        <f t="shared" ca="1" si="89"/>
        <v/>
      </c>
      <c r="O116" s="377" t="str">
        <f t="shared" ca="1" si="90"/>
        <v/>
      </c>
      <c r="P116" s="378">
        <f t="shared" ca="1" si="91"/>
        <v>0</v>
      </c>
      <c r="Q116" s="388" t="str">
        <f t="shared" ca="1" si="4"/>
        <v/>
      </c>
      <c r="R116" s="389" t="str">
        <f t="shared" ca="1" si="92"/>
        <v/>
      </c>
      <c r="S116" s="390">
        <f t="shared" ca="1" si="6"/>
        <v>0</v>
      </c>
      <c r="T116" s="391" t="str">
        <f t="shared" ca="1" si="93"/>
        <v/>
      </c>
      <c r="U116" s="5"/>
      <c r="V116" s="6"/>
      <c r="W116" s="4"/>
      <c r="X116" s="4">
        <v>80</v>
      </c>
      <c r="Y116" s="104" t="str">
        <f t="shared" si="74"/>
        <v>-</v>
      </c>
      <c r="Z116" s="104">
        <f t="shared" si="75"/>
        <v>0</v>
      </c>
      <c r="AA116" s="4"/>
      <c r="AB116" s="255">
        <f t="shared" si="52"/>
        <v>0</v>
      </c>
      <c r="AC116" s="256">
        <f>IF(SUM(AB116:AB$116)=0,0,F116&gt;0)</f>
        <v>0</v>
      </c>
      <c r="AD116" s="255">
        <f t="shared" si="53"/>
        <v>0</v>
      </c>
      <c r="AE116" s="58">
        <f>IF(SUM(AB116:AB$116)=0,0,AND(AC116=FALSE,AD116=0,SUM(AD116:AD$116)&gt;0))</f>
        <v>0</v>
      </c>
      <c r="AF116" s="58">
        <f t="shared" si="107"/>
        <v>0</v>
      </c>
      <c r="AG116" s="58">
        <f t="shared" si="108"/>
        <v>0</v>
      </c>
      <c r="AH116" s="60">
        <f t="shared" si="109"/>
        <v>0</v>
      </c>
      <c r="AI116" s="60">
        <f t="shared" si="110"/>
        <v>0</v>
      </c>
      <c r="AJ116" s="58">
        <f t="shared" si="111"/>
        <v>0</v>
      </c>
      <c r="AK116" s="58" t="str">
        <f t="shared" si="112"/>
        <v/>
      </c>
      <c r="AL116" s="58">
        <f t="shared" si="113"/>
        <v>0</v>
      </c>
      <c r="AM116" s="58">
        <f t="shared" si="114"/>
        <v>0</v>
      </c>
      <c r="AN116" s="58">
        <f t="shared" si="115"/>
        <v>0</v>
      </c>
      <c r="AO116" s="58">
        <f t="shared" si="116"/>
        <v>0</v>
      </c>
      <c r="AP116" s="58">
        <f t="shared" si="117"/>
        <v>0</v>
      </c>
      <c r="AQ116" s="58">
        <f t="shared" si="118"/>
        <v>0</v>
      </c>
      <c r="AR116" s="57">
        <f t="shared" si="119"/>
        <v>0</v>
      </c>
      <c r="AS116" s="410" t="str">
        <f t="shared" si="120"/>
        <v/>
      </c>
      <c r="AT116" s="58">
        <f t="shared" si="94"/>
        <v>0</v>
      </c>
      <c r="AU116" s="58">
        <f t="shared" si="95"/>
        <v>0</v>
      </c>
      <c r="AV116" s="58">
        <f t="shared" si="96"/>
        <v>0</v>
      </c>
      <c r="AW116" s="59" t="b">
        <f t="shared" ca="1" si="97"/>
        <v>0</v>
      </c>
      <c r="AX116" s="69"/>
      <c r="AY116" s="201">
        <f t="shared" ca="1" si="98"/>
        <v>0</v>
      </c>
      <c r="AZ116" s="73">
        <f t="shared" ca="1" si="99"/>
        <v>0</v>
      </c>
      <c r="BA116" s="73">
        <f t="shared" ca="1" si="44"/>
        <v>0</v>
      </c>
      <c r="BB116" s="204">
        <f t="shared" ca="1" si="100"/>
        <v>0</v>
      </c>
      <c r="BC116" s="210">
        <f t="shared" si="101"/>
        <v>0</v>
      </c>
      <c r="BD116" s="73">
        <f t="shared" si="45"/>
        <v>0</v>
      </c>
      <c r="BE116" s="73">
        <f t="shared" si="46"/>
        <v>0</v>
      </c>
      <c r="BF116" s="73">
        <f t="shared" si="47"/>
        <v>0</v>
      </c>
      <c r="BG116" s="202">
        <f t="shared" ca="1" si="48"/>
        <v>0</v>
      </c>
      <c r="BH116" s="69"/>
      <c r="BI116" s="201">
        <f t="shared" si="18"/>
        <v>0</v>
      </c>
      <c r="BJ116" s="73">
        <f t="shared" si="19"/>
        <v>0</v>
      </c>
      <c r="BK116" s="73">
        <f t="shared" si="49"/>
        <v>0</v>
      </c>
      <c r="BL116" s="73">
        <f t="shared" ca="1" si="50"/>
        <v>0</v>
      </c>
      <c r="BM116" s="202">
        <f t="shared" ca="1" si="102"/>
        <v>0</v>
      </c>
      <c r="BN116" s="69"/>
      <c r="BO116" s="201">
        <f t="shared" si="103"/>
        <v>0</v>
      </c>
      <c r="BP116" s="73">
        <f t="shared" ca="1" si="104"/>
        <v>0</v>
      </c>
      <c r="BQ116" s="320">
        <f t="shared" si="51"/>
        <v>0</v>
      </c>
      <c r="BR116" s="320">
        <f t="shared" si="23"/>
        <v>0</v>
      </c>
      <c r="BS116" s="321">
        <f t="shared" ca="1" si="105"/>
        <v>0</v>
      </c>
      <c r="BT116" s="321">
        <f t="shared" ca="1" si="106"/>
        <v>0</v>
      </c>
      <c r="BU116" s="322" t="str">
        <f t="shared" ca="1" si="26"/>
        <v/>
      </c>
      <c r="BV116" s="323" t="str">
        <f t="shared" ca="1" si="27"/>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row>
    <row r="117" spans="1:116" ht="6" customHeight="1">
      <c r="A117" s="5"/>
      <c r="B117" s="86"/>
      <c r="C117" s="23"/>
      <c r="D117" s="70"/>
      <c r="E117" s="70"/>
      <c r="F117" s="70"/>
      <c r="G117" s="70"/>
      <c r="H117" s="70"/>
      <c r="I117" s="70"/>
      <c r="J117" s="70"/>
      <c r="K117" s="70"/>
      <c r="L117" s="70"/>
      <c r="M117" s="70"/>
      <c r="N117" s="70"/>
      <c r="O117" s="70"/>
      <c r="P117" s="70"/>
      <c r="Q117" s="70"/>
      <c r="R117" s="70"/>
      <c r="S117" s="70"/>
      <c r="T117" s="23"/>
      <c r="U117" s="5"/>
      <c r="V117" s="6"/>
      <c r="W117" s="4"/>
      <c r="X117" s="4"/>
      <c r="Y117" s="4"/>
      <c r="Z117" s="4"/>
      <c r="AA117" s="4"/>
      <c r="AB117" s="257"/>
      <c r="AC117" s="257"/>
      <c r="AD117" s="257"/>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row>
    <row r="118" spans="1:116" ht="12.75" customHeight="1">
      <c r="A118" s="5"/>
      <c r="B118" s="94" t="s">
        <v>112</v>
      </c>
      <c r="C118" s="92"/>
      <c r="D118" s="92"/>
      <c r="E118" s="92"/>
      <c r="F118" s="92"/>
      <c r="G118" s="92"/>
      <c r="H118" s="92"/>
      <c r="I118" s="92"/>
      <c r="J118" s="92"/>
      <c r="K118" s="92"/>
      <c r="L118" s="92"/>
      <c r="M118" s="92"/>
      <c r="N118" s="5"/>
      <c r="O118" s="5"/>
      <c r="P118" s="5"/>
      <c r="S118" s="113" t="str">
        <f ca="1">IF(AND(AllInputsOK=TRUE,ShowPassCond=TRUE,ShowPassSHG=TRUE),"If inputs (including air movement levels) are valid","")</f>
        <v/>
      </c>
      <c r="T118" s="942" t="str">
        <f ca="1">IF(AND(AllInputsOK=TRUE,ShowPassCond=TRUE,ShowPassSHG=TRUE),"ü",IF(VisibleFailures&gt;0,"û",""))</f>
        <v/>
      </c>
      <c r="U118" s="5"/>
      <c r="V118" s="6"/>
      <c r="W118" s="4"/>
      <c r="X118" s="102"/>
      <c r="Y118" s="4"/>
      <c r="Z118" s="4"/>
      <c r="AA118" s="4"/>
      <c r="AB118" s="85" t="s">
        <v>101</v>
      </c>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row>
    <row r="119" spans="1:116" ht="48" customHeight="1">
      <c r="A119" s="5"/>
      <c r="B119" s="946" t="s">
        <v>215</v>
      </c>
      <c r="C119" s="947"/>
      <c r="D119" s="947"/>
      <c r="E119" s="947"/>
      <c r="F119" s="947"/>
      <c r="G119" s="947"/>
      <c r="H119" s="947"/>
      <c r="I119" s="947"/>
      <c r="J119" s="947"/>
      <c r="K119" s="947"/>
      <c r="L119" s="947"/>
      <c r="M119" s="947"/>
      <c r="N119" s="947"/>
      <c r="O119" s="947"/>
      <c r="P119" s="947"/>
      <c r="Q119" s="213"/>
      <c r="R119" s="92"/>
      <c r="T119" s="943"/>
      <c r="U119" s="5"/>
      <c r="V119" s="6"/>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row>
    <row r="120" spans="1:116">
      <c r="A120" s="12"/>
      <c r="B120" s="142" t="s">
        <v>371</v>
      </c>
      <c r="C120" s="143"/>
      <c r="D120" s="143"/>
      <c r="E120" s="143"/>
      <c r="F120" s="143"/>
      <c r="G120" s="143"/>
      <c r="H120" s="143"/>
      <c r="I120" s="143"/>
      <c r="J120" s="143"/>
      <c r="K120" s="143"/>
      <c r="L120" s="143"/>
      <c r="M120" s="143"/>
      <c r="N120" s="143"/>
      <c r="O120" s="143"/>
      <c r="P120" s="143"/>
      <c r="Q120" s="143"/>
      <c r="R120" s="143"/>
      <c r="S120" s="143"/>
      <c r="T120" s="143"/>
      <c r="U120" s="12"/>
      <c r="V120" s="13"/>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11"/>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row>
    <row r="121" spans="1:116" ht="10.5" customHeight="1">
      <c r="A121" s="4"/>
      <c r="B121" s="6"/>
      <c r="C121" s="6"/>
      <c r="D121" s="6"/>
      <c r="E121" s="6"/>
      <c r="F121" s="6"/>
      <c r="G121" s="6"/>
      <c r="H121" s="6"/>
      <c r="I121" s="6"/>
      <c r="J121" s="6"/>
      <c r="K121" s="6"/>
      <c r="L121" s="6"/>
      <c r="M121" s="6"/>
      <c r="N121" s="6"/>
      <c r="O121" s="6"/>
      <c r="P121" s="6"/>
      <c r="Q121" s="6"/>
      <c r="R121" s="6"/>
      <c r="S121" s="6"/>
      <c r="T121" s="6"/>
      <c r="U121" s="6"/>
      <c r="V121" s="6"/>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row>
    <row r="122" spans="1:116" ht="10.5" customHeight="1" outlineLevel="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row>
    <row r="123" spans="1:116" outlineLevel="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89"/>
      <c r="AG123" s="95"/>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row>
    <row r="124" spans="1:116" outlineLevel="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89"/>
      <c r="AG124" s="95"/>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row>
    <row r="125" spans="1:116" outlineLevel="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89"/>
      <c r="AG125" s="95"/>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row>
    <row r="126" spans="1:116" outlineLevel="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89"/>
      <c r="AG126" s="95"/>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row>
    <row r="127" spans="1:116" outlineLevel="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89"/>
      <c r="AG127" s="95"/>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row>
    <row r="128" spans="1:116" outlineLevel="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89"/>
      <c r="AG128" s="95"/>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row>
    <row r="129" spans="1:116" outlineLevel="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89"/>
      <c r="AG129" s="95"/>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row>
    <row r="130" spans="1:116" outlineLevel="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89"/>
      <c r="AG130" s="95"/>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row>
    <row r="131" spans="1:116" outlineLevel="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89"/>
      <c r="AG131" s="95"/>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row>
    <row r="132" spans="1:116" outlineLevel="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89"/>
      <c r="AG132" s="95"/>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row>
    <row r="133" spans="1:116" outlineLevel="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89"/>
      <c r="AG133" s="95"/>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row>
    <row r="134" spans="1:116" outlineLevel="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89"/>
      <c r="AG134" s="95"/>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row>
    <row r="135" spans="1:116" outlineLevel="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89"/>
      <c r="AG135" s="95"/>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row>
    <row r="136" spans="1:116" outlineLevel="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89"/>
      <c r="AG136" s="95"/>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row>
    <row r="137" spans="1:116" outlineLevel="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89"/>
      <c r="AG137" s="95"/>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row>
    <row r="138" spans="1:116" outlineLevel="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89"/>
      <c r="AG138" s="95"/>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row>
    <row r="139" spans="1:116" outlineLevel="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89"/>
      <c r="AG139" s="95"/>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row>
    <row r="140" spans="1:116" outlineLevel="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89"/>
      <c r="AG140" s="95"/>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row>
    <row r="141" spans="1:116" outlineLevel="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89"/>
      <c r="AG141" s="95"/>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row>
    <row r="142" spans="1:116" outlineLevel="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89"/>
      <c r="AG142" s="95"/>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row>
    <row r="143" spans="1:116" outlineLevel="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89"/>
      <c r="AG143" s="95"/>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row>
    <row r="144" spans="1:116" outlineLevel="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89"/>
      <c r="AG144" s="95"/>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row>
    <row r="145" spans="1:116" outlineLevel="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89"/>
      <c r="AG145" s="95"/>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row>
    <row r="146" spans="1:116" outlineLevel="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89"/>
      <c r="AG146" s="95"/>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row>
    <row r="147" spans="1:116" outlineLevel="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89"/>
      <c r="AG147" s="95"/>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row>
    <row r="148" spans="1:116" outlineLevel="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89"/>
      <c r="AG148" s="95"/>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row>
    <row r="149" spans="1:116">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89"/>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row>
    <row r="150" spans="1:116" hidden="1" outlineLevel="1">
      <c r="A150" s="4"/>
      <c r="B150" s="4"/>
      <c r="C150" s="4"/>
      <c r="D150" s="4"/>
      <c r="E150" s="35" t="s">
        <v>258</v>
      </c>
      <c r="F150" s="261" t="b">
        <f>COUNTA(TableInputs)=0</f>
        <v>1</v>
      </c>
      <c r="G150" s="4"/>
      <c r="H150" s="4"/>
      <c r="I150" s="4"/>
      <c r="J150" s="4"/>
      <c r="K150" s="4"/>
      <c r="L150" s="4"/>
      <c r="M150" s="394">
        <f>COUNTIF(M153:M171,"&gt;0")</f>
        <v>1</v>
      </c>
      <c r="N150" s="394">
        <f ca="1">COUNTIF(N153:N171,"&gt;0")</f>
        <v>0</v>
      </c>
      <c r="O150" s="4"/>
      <c r="P150" s="4"/>
      <c r="Q150" s="418">
        <f ca="1">SUM(M150:N150)</f>
        <v>1</v>
      </c>
      <c r="R150" s="4"/>
      <c r="S150" s="4"/>
      <c r="T150" s="4"/>
      <c r="U150" s="4"/>
      <c r="V150" s="4"/>
      <c r="W150" s="21"/>
      <c r="X150" s="21"/>
      <c r="Y150" s="21"/>
      <c r="Z150" s="21"/>
      <c r="AA150" s="21"/>
      <c r="AB150" s="4"/>
      <c r="AC150" s="4"/>
      <c r="AD150" s="4"/>
      <c r="AE150" s="4"/>
      <c r="AF150" s="89"/>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row>
    <row r="151" spans="1:116" hidden="1" outlineLevel="1">
      <c r="A151" s="4"/>
      <c r="B151" s="39"/>
      <c r="C151" s="39"/>
      <c r="D151" s="39"/>
      <c r="E151" s="39"/>
      <c r="F151" s="81" t="s">
        <v>257</v>
      </c>
      <c r="G151" s="21"/>
      <c r="H151" s="260"/>
      <c r="I151" s="62"/>
      <c r="J151" s="21"/>
      <c r="K151" s="21"/>
      <c r="L151" s="21"/>
      <c r="M151" s="417" t="s">
        <v>341</v>
      </c>
      <c r="N151" s="81" t="s">
        <v>342</v>
      </c>
      <c r="O151" s="81"/>
      <c r="P151" s="21"/>
      <c r="Q151" s="419" t="s">
        <v>343</v>
      </c>
      <c r="R151" s="21"/>
      <c r="S151" s="21"/>
      <c r="T151" s="21"/>
      <c r="U151" s="21"/>
      <c r="V151" s="21"/>
      <c r="W151" s="21"/>
      <c r="X151" s="21"/>
      <c r="Y151" s="21"/>
      <c r="Z151" s="21"/>
      <c r="AA151" s="21"/>
      <c r="AB151" s="4"/>
      <c r="AC151" s="4"/>
      <c r="AD151" s="4"/>
      <c r="AE151" s="4"/>
      <c r="AF151" s="89"/>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row>
    <row r="152" spans="1:116" ht="22.5" hidden="1" outlineLevel="1">
      <c r="A152" s="4"/>
      <c r="B152" s="38" t="s">
        <v>226</v>
      </c>
      <c r="C152" s="38"/>
      <c r="D152" s="38"/>
      <c r="E152" s="38"/>
      <c r="F152" s="9" t="s">
        <v>45</v>
      </c>
      <c r="G152" s="37"/>
      <c r="H152" s="18" t="s">
        <v>336</v>
      </c>
      <c r="I152" s="21"/>
      <c r="J152" s="21"/>
      <c r="K152" s="21"/>
      <c r="L152" s="21"/>
      <c r="M152" s="21"/>
      <c r="N152" s="21"/>
      <c r="O152" s="21"/>
      <c r="P152" s="21"/>
      <c r="Q152" s="21"/>
      <c r="R152" s="21"/>
      <c r="S152" s="21"/>
      <c r="T152" s="21"/>
      <c r="U152" s="21"/>
      <c r="V152" s="21"/>
      <c r="W152" s="21"/>
      <c r="X152" s="21"/>
      <c r="Y152" s="21"/>
      <c r="Z152" s="21"/>
      <c r="AA152" s="21"/>
      <c r="AB152" s="4"/>
      <c r="AC152" s="4"/>
      <c r="AD152" s="4"/>
      <c r="AE152" s="4"/>
      <c r="AF152" s="89"/>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row>
    <row r="153" spans="1:116" hidden="1" outlineLevel="1">
      <c r="A153" s="4"/>
      <c r="B153" s="39"/>
      <c r="C153" s="39"/>
      <c r="D153" s="39"/>
      <c r="E153" s="262" t="s">
        <v>250</v>
      </c>
      <c r="F153" s="110" t="b">
        <f>AND(NoGlazing=TRUE,ISBLANK(Building))</f>
        <v>1</v>
      </c>
      <c r="G153" s="41"/>
      <c r="H153" s="452" t="str">
        <f>IF(F153=TRUE,"1. Enter a description of the building and the part(s) of it covered by this assessment.","")</f>
        <v>1. Enter a description of the building and the part(s) of it covered by this assessment.</v>
      </c>
      <c r="I153" s="21"/>
      <c r="J153" s="21"/>
      <c r="K153" s="21"/>
      <c r="L153" s="21"/>
      <c r="M153" s="393">
        <f>LEN(H153)</f>
        <v>88</v>
      </c>
      <c r="N153" s="21"/>
      <c r="O153" s="21"/>
      <c r="P153" s="21"/>
      <c r="Q153" s="21"/>
      <c r="R153" s="21"/>
      <c r="S153" s="21"/>
      <c r="T153" s="21"/>
      <c r="U153" s="21"/>
      <c r="V153" s="21"/>
      <c r="W153" s="21"/>
      <c r="X153" s="21"/>
      <c r="Y153" s="21"/>
      <c r="Z153" s="21"/>
      <c r="AA153" s="21"/>
      <c r="AB153" s="4"/>
      <c r="AC153" s="4"/>
      <c r="AD153" s="4"/>
      <c r="AE153" s="4"/>
      <c r="AF153" s="89"/>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row>
    <row r="154" spans="1:116" hidden="1" outlineLevel="1">
      <c r="A154" s="4"/>
      <c r="B154" s="39"/>
      <c r="C154" s="39"/>
      <c r="D154" s="39"/>
      <c r="E154" s="262" t="s">
        <v>251</v>
      </c>
      <c r="F154" s="145" t="b">
        <f>AND(NoGlazing=FALSE,ISBLANK(Building))</f>
        <v>0</v>
      </c>
      <c r="G154" s="43"/>
      <c r="H154" s="453" t="str">
        <f>IF(F154=TRUE,"No building identification","")</f>
        <v/>
      </c>
      <c r="I154" s="21"/>
      <c r="J154" s="21"/>
      <c r="K154" s="21"/>
      <c r="L154" s="21"/>
      <c r="M154" s="21"/>
      <c r="N154" s="393">
        <f>LEN(H154)</f>
        <v>0</v>
      </c>
      <c r="O154" s="21"/>
      <c r="P154" s="21"/>
      <c r="Q154" s="21"/>
      <c r="R154" s="21"/>
      <c r="S154" s="21"/>
      <c r="T154" s="21"/>
      <c r="U154" s="21"/>
      <c r="V154" s="21"/>
      <c r="W154" s="21"/>
      <c r="X154" s="21"/>
      <c r="Y154" s="21"/>
      <c r="Z154" s="21"/>
      <c r="AA154" s="21"/>
      <c r="AB154" s="4"/>
      <c r="AC154" s="4"/>
      <c r="AD154" s="4"/>
      <c r="AE154" s="4"/>
      <c r="AF154" s="89"/>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row>
    <row r="155" spans="1:116" hidden="1" outlineLevel="1">
      <c r="A155" s="4"/>
      <c r="B155" s="39"/>
      <c r="C155" s="39"/>
      <c r="D155" s="39"/>
      <c r="E155" s="262" t="s">
        <v>260</v>
      </c>
      <c r="F155" s="109" t="b">
        <f>AND(NoGlazing=TRUE,ISBLANK(Building)=FALSE,ISBLANK(Zone))</f>
        <v>0</v>
      </c>
      <c r="G155" s="21"/>
      <c r="H155" s="454" t="str">
        <f>IF(F155=TRUE,"2. Enter zone","")</f>
        <v/>
      </c>
      <c r="I155" s="21"/>
      <c r="J155" s="21"/>
      <c r="K155" s="21"/>
      <c r="L155" s="21"/>
      <c r="M155" s="393">
        <f>LEN(H155)</f>
        <v>0</v>
      </c>
      <c r="N155" s="21"/>
      <c r="O155" s="21"/>
      <c r="P155" s="21"/>
      <c r="Q155" s="21"/>
      <c r="R155" s="21"/>
      <c r="S155" s="21"/>
      <c r="T155" s="21"/>
      <c r="U155" s="21"/>
      <c r="V155" s="21"/>
      <c r="W155" s="21"/>
      <c r="X155" s="21"/>
      <c r="Y155" s="21"/>
      <c r="Z155" s="21"/>
      <c r="AA155" s="21"/>
      <c r="AB155" s="4"/>
      <c r="AC155" s="4"/>
      <c r="AD155" s="4"/>
      <c r="AE155" s="4"/>
      <c r="AF155" s="89"/>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row>
    <row r="156" spans="1:116" hidden="1" outlineLevel="1">
      <c r="A156" s="4"/>
      <c r="B156" s="39"/>
      <c r="C156" s="39"/>
      <c r="D156" s="39"/>
      <c r="E156" s="262" t="s">
        <v>249</v>
      </c>
      <c r="F156" s="109" t="b">
        <f>AND(NoGlazing=FALSE,ISBLANK(Zone))</f>
        <v>0</v>
      </c>
      <c r="G156" s="280"/>
      <c r="H156" s="453" t="str">
        <f>IF(F156=TRUE,"No zone","")</f>
        <v/>
      </c>
      <c r="I156" s="21"/>
      <c r="J156" s="21"/>
      <c r="K156" s="21"/>
      <c r="L156" s="21"/>
      <c r="M156" s="21"/>
      <c r="N156" s="393">
        <f>LEN(H156)</f>
        <v>0</v>
      </c>
      <c r="O156" s="21"/>
      <c r="P156" s="21"/>
      <c r="Q156" s="21"/>
      <c r="R156" s="21"/>
      <c r="S156" s="21"/>
      <c r="T156" s="21"/>
      <c r="U156" s="21"/>
      <c r="V156" s="21"/>
      <c r="W156" s="21"/>
      <c r="X156" s="21"/>
      <c r="Y156" s="21"/>
      <c r="Z156" s="21"/>
      <c r="AA156" s="21"/>
      <c r="AB156" s="4"/>
      <c r="AC156" s="4"/>
      <c r="AD156" s="4"/>
      <c r="AE156" s="4"/>
      <c r="AF156" s="89"/>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row>
    <row r="157" spans="1:116" hidden="1" outlineLevel="1">
      <c r="A157" s="4"/>
      <c r="B157" s="39"/>
      <c r="C157" s="39"/>
      <c r="D157" s="39"/>
      <c r="E157" s="35"/>
      <c r="F157" s="281" t="s">
        <v>46</v>
      </c>
      <c r="G157" s="42"/>
      <c r="H157" s="280"/>
      <c r="I157" s="21"/>
      <c r="J157" s="21"/>
      <c r="K157" s="21"/>
      <c r="L157" s="21"/>
      <c r="M157" s="21"/>
      <c r="N157" s="21"/>
      <c r="O157" s="21"/>
      <c r="P157" s="21"/>
      <c r="Q157" s="21"/>
      <c r="R157" s="21"/>
      <c r="S157" s="21"/>
      <c r="T157" s="21"/>
      <c r="U157" s="21"/>
      <c r="V157" s="21"/>
      <c r="W157" s="21"/>
      <c r="X157" s="21"/>
      <c r="Y157" s="21"/>
      <c r="Z157" s="21"/>
      <c r="AA157" s="21"/>
      <c r="AB157" s="4"/>
      <c r="AC157" s="4"/>
      <c r="AD157" s="4"/>
      <c r="AE157" s="4"/>
      <c r="AF157" s="89"/>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row>
    <row r="158" spans="1:116" hidden="1" outlineLevel="1">
      <c r="A158" s="4"/>
      <c r="B158" s="4"/>
      <c r="C158" s="4"/>
      <c r="D158" s="4"/>
      <c r="E158" s="262" t="s">
        <v>261</v>
      </c>
      <c r="F158" s="109" t="b">
        <f>AND(NoGlazing=TRUE,COUNTA(Building,Zone)=2,ISBLANK(Storey))</f>
        <v>0</v>
      </c>
      <c r="G158" s="42"/>
      <c r="H158" s="455" t="str">
        <f>IF(F158,"3. Enter storey","")</f>
        <v/>
      </c>
      <c r="I158" s="21"/>
      <c r="J158" s="21"/>
      <c r="K158" s="21"/>
      <c r="L158" s="21"/>
      <c r="M158" s="393">
        <f>LEN(H158)</f>
        <v>0</v>
      </c>
      <c r="N158" s="21"/>
      <c r="O158" s="21"/>
      <c r="P158" s="21"/>
      <c r="Q158" s="21"/>
      <c r="R158" s="21"/>
      <c r="S158" s="21"/>
      <c r="T158" s="21"/>
      <c r="U158" s="21"/>
      <c r="V158" s="21"/>
      <c r="W158" s="21"/>
      <c r="X158" s="21"/>
      <c r="Y158" s="21"/>
      <c r="Z158" s="21"/>
      <c r="AA158" s="21"/>
      <c r="AB158" s="4"/>
      <c r="AC158" s="4"/>
      <c r="AD158" s="4"/>
      <c r="AE158" s="4"/>
      <c r="AF158" s="89"/>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row>
    <row r="159" spans="1:116" hidden="1" outlineLevel="1">
      <c r="A159" s="4"/>
      <c r="B159" s="4"/>
      <c r="C159" s="4"/>
      <c r="D159" s="4"/>
      <c r="E159" s="262" t="s">
        <v>252</v>
      </c>
      <c r="F159" s="109" t="b">
        <f>AND(NoGlazing=FALSE,ISBLANK(Storey))</f>
        <v>0</v>
      </c>
      <c r="G159" s="42"/>
      <c r="H159" s="456" t="str">
        <f>IF(F159=TRUE,"No Storey ","")</f>
        <v/>
      </c>
      <c r="I159" s="21"/>
      <c r="J159" s="21"/>
      <c r="K159" s="21"/>
      <c r="L159" s="21"/>
      <c r="M159" s="21"/>
      <c r="N159" s="393">
        <f>LEN(H159)</f>
        <v>0</v>
      </c>
      <c r="O159" s="21"/>
      <c r="P159" s="21"/>
      <c r="Q159" s="21"/>
      <c r="R159" s="21"/>
      <c r="S159" s="21"/>
      <c r="T159" s="21"/>
      <c r="U159" s="21"/>
      <c r="V159" s="21"/>
      <c r="W159" s="21"/>
      <c r="X159" s="21"/>
      <c r="Y159" s="21"/>
      <c r="Z159" s="21"/>
      <c r="AA159" s="21"/>
      <c r="AB159" s="4"/>
      <c r="AC159" s="4"/>
      <c r="AD159" s="4"/>
      <c r="AE159" s="4"/>
      <c r="AF159" s="89"/>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row>
    <row r="160" spans="1:116" hidden="1" outlineLevel="1">
      <c r="A160" s="4"/>
      <c r="B160" s="4"/>
      <c r="C160" s="4"/>
      <c r="D160" s="4"/>
      <c r="E160" s="262" t="s">
        <v>136</v>
      </c>
      <c r="F160" s="282" t="b">
        <f>COUNTA(Zone,Building,Storey)=3</f>
        <v>0</v>
      </c>
      <c r="G160" s="281" t="s">
        <v>106</v>
      </c>
      <c r="H160" s="280"/>
      <c r="I160" s="450" t="s">
        <v>289</v>
      </c>
      <c r="J160" s="43"/>
      <c r="K160" s="44"/>
      <c r="L160" s="43"/>
      <c r="M160" s="43"/>
      <c r="N160" s="45"/>
      <c r="O160" s="43"/>
      <c r="P160" s="43"/>
      <c r="Q160" s="43"/>
      <c r="R160" s="43"/>
      <c r="S160" s="43"/>
      <c r="T160" s="43"/>
      <c r="U160" s="43"/>
      <c r="V160" s="43"/>
      <c r="W160" s="21"/>
      <c r="X160" s="21"/>
      <c r="Y160" s="21"/>
      <c r="Z160" s="21"/>
      <c r="AA160" s="21"/>
      <c r="AB160" s="4"/>
      <c r="AC160" s="4"/>
      <c r="AD160" s="4"/>
      <c r="AE160" s="4"/>
      <c r="AF160" s="89"/>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row>
    <row r="161" spans="1:116" hidden="1" outlineLevel="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89"/>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row>
    <row r="162" spans="1:116" hidden="1" outlineLevel="1">
      <c r="A162" s="4"/>
      <c r="B162" s="38" t="s">
        <v>227</v>
      </c>
      <c r="C162" s="38"/>
      <c r="D162" s="38"/>
      <c r="E162" s="38"/>
      <c r="F162" s="9" t="s">
        <v>31</v>
      </c>
      <c r="G162" s="31"/>
      <c r="H162" s="31"/>
      <c r="I162" s="34"/>
      <c r="J162" s="34"/>
      <c r="K162" s="34"/>
      <c r="L162" s="34"/>
      <c r="M162" s="34"/>
      <c r="N162" s="34"/>
      <c r="O162" s="34"/>
      <c r="P162" s="442"/>
      <c r="Q162" s="34"/>
      <c r="R162" s="34"/>
      <c r="S162" s="34"/>
      <c r="T162" s="34"/>
      <c r="U162" s="34"/>
      <c r="V162" s="34"/>
      <c r="W162" s="4"/>
      <c r="X162" s="4"/>
      <c r="Y162" s="4"/>
      <c r="Z162" s="4"/>
      <c r="AA162" s="4"/>
      <c r="AB162" s="4"/>
      <c r="AC162" s="4"/>
      <c r="AD162" s="4"/>
      <c r="AE162" s="4"/>
      <c r="AF162" s="89"/>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row>
    <row r="163" spans="1:116" hidden="1" outlineLevel="1">
      <c r="A163" s="4"/>
      <c r="B163" s="4"/>
      <c r="C163" s="4"/>
      <c r="D163" s="4"/>
      <c r="E163" s="262" t="s">
        <v>262</v>
      </c>
      <c r="F163" s="109" t="b">
        <f>AND(NoGlazing=TRUE,COUNTA(Building,Zone,Storey)=3,AreaAll=0)</f>
        <v>0</v>
      </c>
      <c r="G163" s="283" t="s">
        <v>110</v>
      </c>
      <c r="H163" s="457" t="str">
        <f>IF(F163=TRUE,"4. Enter area(s) below for applicable floor type(s)","")</f>
        <v/>
      </c>
      <c r="I163" s="34"/>
      <c r="J163" s="34"/>
      <c r="K163" s="34"/>
      <c r="L163" s="34"/>
      <c r="M163" s="393">
        <f>LEN(H163)</f>
        <v>0</v>
      </c>
      <c r="N163" s="34"/>
      <c r="O163" s="34"/>
      <c r="P163" s="441"/>
      <c r="Q163" s="34"/>
      <c r="R163" s="34"/>
      <c r="S163" s="34"/>
      <c r="T163" s="34"/>
      <c r="U163" s="34"/>
      <c r="V163" s="34"/>
      <c r="W163" s="21"/>
      <c r="X163" s="21"/>
      <c r="Y163" s="21"/>
      <c r="Z163" s="21"/>
      <c r="AA163" s="21"/>
      <c r="AB163" s="4"/>
      <c r="AC163" s="4"/>
      <c r="AD163" s="4"/>
      <c r="AE163" s="4"/>
      <c r="AF163" s="89"/>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row>
    <row r="164" spans="1:116" hidden="1" outlineLevel="1">
      <c r="A164" s="4"/>
      <c r="B164" s="4"/>
      <c r="C164" s="4"/>
      <c r="D164" s="4"/>
      <c r="E164" s="262" t="s">
        <v>259</v>
      </c>
      <c r="F164" s="145" t="b">
        <f>AND(NoGlazing=FALSE,AreaAll=0)</f>
        <v>0</v>
      </c>
      <c r="G164" s="42"/>
      <c r="H164" s="458" t="str">
        <f>IF(F164=TRUE,"No area(s)","")</f>
        <v/>
      </c>
      <c r="I164" s="34"/>
      <c r="J164" s="34"/>
      <c r="K164" s="34"/>
      <c r="L164" s="34"/>
      <c r="M164" s="21"/>
      <c r="N164" s="393">
        <f>LEN(H164)</f>
        <v>0</v>
      </c>
      <c r="O164" s="34"/>
      <c r="P164" s="442"/>
      <c r="Q164" s="34"/>
      <c r="R164" s="34"/>
      <c r="S164" s="34"/>
      <c r="T164" s="34"/>
      <c r="U164" s="34"/>
      <c r="V164" s="34"/>
      <c r="W164" s="21"/>
      <c r="X164" s="21"/>
      <c r="Y164" s="21"/>
      <c r="Z164" s="21"/>
      <c r="AA164" s="21"/>
      <c r="AB164" s="21"/>
      <c r="AC164" s="21"/>
      <c r="AD164" s="4"/>
      <c r="AE164" s="4"/>
      <c r="AF164" s="89"/>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row>
    <row r="165" spans="1:116" hidden="1" outlineLevel="1">
      <c r="A165" s="4"/>
      <c r="B165" s="4"/>
      <c r="C165" s="4"/>
      <c r="D165" s="4"/>
      <c r="E165" s="262" t="s">
        <v>354</v>
      </c>
      <c r="F165" s="109" t="b">
        <f>AND(NoGlazing=TRUE,First3Inputs=TRUE,AreaAll&gt;0,ISBLANK(WallConcession))</f>
        <v>0</v>
      </c>
      <c r="G165" s="42"/>
      <c r="H165" s="459" t="str">
        <f>IF(F165=TRUE,"INITIAL WALL INSULATION OPTION CHOICE NEEDED","")</f>
        <v/>
      </c>
      <c r="I165" s="34"/>
      <c r="J165" s="34"/>
      <c r="K165" s="34"/>
      <c r="L165" s="34"/>
      <c r="M165" s="393">
        <f t="shared" ref="M165:M166" si="121">LEN(H165)</f>
        <v>0</v>
      </c>
      <c r="N165" s="34"/>
      <c r="O165" s="34"/>
      <c r="P165" s="441"/>
      <c r="Q165" s="34"/>
      <c r="R165" s="34"/>
      <c r="S165" s="34"/>
      <c r="T165" s="34"/>
      <c r="U165" s="34"/>
      <c r="V165" s="34"/>
      <c r="W165" s="21"/>
      <c r="X165" s="274"/>
      <c r="Y165" s="4"/>
      <c r="Z165" s="93"/>
      <c r="AA165" s="21"/>
      <c r="AB165" s="4"/>
      <c r="AC165" s="4"/>
      <c r="AD165" s="4"/>
      <c r="AE165" s="4"/>
      <c r="AF165" s="89"/>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row>
    <row r="166" spans="1:116" hidden="1" outlineLevel="1">
      <c r="A166" s="4"/>
      <c r="B166" s="4"/>
      <c r="C166" s="4"/>
      <c r="D166" s="4"/>
      <c r="E166" s="262" t="s">
        <v>263</v>
      </c>
      <c r="F166" s="145" t="b">
        <f>AND(NoGlazing=TRUE,First3Inputs=TRUE,AreaAll&gt;0,WallConcession&gt;0,ISBLANK(AirMovement))</f>
        <v>0</v>
      </c>
      <c r="G166" s="284" t="s">
        <v>351</v>
      </c>
      <c r="H166" s="459" t="str">
        <f>IF(F166=TRUE,"6. Enter Air Movement","")</f>
        <v/>
      </c>
      <c r="I166" s="34"/>
      <c r="J166" s="34"/>
      <c r="K166" s="34"/>
      <c r="L166" s="34"/>
      <c r="M166" s="393">
        <f t="shared" si="121"/>
        <v>0</v>
      </c>
      <c r="N166" s="34"/>
      <c r="O166" s="34"/>
      <c r="P166" s="444"/>
      <c r="Q166" s="34"/>
      <c r="R166" s="34"/>
      <c r="S166" s="34"/>
      <c r="T166" s="34"/>
      <c r="U166" s="34"/>
      <c r="V166" s="34"/>
      <c r="W166" s="21"/>
      <c r="X166" s="21"/>
      <c r="Y166" s="21"/>
      <c r="Z166" s="21"/>
      <c r="AA166" s="21"/>
      <c r="AB166" s="4"/>
      <c r="AC166" s="4"/>
      <c r="AD166" s="4"/>
      <c r="AE166" s="4"/>
      <c r="AF166" s="89"/>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row>
    <row r="167" spans="1:116" hidden="1" outlineLevel="1">
      <c r="A167" s="4"/>
      <c r="B167" s="4"/>
      <c r="C167" s="4"/>
      <c r="D167" s="4"/>
      <c r="E167" s="262" t="s">
        <v>264</v>
      </c>
      <c r="F167" s="145" t="b">
        <f>AND(NoGlazing=FALSE,ISBLANK(AirMovement))</f>
        <v>0</v>
      </c>
      <c r="G167" s="284" t="s">
        <v>352</v>
      </c>
      <c r="H167" s="458" t="str">
        <f>IF(F167=TRUE,"No Air Movement","")</f>
        <v/>
      </c>
      <c r="I167" s="34"/>
      <c r="J167" s="34"/>
      <c r="K167" s="34"/>
      <c r="L167" s="34"/>
      <c r="M167" s="21"/>
      <c r="N167" s="393">
        <f>LEN(H167)</f>
        <v>0</v>
      </c>
      <c r="O167" s="34"/>
      <c r="P167" s="442"/>
      <c r="Q167" s="34"/>
      <c r="R167" s="34"/>
      <c r="S167" s="34"/>
      <c r="T167" s="34"/>
      <c r="U167" s="34"/>
      <c r="V167" s="34"/>
      <c r="W167" s="21"/>
      <c r="X167" s="21"/>
      <c r="Y167" s="21"/>
      <c r="Z167" s="21"/>
      <c r="AA167" s="21"/>
      <c r="AB167" s="21"/>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row>
    <row r="168" spans="1:116" hidden="1" outlineLevel="1">
      <c r="A168" s="4"/>
      <c r="B168" s="4"/>
      <c r="C168" s="4"/>
      <c r="D168" s="4"/>
      <c r="E168" s="262" t="s">
        <v>253</v>
      </c>
      <c r="F168" s="145" t="b">
        <f>AND(AreaA&gt;0,AirMovement&gt;0)</f>
        <v>0</v>
      </c>
      <c r="G168" s="285" t="s">
        <v>47</v>
      </c>
      <c r="H168" s="286"/>
      <c r="I168" s="34"/>
      <c r="J168" s="34"/>
      <c r="K168" s="34"/>
      <c r="L168" s="34"/>
      <c r="M168" s="34"/>
      <c r="N168" s="34"/>
      <c r="O168" s="34"/>
      <c r="P168" s="443"/>
      <c r="Q168" s="34"/>
      <c r="R168" s="34"/>
      <c r="S168" s="34"/>
      <c r="T168" s="34"/>
      <c r="U168" s="34"/>
      <c r="V168" s="34"/>
      <c r="W168" s="21"/>
      <c r="X168" s="21"/>
      <c r="Y168" s="21"/>
      <c r="Z168" s="21"/>
      <c r="AA168" s="21"/>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row>
    <row r="169" spans="1:116" hidden="1" outlineLevel="1">
      <c r="A169" s="4"/>
      <c r="B169" s="4"/>
      <c r="C169" s="4"/>
      <c r="D169" s="4"/>
      <c r="E169" s="262" t="s">
        <v>254</v>
      </c>
      <c r="F169" s="145" t="b">
        <f>AND(AreaB&gt;0,AirMovement&gt;0)</f>
        <v>0</v>
      </c>
      <c r="G169" s="285" t="s">
        <v>48</v>
      </c>
      <c r="H169" s="286"/>
      <c r="I169" s="34"/>
      <c r="J169" s="34"/>
      <c r="K169" s="34"/>
      <c r="L169" s="34"/>
      <c r="M169" s="34"/>
      <c r="N169" s="34"/>
      <c r="O169" s="34"/>
      <c r="P169" s="34"/>
      <c r="Q169" s="34"/>
      <c r="R169" s="34"/>
      <c r="S169" s="34"/>
      <c r="T169" s="34"/>
      <c r="U169" s="34"/>
      <c r="V169" s="34"/>
      <c r="W169" s="21"/>
      <c r="X169" s="21"/>
      <c r="Y169" s="21"/>
      <c r="Z169" s="21"/>
      <c r="AA169" s="21"/>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row>
    <row r="170" spans="1:116" hidden="1" outlineLevel="1">
      <c r="A170" s="4"/>
      <c r="B170" s="4"/>
      <c r="C170" s="4"/>
      <c r="D170" s="4"/>
      <c r="E170" s="445" t="s">
        <v>287</v>
      </c>
      <c r="F170" s="145" t="b">
        <f ca="1">AND(ISBLANK(H29)=FALSE,ISNA(MATCH(WallConcession,WallConcessions,0)))</f>
        <v>0</v>
      </c>
      <c r="G170" s="42"/>
      <c r="H170" s="451" t="str">
        <f ca="1">IF(AND(First3Inputs=TRUE,AreaAll&gt;0,AirMovement&gt;0,F170=TRUE,ISBLANK(WallConcession)=FALSE),"Selected wall concession is not available in climate zone "&amp;Zone,"")</f>
        <v/>
      </c>
      <c r="I170" s="34"/>
      <c r="J170" s="34"/>
      <c r="K170" s="34"/>
      <c r="L170" s="34"/>
      <c r="M170" s="21"/>
      <c r="N170" s="393">
        <f ca="1">LEN(H170)</f>
        <v>0</v>
      </c>
      <c r="O170" s="34"/>
      <c r="P170" s="441"/>
      <c r="Q170" s="34"/>
      <c r="R170" s="34"/>
      <c r="S170" s="34"/>
      <c r="T170" s="34"/>
      <c r="U170" s="34"/>
      <c r="V170" s="34"/>
      <c r="W170" s="21"/>
      <c r="X170" s="21"/>
      <c r="Y170" s="21"/>
      <c r="Z170" s="21"/>
      <c r="AA170" s="21"/>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row>
    <row r="171" spans="1:116" hidden="1" outlineLevel="1">
      <c r="A171" s="4"/>
      <c r="B171" s="4"/>
      <c r="C171" s="4"/>
      <c r="D171" s="4"/>
      <c r="E171" s="262" t="s">
        <v>355</v>
      </c>
      <c r="F171" s="145" t="b">
        <f>AND(NoGlazing=FALSE,COUNTA(Building,Zone,Storey,AirMovement)=4,AreaAll&gt;0,ISBLANK(H29)=TRUE)</f>
        <v>0</v>
      </c>
      <c r="G171" s="42"/>
      <c r="H171" s="458" t="str">
        <f>IF(F171=TRUE,"Wall insulation option is blank but other data is present","")</f>
        <v/>
      </c>
      <c r="I171" s="34"/>
      <c r="J171" s="34"/>
      <c r="K171" s="34"/>
      <c r="L171" s="34"/>
      <c r="M171" s="393"/>
      <c r="N171" s="393">
        <f>LEN(H171)</f>
        <v>0</v>
      </c>
      <c r="O171" s="34"/>
      <c r="P171" s="34"/>
      <c r="Q171" s="34"/>
      <c r="R171" s="34"/>
      <c r="S171" s="34"/>
      <c r="T171" s="34"/>
      <c r="U171" s="34"/>
      <c r="V171" s="34"/>
      <c r="W171" s="21"/>
      <c r="X171" s="21"/>
      <c r="Y171" s="21"/>
      <c r="Z171" s="21"/>
      <c r="AA171" s="21"/>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row>
    <row r="172" spans="1:116" hidden="1" outlineLevel="1">
      <c r="A172" s="4"/>
      <c r="B172" s="4"/>
      <c r="C172" s="4"/>
      <c r="D172" s="4"/>
      <c r="E172" s="262" t="s">
        <v>321</v>
      </c>
      <c r="F172" s="145" t="b">
        <f ca="1">AND(UpperInputsAlerts=0,F170=FALSE,NoGlazing=TRUE)</f>
        <v>0</v>
      </c>
      <c r="G172" s="284" t="s">
        <v>93</v>
      </c>
      <c r="H172" s="460" t="str">
        <f ca="1">IF(TopInputsOK=TRUE,"7. Enter glazing details in this table. Input above and arrow near 'ID' alter the number of rows.","")</f>
        <v/>
      </c>
      <c r="I172" s="450" t="s">
        <v>320</v>
      </c>
      <c r="J172" s="46"/>
      <c r="K172" s="47"/>
      <c r="L172" s="47"/>
      <c r="M172" s="47"/>
      <c r="N172" s="47"/>
      <c r="O172" s="47"/>
      <c r="P172" s="47"/>
      <c r="Q172" s="47"/>
      <c r="R172" s="47"/>
      <c r="S172" s="47"/>
      <c r="T172" s="47"/>
      <c r="U172" s="47"/>
      <c r="V172" s="47"/>
      <c r="W172" s="21"/>
      <c r="X172" s="21"/>
      <c r="Y172" s="21"/>
      <c r="Z172" s="21"/>
      <c r="AA172" s="21"/>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row>
    <row r="173" spans="1:116" hidden="1" outlineLevel="1">
      <c r="A173" s="4"/>
      <c r="B173" s="4"/>
      <c r="C173" s="4"/>
      <c r="D173" s="4"/>
      <c r="E173" s="39"/>
      <c r="F173" s="81"/>
      <c r="G173" s="40"/>
      <c r="H173" s="40"/>
      <c r="I173" s="40"/>
      <c r="J173" s="40"/>
      <c r="K173" s="40"/>
      <c r="L173" s="34"/>
      <c r="M173" s="34"/>
      <c r="N173" s="34"/>
      <c r="O173" s="34"/>
      <c r="P173" s="34"/>
      <c r="Q173" s="34"/>
      <c r="R173" s="34"/>
      <c r="S173" s="34"/>
      <c r="T173" s="34"/>
      <c r="U173" s="34"/>
      <c r="V173" s="4"/>
      <c r="W173" s="21"/>
      <c r="X173" s="21"/>
      <c r="Y173" s="21"/>
      <c r="Z173" s="21"/>
      <c r="AA173" s="21"/>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row>
    <row r="174" spans="1:116" hidden="1" outlineLevel="1">
      <c r="A174" s="4"/>
      <c r="B174" s="38" t="s">
        <v>338</v>
      </c>
      <c r="C174" s="414"/>
      <c r="D174" s="414"/>
      <c r="E174" s="414"/>
      <c r="F174" s="415">
        <v>1</v>
      </c>
      <c r="G174" s="415">
        <v>2</v>
      </c>
      <c r="H174" s="415">
        <v>3</v>
      </c>
      <c r="I174" s="415">
        <v>4</v>
      </c>
      <c r="J174" s="415">
        <v>5</v>
      </c>
      <c r="K174" s="415">
        <v>6</v>
      </c>
      <c r="L174" s="415">
        <v>7</v>
      </c>
      <c r="M174" s="415">
        <v>8</v>
      </c>
      <c r="N174" s="34"/>
      <c r="O174" s="34"/>
      <c r="P174" s="34"/>
      <c r="Q174" s="34"/>
      <c r="R174" s="34"/>
      <c r="S174" s="34"/>
      <c r="T174" s="34"/>
      <c r="U174" s="34"/>
      <c r="V174" s="4"/>
      <c r="W174" s="21"/>
      <c r="X174" s="21"/>
      <c r="Y174" s="21"/>
      <c r="Z174" s="21"/>
      <c r="AA174" s="21"/>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row>
    <row r="175" spans="1:116" hidden="1" outlineLevel="1">
      <c r="A175" s="4"/>
      <c r="B175" s="4"/>
      <c r="C175" s="4"/>
      <c r="D175" s="4"/>
      <c r="E175" s="416" t="s">
        <v>340</v>
      </c>
      <c r="F175" s="212" t="str">
        <f t="shared" ref="F175:M175" ca="1" si="122">IF(UpperInputsFlagged=0,INDEX(Orientations,1,F174),"")</f>
        <v/>
      </c>
      <c r="G175" s="212" t="str">
        <f t="shared" ca="1" si="122"/>
        <v/>
      </c>
      <c r="H175" s="212" t="str">
        <f t="shared" ca="1" si="122"/>
        <v/>
      </c>
      <c r="I175" s="212" t="str">
        <f t="shared" ca="1" si="122"/>
        <v/>
      </c>
      <c r="J175" s="212" t="str">
        <f t="shared" ca="1" si="122"/>
        <v/>
      </c>
      <c r="K175" s="212" t="str">
        <f t="shared" ca="1" si="122"/>
        <v/>
      </c>
      <c r="L175" s="212" t="str">
        <f t="shared" ca="1" si="122"/>
        <v/>
      </c>
      <c r="M175" s="212" t="str">
        <f t="shared" ca="1" si="122"/>
        <v/>
      </c>
      <c r="N175" s="116" t="s">
        <v>339</v>
      </c>
      <c r="O175" s="34"/>
      <c r="P175" s="34"/>
      <c r="Q175" s="34"/>
      <c r="R175" s="34"/>
      <c r="S175" s="34"/>
      <c r="T175" s="34"/>
      <c r="U175" s="34"/>
      <c r="V175" s="4"/>
      <c r="W175" s="21"/>
      <c r="X175" s="21"/>
      <c r="Y175" s="21"/>
      <c r="Z175" s="21"/>
      <c r="AA175" s="21"/>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row>
    <row r="176" spans="1:116" hidden="1" outlineLevel="1">
      <c r="A176" s="4"/>
      <c r="B176" s="4"/>
      <c r="C176" s="4"/>
      <c r="D176" s="4"/>
      <c r="E176" s="39"/>
      <c r="F176" s="81"/>
      <c r="G176" s="40"/>
      <c r="H176" s="40"/>
      <c r="I176" s="40"/>
      <c r="J176" s="40"/>
      <c r="K176" s="40"/>
      <c r="L176" s="34"/>
      <c r="M176" s="34"/>
      <c r="N176" s="34"/>
      <c r="O176" s="34"/>
      <c r="P176" s="34"/>
      <c r="Q176" s="34"/>
      <c r="R176" s="34"/>
      <c r="S176" s="34"/>
      <c r="T176" s="34"/>
      <c r="U176" s="34"/>
      <c r="V176" s="4"/>
      <c r="W176" s="21"/>
      <c r="X176" s="21"/>
      <c r="Y176" s="21"/>
      <c r="Z176" s="21"/>
      <c r="AA176" s="21"/>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row>
    <row r="177" spans="1:116" hidden="1" outlineLevel="1">
      <c r="A177" s="4"/>
      <c r="B177" s="38" t="s">
        <v>49</v>
      </c>
      <c r="C177" s="38"/>
      <c r="D177" s="38"/>
      <c r="E177" s="38"/>
      <c r="F177" s="38"/>
      <c r="G177" s="38"/>
      <c r="H177" s="38"/>
      <c r="I177" s="38"/>
      <c r="J177" s="38"/>
      <c r="K177" s="38"/>
      <c r="L177" s="38"/>
      <c r="M177" s="38"/>
      <c r="N177" s="38"/>
      <c r="O177" s="38"/>
      <c r="P177" s="38"/>
      <c r="Q177" s="38"/>
      <c r="R177" s="38"/>
      <c r="S177" s="38"/>
      <c r="T177" s="38"/>
      <c r="U177" s="38"/>
      <c r="V177" s="38"/>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row>
    <row r="178" spans="1:116" hidden="1" outlineLevel="1">
      <c r="A178" s="4"/>
      <c r="B178" s="4"/>
      <c r="C178" s="4"/>
      <c r="D178" s="4"/>
      <c r="E178" s="35" t="s">
        <v>134</v>
      </c>
      <c r="F178" s="287">
        <f>COUNT(Rows)</f>
        <v>80</v>
      </c>
      <c r="G178" s="290" t="s">
        <v>122</v>
      </c>
      <c r="H178" s="291"/>
      <c r="I178" s="15"/>
      <c r="J178" s="15"/>
      <c r="K178" s="15"/>
      <c r="L178" s="34"/>
      <c r="M178" s="34"/>
      <c r="N178" s="34"/>
      <c r="O178" s="34"/>
      <c r="P178" s="34"/>
      <c r="Q178" s="34"/>
      <c r="R178" s="34"/>
      <c r="S178" s="34"/>
      <c r="T178" s="34"/>
      <c r="U178" s="3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row>
    <row r="179" spans="1:116" hidden="1" outlineLevel="1">
      <c r="A179" s="4"/>
      <c r="B179" s="4"/>
      <c r="C179" s="4"/>
      <c r="D179" s="4"/>
      <c r="E179" s="35" t="s">
        <v>135</v>
      </c>
      <c r="F179" s="288">
        <f>SUBTOTAL(2,Rows)</f>
        <v>40</v>
      </c>
      <c r="G179" s="292" t="s">
        <v>123</v>
      </c>
      <c r="H179" s="286"/>
      <c r="I179" s="15"/>
      <c r="J179" s="15"/>
      <c r="K179" s="15"/>
      <c r="L179" s="34"/>
      <c r="M179" s="34"/>
      <c r="N179" s="34"/>
      <c r="O179" s="34"/>
      <c r="P179" s="34"/>
      <c r="Q179" s="34"/>
      <c r="R179" s="34"/>
      <c r="S179" s="34"/>
      <c r="T179" s="34"/>
      <c r="U179" s="3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row>
    <row r="180" spans="1:116" hidden="1" outlineLevel="1">
      <c r="A180" s="4"/>
      <c r="B180" s="4"/>
      <c r="C180" s="4"/>
      <c r="D180" s="4"/>
      <c r="E180" s="35" t="s">
        <v>255</v>
      </c>
      <c r="F180" s="288">
        <f>SUBTOTAL(9,Z37:Z116)</f>
        <v>0</v>
      </c>
      <c r="G180" s="292" t="s">
        <v>128</v>
      </c>
      <c r="H180" s="42"/>
      <c r="I180" s="4"/>
      <c r="J180" s="4"/>
      <c r="K180" s="4"/>
      <c r="L180" s="34"/>
      <c r="M180" s="34"/>
      <c r="N180" s="34"/>
      <c r="O180" s="34"/>
      <c r="P180" s="34"/>
      <c r="Q180" s="34"/>
      <c r="R180" s="34"/>
      <c r="S180" s="34"/>
      <c r="T180" s="34"/>
      <c r="U180" s="3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row>
    <row r="181" spans="1:116" hidden="1" outlineLevel="1">
      <c r="A181" s="4"/>
      <c r="B181" s="4"/>
      <c r="C181" s="4"/>
      <c r="D181" s="4"/>
      <c r="E181" s="35" t="s">
        <v>256</v>
      </c>
      <c r="F181" s="289">
        <f>RowsActive-ActiveDisplayed</f>
        <v>0</v>
      </c>
      <c r="G181" s="292" t="s">
        <v>129</v>
      </c>
      <c r="H181" s="411" t="str">
        <f>IF(ActiveHidden&lt;&gt;0,ActiveHidden&amp;" row"&amp;IF(ActiveHidden=1,"","s")&amp;" containing glazing details "&amp;IF(ActiveHidden=1,"is","are")&amp;" hidden.
(Use input above and arrow at left to display at least "&amp;LastActive&amp;" row"&amp;IF(LastActive=1,".)","s.)"),"")</f>
        <v/>
      </c>
      <c r="I181" s="4"/>
      <c r="J181" s="4"/>
      <c r="K181" s="4"/>
      <c r="L181" s="34"/>
      <c r="M181" s="34"/>
      <c r="N181" s="34"/>
      <c r="O181" s="34"/>
      <c r="P181" s="34"/>
      <c r="Q181" s="34"/>
      <c r="R181" s="34"/>
      <c r="S181" s="34"/>
      <c r="T181" s="34"/>
      <c r="U181" s="34"/>
      <c r="V181" s="21"/>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row>
    <row r="182" spans="1:116" hidden="1" outlineLevel="1">
      <c r="A182" s="4"/>
      <c r="B182" s="4"/>
      <c r="C182" s="4"/>
      <c r="D182" s="4"/>
      <c r="E182" s="207" t="s">
        <v>211</v>
      </c>
      <c r="F182" s="212" t="s">
        <v>216</v>
      </c>
      <c r="G182" s="212" t="s">
        <v>217</v>
      </c>
      <c r="H182" s="212" t="s">
        <v>218</v>
      </c>
      <c r="I182" s="116" t="s">
        <v>213</v>
      </c>
      <c r="J182" s="98"/>
      <c r="K182" s="4"/>
      <c r="L182" s="4"/>
      <c r="M182" s="4"/>
      <c r="N182" s="4"/>
      <c r="O182" s="4"/>
      <c r="P182" s="34"/>
      <c r="Q182" s="34"/>
      <c r="R182" s="34"/>
      <c r="S182" s="34"/>
      <c r="T182" s="3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row>
    <row r="183" spans="1:116" hidden="1" outlineLevel="1">
      <c r="A183" s="4"/>
      <c r="B183" s="4"/>
      <c r="C183" s="4"/>
      <c r="D183" s="4"/>
      <c r="E183" s="4"/>
      <c r="F183" s="15"/>
      <c r="G183" s="4"/>
      <c r="H183" s="4"/>
      <c r="I183" s="98"/>
      <c r="J183" s="98"/>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row>
    <row r="184" spans="1:116" hidden="1" outlineLevel="1">
      <c r="A184" s="4"/>
      <c r="B184" s="38" t="s">
        <v>137</v>
      </c>
      <c r="C184" s="88"/>
      <c r="D184" s="88"/>
      <c r="E184" s="88"/>
      <c r="F184" s="9" t="s">
        <v>31</v>
      </c>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row>
    <row r="185" spans="1:116" hidden="1" outlineLevel="1">
      <c r="A185" s="4"/>
      <c r="B185" s="4"/>
      <c r="C185" s="4"/>
      <c r="D185" s="4"/>
      <c r="E185" s="262" t="s">
        <v>291</v>
      </c>
      <c r="F185" s="64">
        <f>COUNTA(SectorsListed)</f>
        <v>0</v>
      </c>
      <c r="G185" s="81" t="s">
        <v>111</v>
      </c>
      <c r="H185" s="15"/>
      <c r="I185" s="15"/>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row>
    <row r="186" spans="1:116" hidden="1" outlineLevel="1">
      <c r="A186" s="4"/>
      <c r="B186" s="4"/>
      <c r="C186" s="4"/>
      <c r="D186" s="4"/>
      <c r="E186" s="262" t="s">
        <v>290</v>
      </c>
      <c r="F186" s="111" t="b">
        <f>AND(F185&gt;0,AreaAll=0,ISBLANK(AirMovement))</f>
        <v>0</v>
      </c>
      <c r="G186" s="278"/>
      <c r="H186" s="278"/>
      <c r="I186" s="278"/>
      <c r="J186" s="278"/>
      <c r="K186" s="278"/>
      <c r="L186" s="278"/>
      <c r="M186" s="278"/>
      <c r="N186" s="278"/>
      <c r="O186" s="278"/>
      <c r="P186" s="278"/>
      <c r="Q186" s="278"/>
      <c r="R186" s="278"/>
      <c r="S186" s="278"/>
      <c r="T186" s="278"/>
      <c r="U186" s="278"/>
      <c r="V186" s="278"/>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row>
    <row r="187" spans="1:116" hidden="1" outlineLevel="1">
      <c r="A187" s="4"/>
      <c r="B187" s="4"/>
      <c r="C187" s="4"/>
      <c r="D187" s="4"/>
      <c r="E187" s="262" t="s">
        <v>295</v>
      </c>
      <c r="F187" s="111" t="b">
        <f>AND(F185&gt;0,AreaAll=0,AirMovement&gt;0)</f>
        <v>0</v>
      </c>
      <c r="G187" s="278"/>
      <c r="H187" s="278"/>
      <c r="I187" s="278"/>
      <c r="J187" s="278"/>
      <c r="K187" s="278"/>
      <c r="L187" s="278"/>
      <c r="M187" s="278"/>
      <c r="N187" s="278"/>
      <c r="O187" s="278"/>
      <c r="P187" s="278"/>
      <c r="Q187" s="278"/>
      <c r="R187" s="278"/>
      <c r="S187" s="278"/>
      <c r="T187" s="278"/>
      <c r="U187" s="278"/>
      <c r="V187" s="278"/>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row>
    <row r="188" spans="1:116" hidden="1" outlineLevel="1">
      <c r="A188" s="4"/>
      <c r="B188" s="4"/>
      <c r="C188" s="4"/>
      <c r="D188" s="4"/>
      <c r="E188" s="262" t="s">
        <v>296</v>
      </c>
      <c r="F188" s="109" t="b">
        <f>AND(F185&gt;0,AreaAll=0,ISBLANK(AirMovement))</f>
        <v>0</v>
      </c>
      <c r="G188" s="278"/>
      <c r="H188" s="278"/>
      <c r="I188" s="278"/>
      <c r="J188" s="278"/>
      <c r="K188" s="278"/>
      <c r="L188" s="278"/>
      <c r="M188" s="278"/>
      <c r="N188" s="278"/>
      <c r="O188" s="278"/>
      <c r="P188" s="278"/>
      <c r="Q188" s="278"/>
      <c r="R188" s="278"/>
      <c r="S188" s="278"/>
      <c r="T188" s="278"/>
      <c r="U188" s="278"/>
      <c r="V188" s="278"/>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row>
    <row r="189" spans="1:116" hidden="1" outlineLevel="1">
      <c r="A189" s="4"/>
      <c r="B189" s="4"/>
      <c r="C189" s="4"/>
      <c r="D189" s="4"/>
      <c r="E189" s="4"/>
      <c r="F189" s="15"/>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row>
    <row r="190" spans="1:116" hidden="1" outlineLevel="1">
      <c r="A190" s="4"/>
      <c r="B190" s="38" t="s">
        <v>292</v>
      </c>
      <c r="C190" s="88"/>
      <c r="D190" s="88"/>
      <c r="E190" s="88"/>
      <c r="F190" s="88"/>
      <c r="G190" s="88"/>
      <c r="H190" s="88"/>
      <c r="I190" s="88"/>
      <c r="J190" s="88"/>
      <c r="K190" s="88"/>
      <c r="L190" s="88"/>
      <c r="M190" s="88"/>
      <c r="N190" s="88"/>
      <c r="O190" s="88"/>
      <c r="P190" s="88"/>
      <c r="Q190" s="88"/>
      <c r="R190" s="88"/>
      <c r="S190" s="88"/>
      <c r="T190" s="88"/>
      <c r="U190" s="88"/>
      <c r="V190" s="88"/>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row>
    <row r="191" spans="1:116" hidden="1" outlineLevel="1">
      <c r="A191" s="4"/>
      <c r="B191" s="48" t="s">
        <v>293</v>
      </c>
      <c r="C191" s="4"/>
      <c r="D191" s="95"/>
      <c r="E191" s="48"/>
      <c r="F191" s="15"/>
      <c r="G191" s="4"/>
      <c r="H191" s="4"/>
      <c r="I191" s="4"/>
      <c r="J191" s="32"/>
      <c r="K191" s="32"/>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row>
    <row r="192" spans="1:116" hidden="1" outlineLevel="1">
      <c r="A192" s="4"/>
      <c r="B192" s="4"/>
      <c r="C192" s="4"/>
      <c r="D192" s="95">
        <f>COUNTIF(G199:G209,Zone)</f>
        <v>0</v>
      </c>
      <c r="E192" s="48" t="s">
        <v>286</v>
      </c>
      <c r="F192" s="15"/>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row>
    <row r="193" spans="1:116" hidden="1" outlineLevel="1">
      <c r="A193" s="4"/>
      <c r="B193" s="4"/>
      <c r="C193" s="4"/>
      <c r="D193" s="266">
        <v>0</v>
      </c>
      <c r="E193" s="279" t="s">
        <v>297</v>
      </c>
      <c r="F193" s="15"/>
      <c r="G193" s="4"/>
      <c r="H193" s="4"/>
      <c r="I193" s="81" t="s">
        <v>353</v>
      </c>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row>
    <row r="194" spans="1:116" hidden="1" outlineLevel="1">
      <c r="A194" s="4"/>
      <c r="B194" s="4"/>
      <c r="C194" s="4"/>
      <c r="D194" s="266">
        <v>1</v>
      </c>
      <c r="E194" s="265" t="str">
        <f>IF(D192=0,"",INDEX(F$199:F$209,MATCH(Zone,G$199:G$209,0),1))</f>
        <v/>
      </c>
      <c r="F194" s="15"/>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row>
    <row r="195" spans="1:116" hidden="1" outlineLevel="1">
      <c r="A195" s="4"/>
      <c r="B195" s="4"/>
      <c r="C195" s="4"/>
      <c r="D195" s="266">
        <v>2</v>
      </c>
      <c r="E195" s="265" t="str">
        <f>IF(COUNTIF(G$199:G$209,Zone)=2,INDEX(F$199:F$209,MATCH(Zone,G$199:G$209,0)+1,1),"")</f>
        <v/>
      </c>
      <c r="F195" s="15"/>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row>
    <row r="196" spans="1:116" hidden="1" outlineLevel="1">
      <c r="A196" s="4"/>
      <c r="B196" s="4"/>
      <c r="C196" s="4"/>
      <c r="D196" s="4"/>
      <c r="E196" s="4"/>
      <c r="F196" s="15"/>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row>
    <row r="197" spans="1:116" hidden="1" outlineLevel="1">
      <c r="A197" s="4"/>
      <c r="B197" s="4"/>
      <c r="C197" s="4"/>
      <c r="D197" s="4"/>
      <c r="E197" s="4"/>
      <c r="F197" s="9" t="s">
        <v>294</v>
      </c>
      <c r="G197" s="9" t="s">
        <v>265</v>
      </c>
      <c r="H197" s="9" t="s">
        <v>266</v>
      </c>
      <c r="I197" s="9" t="s">
        <v>267</v>
      </c>
      <c r="J197" s="275" t="s">
        <v>268</v>
      </c>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row>
    <row r="198" spans="1:116" hidden="1" outlineLevel="1">
      <c r="A198" s="4"/>
      <c r="B198" s="4"/>
      <c r="C198" s="4"/>
      <c r="D198" s="4"/>
      <c r="E198" s="4"/>
      <c r="F198" s="276" t="str">
        <f>NoWallConcession</f>
        <v>No wall insulation concession used</v>
      </c>
      <c r="G198" s="32"/>
      <c r="H198" s="32"/>
      <c r="I198" s="32"/>
      <c r="J198" s="263"/>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row>
    <row r="199" spans="1:116" hidden="1" outlineLevel="1">
      <c r="A199" s="4"/>
      <c r="B199" s="4"/>
      <c r="C199" s="4"/>
      <c r="D199" s="4"/>
      <c r="E199" s="4"/>
      <c r="F199" s="277" t="s">
        <v>275</v>
      </c>
      <c r="G199" s="4">
        <v>1</v>
      </c>
      <c r="H199" s="264"/>
      <c r="I199" s="264">
        <v>0.2</v>
      </c>
      <c r="J199" s="4" t="s">
        <v>269</v>
      </c>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row>
    <row r="200" spans="1:116" hidden="1" outlineLevel="1">
      <c r="A200" s="4"/>
      <c r="B200" s="4"/>
      <c r="C200" s="4"/>
      <c r="D200" s="4"/>
      <c r="E200" s="4"/>
      <c r="F200" s="277" t="s">
        <v>276</v>
      </c>
      <c r="G200" s="4">
        <v>2</v>
      </c>
      <c r="H200" s="264"/>
      <c r="I200" s="264">
        <v>0.2</v>
      </c>
      <c r="J200" s="4" t="s">
        <v>269</v>
      </c>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row>
    <row r="201" spans="1:116" hidden="1" outlineLevel="1">
      <c r="A201" s="4"/>
      <c r="B201" s="4"/>
      <c r="C201" s="4"/>
      <c r="D201" s="4"/>
      <c r="E201" s="4"/>
      <c r="F201" s="277" t="s">
        <v>277</v>
      </c>
      <c r="G201" s="4">
        <v>3</v>
      </c>
      <c r="H201" s="264"/>
      <c r="I201" s="264">
        <v>0.2</v>
      </c>
      <c r="J201" s="4" t="s">
        <v>269</v>
      </c>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row>
    <row r="202" spans="1:116" hidden="1" outlineLevel="1">
      <c r="A202" s="4"/>
      <c r="B202" s="4"/>
      <c r="C202" s="4"/>
      <c r="D202" s="4"/>
      <c r="E202" s="4"/>
      <c r="F202" s="277" t="s">
        <v>278</v>
      </c>
      <c r="G202" s="4">
        <v>4</v>
      </c>
      <c r="H202" s="264">
        <v>0.15</v>
      </c>
      <c r="I202" s="264"/>
      <c r="J202" s="4" t="s">
        <v>270</v>
      </c>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row>
    <row r="203" spans="1:116" hidden="1" outlineLevel="1">
      <c r="A203" s="4"/>
      <c r="B203" s="4"/>
      <c r="C203" s="4"/>
      <c r="D203" s="4"/>
      <c r="E203" s="4"/>
      <c r="F203" s="277" t="s">
        <v>279</v>
      </c>
      <c r="G203" s="4">
        <v>4</v>
      </c>
      <c r="H203" s="264">
        <v>0.2</v>
      </c>
      <c r="I203" s="264"/>
      <c r="J203" s="4" t="s">
        <v>272</v>
      </c>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row>
    <row r="204" spans="1:116" hidden="1" outlineLevel="1">
      <c r="A204" s="4"/>
      <c r="B204" s="4"/>
      <c r="C204" s="4"/>
      <c r="D204" s="4"/>
      <c r="E204" s="4"/>
      <c r="F204" s="277" t="s">
        <v>280</v>
      </c>
      <c r="G204" s="4">
        <v>5</v>
      </c>
      <c r="H204" s="264"/>
      <c r="I204" s="264">
        <v>0.15</v>
      </c>
      <c r="J204" s="4" t="s">
        <v>270</v>
      </c>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row>
    <row r="205" spans="1:116" hidden="1" outlineLevel="1">
      <c r="A205" s="4"/>
      <c r="B205" s="4"/>
      <c r="C205" s="4"/>
      <c r="D205" s="4"/>
      <c r="E205" s="4"/>
      <c r="F205" s="277" t="s">
        <v>281</v>
      </c>
      <c r="G205" s="4">
        <v>5</v>
      </c>
      <c r="H205" s="264"/>
      <c r="I205" s="264">
        <v>0.15</v>
      </c>
      <c r="J205" s="4" t="s">
        <v>271</v>
      </c>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row>
    <row r="206" spans="1:116" hidden="1" outlineLevel="1">
      <c r="A206" s="4"/>
      <c r="B206" s="4"/>
      <c r="C206" s="4"/>
      <c r="D206" s="4"/>
      <c r="E206" s="4"/>
      <c r="F206" s="277" t="s">
        <v>282</v>
      </c>
      <c r="G206" s="4">
        <v>6</v>
      </c>
      <c r="H206" s="264">
        <v>0.15</v>
      </c>
      <c r="I206" s="264"/>
      <c r="J206" s="4" t="s">
        <v>270</v>
      </c>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row>
    <row r="207" spans="1:116" hidden="1" outlineLevel="1">
      <c r="A207" s="4"/>
      <c r="B207" s="4"/>
      <c r="C207" s="4"/>
      <c r="D207" s="4"/>
      <c r="E207" s="4"/>
      <c r="F207" s="277" t="s">
        <v>283</v>
      </c>
      <c r="G207" s="4">
        <v>6</v>
      </c>
      <c r="H207" s="264">
        <v>0.2</v>
      </c>
      <c r="I207" s="264"/>
      <c r="J207" s="4" t="s">
        <v>272</v>
      </c>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row>
    <row r="208" spans="1:116" hidden="1" outlineLevel="1">
      <c r="A208" s="4"/>
      <c r="B208" s="4"/>
      <c r="C208" s="4"/>
      <c r="D208" s="4"/>
      <c r="E208" s="4"/>
      <c r="F208" s="277" t="s">
        <v>284</v>
      </c>
      <c r="G208" s="4">
        <v>7</v>
      </c>
      <c r="H208" s="264">
        <v>0.15</v>
      </c>
      <c r="I208" s="264"/>
      <c r="J208" s="4" t="s">
        <v>273</v>
      </c>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row>
    <row r="209" spans="1:116" hidden="1" outlineLevel="1">
      <c r="A209" s="4"/>
      <c r="B209" s="4"/>
      <c r="C209" s="4"/>
      <c r="D209" s="4"/>
      <c r="E209" s="4"/>
      <c r="F209" s="277" t="s">
        <v>285</v>
      </c>
      <c r="G209" s="4">
        <v>7</v>
      </c>
      <c r="H209" s="264">
        <v>0.2</v>
      </c>
      <c r="I209" s="264"/>
      <c r="J209" s="4" t="s">
        <v>274</v>
      </c>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row>
    <row r="210" spans="1:116" collapsed="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row>
    <row r="211" spans="1:116">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row>
    <row r="212" spans="1:116">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row>
    <row r="213" spans="1:116">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row>
    <row r="214" spans="1:116">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row>
    <row r="215" spans="1:116">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row>
    <row r="216" spans="1:1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row>
    <row r="217" spans="1:116">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row>
    <row r="218" spans="1:116">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row>
    <row r="219" spans="1:116">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row>
    <row r="220" spans="1:116">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row>
    <row r="221" spans="1:116">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row>
  </sheetData>
  <sheetProtection password="EFF1" sheet="1" objects="1" scenarios="1" selectLockedCells="1" autoFilter="0"/>
  <autoFilter ref="B36:B116">
    <filterColumn colId="0">
      <filters>
        <filter val="40"/>
      </filters>
    </filterColumn>
  </autoFilter>
  <mergeCells count="90">
    <mergeCell ref="D45:E45"/>
    <mergeCell ref="D46:E46"/>
    <mergeCell ref="D47:E47"/>
    <mergeCell ref="D40:E40"/>
    <mergeCell ref="D41:E41"/>
    <mergeCell ref="D42:E42"/>
    <mergeCell ref="D43:E43"/>
    <mergeCell ref="D44:E44"/>
    <mergeCell ref="B26:M26"/>
    <mergeCell ref="H29:O29"/>
    <mergeCell ref="D70:E70"/>
    <mergeCell ref="D52:E52"/>
    <mergeCell ref="D53:E53"/>
    <mergeCell ref="D50:E50"/>
    <mergeCell ref="D51:E51"/>
    <mergeCell ref="D36:E36"/>
    <mergeCell ref="D59:E59"/>
    <mergeCell ref="D60:E60"/>
    <mergeCell ref="D61:E61"/>
    <mergeCell ref="D62:E62"/>
    <mergeCell ref="D63:E63"/>
    <mergeCell ref="B28:D28"/>
    <mergeCell ref="B30:D30"/>
    <mergeCell ref="D49:E49"/>
    <mergeCell ref="T118:T119"/>
    <mergeCell ref="D55:E55"/>
    <mergeCell ref="D56:E56"/>
    <mergeCell ref="D57:E57"/>
    <mergeCell ref="D72:E72"/>
    <mergeCell ref="D73:E73"/>
    <mergeCell ref="D75:E75"/>
    <mergeCell ref="D116:E116"/>
    <mergeCell ref="B119:P119"/>
    <mergeCell ref="D64:E64"/>
    <mergeCell ref="D65:E65"/>
    <mergeCell ref="D74:E74"/>
    <mergeCell ref="D78:E78"/>
    <mergeCell ref="D79:E79"/>
    <mergeCell ref="D80:E80"/>
    <mergeCell ref="D81:E81"/>
    <mergeCell ref="Q34:T34"/>
    <mergeCell ref="Q35:R35"/>
    <mergeCell ref="S35:T35"/>
    <mergeCell ref="D76:E76"/>
    <mergeCell ref="D77:E77"/>
    <mergeCell ref="D48:E48"/>
    <mergeCell ref="D71:E71"/>
    <mergeCell ref="D66:E66"/>
    <mergeCell ref="D67:E67"/>
    <mergeCell ref="D68:E68"/>
    <mergeCell ref="D69:E69"/>
    <mergeCell ref="D58:E58"/>
    <mergeCell ref="D54:E54"/>
    <mergeCell ref="D37:E37"/>
    <mergeCell ref="D38:E38"/>
    <mergeCell ref="D39:E39"/>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5:E115"/>
    <mergeCell ref="D110:E110"/>
    <mergeCell ref="D111:E111"/>
    <mergeCell ref="D112:E112"/>
    <mergeCell ref="D113:E113"/>
    <mergeCell ref="D114:E114"/>
  </mergeCells>
  <phoneticPr fontId="2" type="noConversion"/>
  <conditionalFormatting sqref="E150 E158:E160 E153:E156 E186:E188 E163:E172">
    <cfRule type="expression" dxfId="487" priority="35" stopIfTrue="1">
      <formula>F150=TRUE</formula>
    </cfRule>
  </conditionalFormatting>
  <conditionalFormatting sqref="AS37:AS116">
    <cfRule type="expression" dxfId="486" priority="19" stopIfTrue="1">
      <formula>AND(AC37=FALSE,AD37&gt;0,LEN(AS37)&gt;0)</formula>
    </cfRule>
    <cfRule type="expression" dxfId="485" priority="39" stopIfTrue="1">
      <formula>AND(AD37&gt;0,LEN(AS37)&gt;0)</formula>
    </cfRule>
  </conditionalFormatting>
  <conditionalFormatting sqref="S27">
    <cfRule type="expression" dxfId="484" priority="184" stopIfTrue="1">
      <formula>S27+T27&gt;0</formula>
    </cfRule>
  </conditionalFormatting>
  <conditionalFormatting sqref="O37:O116">
    <cfRule type="expression" dxfId="483" priority="196" stopIfTrue="1">
      <formula>OR(AC37&lt;&gt;TRUE,InputIssues&gt;0)</formula>
    </cfRule>
  </conditionalFormatting>
  <conditionalFormatting sqref="D37:E116">
    <cfRule type="expression" dxfId="482" priority="204" stopIfTrue="1">
      <formula>$AC37=TRUE</formula>
    </cfRule>
    <cfRule type="expression" dxfId="481" priority="205" stopIfTrue="1">
      <formula>COUNTA($D37)&gt;0</formula>
    </cfRule>
  </conditionalFormatting>
  <conditionalFormatting sqref="B37:B116">
    <cfRule type="expression" dxfId="480" priority="206" stopIfTrue="1">
      <formula>AC37=TRUE</formula>
    </cfRule>
  </conditionalFormatting>
  <conditionalFormatting sqref="C37:C116">
    <cfRule type="expression" dxfId="479" priority="208" stopIfTrue="1">
      <formula>AC37=TRUE</formula>
    </cfRule>
    <cfRule type="expression" dxfId="478" priority="209" stopIfTrue="1">
      <formula>OR(COUNTA(D37)&gt;0,AE37=TRUE)</formula>
    </cfRule>
  </conditionalFormatting>
  <conditionalFormatting sqref="F186:F188 F163:F172 F153:F156 X165 F158:F160 F150">
    <cfRule type="cellIs" dxfId="477" priority="95" stopIfTrue="1" operator="equal">
      <formula>TRUE</formula>
    </cfRule>
  </conditionalFormatting>
  <conditionalFormatting sqref="G186:V188">
    <cfRule type="cellIs" dxfId="476" priority="96" stopIfTrue="1" operator="notEqual">
      <formula>0</formula>
    </cfRule>
  </conditionalFormatting>
  <conditionalFormatting sqref="BO29:BP29 AE35 AG35:AO35">
    <cfRule type="cellIs" dxfId="475" priority="101" stopIfTrue="1" operator="greaterThan">
      <formula>0</formula>
    </cfRule>
  </conditionalFormatting>
  <conditionalFormatting sqref="BO27 BV26">
    <cfRule type="cellIs" dxfId="474" priority="110" stopIfTrue="1" operator="lessThan">
      <formula>0</formula>
    </cfRule>
  </conditionalFormatting>
  <conditionalFormatting sqref="BK37:BM116 AY37:BB116 BF37:BG116 BO37:BR116">
    <cfRule type="cellIs" dxfId="473" priority="103" stopIfTrue="1" operator="equal">
      <formula>0</formula>
    </cfRule>
  </conditionalFormatting>
  <conditionalFormatting sqref="BC37:BC116">
    <cfRule type="cellIs" dxfId="472" priority="104" stopIfTrue="1" operator="equal">
      <formula>FALSE</formula>
    </cfRule>
    <cfRule type="cellIs" dxfId="471" priority="105" stopIfTrue="1" operator="notEqual">
      <formula>0</formula>
    </cfRule>
  </conditionalFormatting>
  <conditionalFormatting sqref="BU37:BV116">
    <cfRule type="cellIs" dxfId="470" priority="106" stopIfTrue="1" operator="equal">
      <formula>""</formula>
    </cfRule>
  </conditionalFormatting>
  <conditionalFormatting sqref="BS37:BT116">
    <cfRule type="cellIs" dxfId="469" priority="107" stopIfTrue="1" operator="equal">
      <formula>TRUE</formula>
    </cfRule>
  </conditionalFormatting>
  <conditionalFormatting sqref="BD37:BE116 BI37:BJ116">
    <cfRule type="cellIs" dxfId="468" priority="108" stopIfTrue="1" operator="equal">
      <formula>0</formula>
    </cfRule>
    <cfRule type="cellIs" dxfId="467" priority="109" stopIfTrue="1" operator="equal">
      <formula>10</formula>
    </cfRule>
  </conditionalFormatting>
  <conditionalFormatting sqref="AP37:AQ116 AC37:AC116">
    <cfRule type="cellIs" dxfId="466" priority="111" stopIfTrue="1" operator="equal">
      <formula>TRUE</formula>
    </cfRule>
  </conditionalFormatting>
  <conditionalFormatting sqref="AU37:AV116">
    <cfRule type="cellIs" dxfId="465" priority="112" stopIfTrue="1" operator="equal">
      <formula>TRUE</formula>
    </cfRule>
  </conditionalFormatting>
  <conditionalFormatting sqref="AT37:AT116">
    <cfRule type="cellIs" dxfId="464" priority="113" stopIfTrue="1" operator="equal">
      <formula>TRUE</formula>
    </cfRule>
  </conditionalFormatting>
  <conditionalFormatting sqref="AR37:AR116">
    <cfRule type="cellIs" dxfId="463" priority="114" stopIfTrue="1" operator="notEqual">
      <formula>0</formula>
    </cfRule>
  </conditionalFormatting>
  <conditionalFormatting sqref="AI37:AI116">
    <cfRule type="cellIs" dxfId="462" priority="118" stopIfTrue="1" operator="equal">
      <formula>TRUE</formula>
    </cfRule>
  </conditionalFormatting>
  <conditionalFormatting sqref="F181">
    <cfRule type="cellIs" dxfId="461" priority="99" stopIfTrue="1" operator="greaterThan">
      <formula>0</formula>
    </cfRule>
  </conditionalFormatting>
  <conditionalFormatting sqref="H157 H160 G156">
    <cfRule type="cellIs" dxfId="460" priority="97" stopIfTrue="1" operator="notEqual">
      <formula>0</formula>
    </cfRule>
  </conditionalFormatting>
  <conditionalFormatting sqref="G32">
    <cfRule type="expression" dxfId="459" priority="129" stopIfTrue="1">
      <formula>RowsPreferred&lt;&gt;RowsDisplayed</formula>
    </cfRule>
  </conditionalFormatting>
  <conditionalFormatting sqref="F32">
    <cfRule type="expression" dxfId="458" priority="175" stopIfTrue="1">
      <formula>ActiveHidden&gt;0</formula>
    </cfRule>
  </conditionalFormatting>
  <conditionalFormatting sqref="AB35:AD35">
    <cfRule type="cellIs" dxfId="457" priority="115" stopIfTrue="1" operator="greaterThan">
      <formula>0</formula>
    </cfRule>
  </conditionalFormatting>
  <conditionalFormatting sqref="AB37:AB116 AD37:AD116">
    <cfRule type="cellIs" dxfId="456" priority="128" stopIfTrue="1" operator="notEqual">
      <formula>0</formula>
    </cfRule>
  </conditionalFormatting>
  <conditionalFormatting sqref="T118:T119">
    <cfRule type="expression" dxfId="455" priority="179" stopIfTrue="1">
      <formula>VisibleFailures&gt;0</formula>
    </cfRule>
    <cfRule type="expression" dxfId="454" priority="180" stopIfTrue="1">
      <formula>AND(AllInputsOK=TRUE,ShowPassCond=TRUE,ShowPassSHG=TRUE)</formula>
    </cfRule>
  </conditionalFormatting>
  <conditionalFormatting sqref="T27">
    <cfRule type="expression" dxfId="453" priority="262" stopIfTrue="1">
      <formula>AND(T27&lt;&gt;"",T27&gt;0)</formula>
    </cfRule>
  </conditionalFormatting>
  <conditionalFormatting sqref="B31">
    <cfRule type="expression" dxfId="452" priority="126" stopIfTrue="1">
      <formula>VentsMissing=0</formula>
    </cfRule>
  </conditionalFormatting>
  <conditionalFormatting sqref="B36">
    <cfRule type="expression" dxfId="451" priority="267" stopIfTrue="1">
      <formula>OR(RowsPreferred&lt;&gt;RowsDisplayed,ActiveHidden&lt;&gt;0)</formula>
    </cfRule>
  </conditionalFormatting>
  <conditionalFormatting sqref="Q36">
    <cfRule type="expression" dxfId="450" priority="269" stopIfTrue="1">
      <formula>AllInputsOK=FALSE</formula>
    </cfRule>
    <cfRule type="expression" dxfId="449" priority="270" stopIfTrue="1">
      <formula>AND(VisibleFailures&gt;0,FailedConductance&lt;&gt;0)</formula>
    </cfRule>
    <cfRule type="expression" dxfId="448" priority="271" stopIfTrue="1">
      <formula>ShowPassCond=TRUE</formula>
    </cfRule>
  </conditionalFormatting>
  <conditionalFormatting sqref="R36">
    <cfRule type="expression" dxfId="447" priority="272" stopIfTrue="1">
      <formula>AllInputsOK=FALSE</formula>
    </cfRule>
    <cfRule type="expression" dxfId="446" priority="273" stopIfTrue="1">
      <formula>AND(VisibleFailures&gt;0,FailedConductance&lt;&gt;0)</formula>
    </cfRule>
    <cfRule type="expression" dxfId="445" priority="274" stopIfTrue="1">
      <formula>ShowPassCond=TRUE</formula>
    </cfRule>
  </conditionalFormatting>
  <conditionalFormatting sqref="S36">
    <cfRule type="expression" dxfId="444" priority="275" stopIfTrue="1">
      <formula>AllInputsOK=FALSE</formula>
    </cfRule>
    <cfRule type="expression" dxfId="443" priority="276" stopIfTrue="1">
      <formula>AND(VisibleFailures&gt;0,FailedSHG&lt;&gt;0)</formula>
    </cfRule>
    <cfRule type="expression" dxfId="442" priority="277" stopIfTrue="1">
      <formula>ShowPassSHG=TRUE</formula>
    </cfRule>
  </conditionalFormatting>
  <conditionalFormatting sqref="T36">
    <cfRule type="expression" dxfId="441" priority="278" stopIfTrue="1">
      <formula>AllInputsOK=FALSE</formula>
    </cfRule>
    <cfRule type="expression" dxfId="440" priority="279" stopIfTrue="1">
      <formula>AND(VisibleFailures&gt;0,FailedSHG&lt;&gt;0)</formula>
    </cfRule>
    <cfRule type="expression" dxfId="439" priority="280" stopIfTrue="1">
      <formula>ShowPassSHG=TRUE</formula>
    </cfRule>
  </conditionalFormatting>
  <conditionalFormatting sqref="Q35:R35">
    <cfRule type="expression" dxfId="438" priority="283" stopIfTrue="1">
      <formula>AND(VisibleFailures&gt;0,FailedConductance&lt;&gt;0)</formula>
    </cfRule>
    <cfRule type="expression" dxfId="437" priority="284" stopIfTrue="1">
      <formula>AND(ShowPassCond=TRUE,InputIssues=0)</formula>
    </cfRule>
  </conditionalFormatting>
  <conditionalFormatting sqref="S35:T35">
    <cfRule type="expression" dxfId="436" priority="285" stopIfTrue="1">
      <formula>AND(VisibleFailures&gt;0,FailedSHG&lt;&gt;0)</formula>
    </cfRule>
    <cfRule type="expression" dxfId="435" priority="286" stopIfTrue="1">
      <formula>AND(ShowPassSHG=TRUE,InputIssues=0)</formula>
    </cfRule>
  </conditionalFormatting>
  <conditionalFormatting sqref="B28:D28">
    <cfRule type="expression" dxfId="434" priority="287" stopIfTrue="1">
      <formula>AND(COUNTA(TableInputs)&gt;0,ISBLANK(Storey))</formula>
    </cfRule>
    <cfRule type="expression" dxfId="433" priority="288" stopIfTrue="1">
      <formula>$F$158=TRUE</formula>
    </cfRule>
  </conditionalFormatting>
  <conditionalFormatting sqref="O26">
    <cfRule type="expression" dxfId="432" priority="289" stopIfTrue="1">
      <formula>NoZoneTableActive=TRUE</formula>
    </cfRule>
    <cfRule type="expression" dxfId="431" priority="290" stopIfTrue="1">
      <formula>$F$155=TRUE</formula>
    </cfRule>
  </conditionalFormatting>
  <conditionalFormatting sqref="H29:O29">
    <cfRule type="expression" dxfId="430" priority="1" stopIfTrue="1">
      <formula>$F$165=TRUE</formula>
    </cfRule>
    <cfRule type="expression" dxfId="429" priority="291" stopIfTrue="1">
      <formula>F171=TRUE</formula>
    </cfRule>
    <cfRule type="expression" dxfId="428" priority="292" stopIfTrue="1">
      <formula>AND(First3Inputs=TRUE,AreaAll&gt;0,AirMovement&gt;0,$F$170=TRUE)</formula>
    </cfRule>
  </conditionalFormatting>
  <conditionalFormatting sqref="B30:D30">
    <cfRule type="expression" dxfId="427" priority="293" stopIfTrue="1">
      <formula>$F$167=TRUE</formula>
    </cfRule>
    <cfRule type="expression" dxfId="426" priority="294" stopIfTrue="1">
      <formula>$F$166=TRUE</formula>
    </cfRule>
    <cfRule type="expression" dxfId="425" priority="295" stopIfTrue="1">
      <formula>OR(ActiveA=TRUE,ActiveB=TRUE)</formula>
    </cfRule>
  </conditionalFormatting>
  <conditionalFormatting sqref="F28">
    <cfRule type="expression" dxfId="424" priority="296" stopIfTrue="1">
      <formula>$F$164=TRUE</formula>
    </cfRule>
    <cfRule type="expression" dxfId="423" priority="297" stopIfTrue="1">
      <formula>$F$163=TRUE</formula>
    </cfRule>
    <cfRule type="expression" dxfId="422" priority="298" stopIfTrue="1">
      <formula>ActiveA=TRUE</formula>
    </cfRule>
  </conditionalFormatting>
  <conditionalFormatting sqref="F29">
    <cfRule type="expression" dxfId="421" priority="299" stopIfTrue="1">
      <formula>$F$164=TRUE</formula>
    </cfRule>
    <cfRule type="expression" dxfId="420" priority="300" stopIfTrue="1">
      <formula>$F$163=TRUE</formula>
    </cfRule>
    <cfRule type="expression" dxfId="419" priority="301" stopIfTrue="1">
      <formula>ActiveB=TRUE</formula>
    </cfRule>
  </conditionalFormatting>
  <conditionalFormatting sqref="AF37:AH116 AJ37:AL116 AN37:AN116">
    <cfRule type="cellIs" dxfId="418" priority="302" stopIfTrue="1" operator="equal">
      <formula>TRUE</formula>
    </cfRule>
  </conditionalFormatting>
  <conditionalFormatting sqref="AE37:AE116">
    <cfRule type="cellIs" dxfId="417" priority="303" stopIfTrue="1" operator="equal">
      <formula>TRUE</formula>
    </cfRule>
  </conditionalFormatting>
  <conditionalFormatting sqref="N32:T32">
    <cfRule type="expression" dxfId="416" priority="307" stopIfTrue="1">
      <formula>InputsAlert=""</formula>
    </cfRule>
  </conditionalFormatting>
  <conditionalFormatting sqref="B26:M26">
    <cfRule type="expression" dxfId="415" priority="186" stopIfTrue="1">
      <formula>$F$154=TRUE</formula>
    </cfRule>
    <cfRule type="expression" dxfId="414" priority="187" stopIfTrue="1">
      <formula>F153=TRUE</formula>
    </cfRule>
  </conditionalFormatting>
  <conditionalFormatting sqref="AW37">
    <cfRule type="cellIs" dxfId="413" priority="22" operator="equal">
      <formula>TRUE</formula>
    </cfRule>
  </conditionalFormatting>
  <conditionalFormatting sqref="AW38:AW116">
    <cfRule type="cellIs" dxfId="412" priority="21" operator="equal">
      <formula>TRUE</formula>
    </cfRule>
  </conditionalFormatting>
  <conditionalFormatting sqref="H28">
    <cfRule type="expression" dxfId="411" priority="2" stopIfTrue="1">
      <formula>$F$165=TRUE</formula>
    </cfRule>
    <cfRule type="expression" dxfId="410" priority="20" stopIfTrue="1">
      <formula>OR(F170=TRUE,F171=TRUE)</formula>
    </cfRule>
  </conditionalFormatting>
  <conditionalFormatting sqref="T37:T116">
    <cfRule type="expression" dxfId="409" priority="308" stopIfTrue="1">
      <formula>OR(AC37=0,AE37=TRUE,InputIssues&gt;0)</formula>
    </cfRule>
    <cfRule type="expression" dxfId="408" priority="309" stopIfTrue="1">
      <formula>AND(AW37=TRUE,BT37=TRUE)</formula>
    </cfRule>
    <cfRule type="expression" dxfId="407" priority="310" stopIfTrue="1">
      <formula>AND(AC37=TRUE,ShowPassSHG=TRUE,InputIssues=0)</formula>
    </cfRule>
  </conditionalFormatting>
  <conditionalFormatting sqref="N37:N116">
    <cfRule type="expression" dxfId="406" priority="311" stopIfTrue="1">
      <formula>OR(AC37&lt;&gt;TRUE,InputIssues&gt;0)</formula>
    </cfRule>
    <cfRule type="expression" dxfId="405" priority="312" stopIfTrue="1">
      <formula>AND(AP37=TRUE,OR(L37="device",N37&gt;2))</formula>
    </cfRule>
    <cfRule type="expression" dxfId="404" priority="313" stopIfTrue="1">
      <formula>AND(AP37=TRUE,AT37=TRUE)</formula>
    </cfRule>
  </conditionalFormatting>
  <conditionalFormatting sqref="Q37:Q116">
    <cfRule type="expression" dxfId="403" priority="314" stopIfTrue="1">
      <formula>OR(AC37=0,AC37=FALSE,AE37=TRUE,InputIssues&gt;0)</formula>
    </cfRule>
    <cfRule type="expression" dxfId="402" priority="315" stopIfTrue="1">
      <formula>AND(AW37=TRUE,BS37=TRUE,InputsAlert="")</formula>
    </cfRule>
    <cfRule type="expression" dxfId="401" priority="316" stopIfTrue="1">
      <formula>AND(AC37=TRUE,ShowPassCond=TRUE,InputIssues=0)</formula>
    </cfRule>
  </conditionalFormatting>
  <conditionalFormatting sqref="R37:R116">
    <cfRule type="expression" dxfId="400" priority="317" stopIfTrue="1">
      <formula>OR(AC37=0,AC37=FALSE,AE37=TRUE,InputIssues&gt;0)</formula>
    </cfRule>
    <cfRule type="expression" dxfId="399" priority="318" stopIfTrue="1">
      <formula>AND(AW37=TRUE,BS37=TRUE,InputsAlert="")</formula>
    </cfRule>
    <cfRule type="expression" dxfId="398" priority="319" stopIfTrue="1">
      <formula>AND(AC37=TRUE,ShowPassCond=TRUE,InputIssues=0)</formula>
    </cfRule>
  </conditionalFormatting>
  <conditionalFormatting sqref="S37:S116">
    <cfRule type="expression" dxfId="397" priority="320" stopIfTrue="1">
      <formula>OR(AC37=0,AC37=FALSE,AE37=TRUE,InputIssues&gt;0)</formula>
    </cfRule>
    <cfRule type="expression" dxfId="396" priority="321" stopIfTrue="1">
      <formula>AND(AW37=TRUE,BT37=TRUE,InputsAlert="")</formula>
    </cfRule>
    <cfRule type="expression" dxfId="395" priority="322" stopIfTrue="1">
      <formula>AND(AC37=TRUE,ShowPassSHG=TRUE,InputIssues=0)</formula>
    </cfRule>
  </conditionalFormatting>
  <conditionalFormatting sqref="F37:F116">
    <cfRule type="expression" dxfId="394" priority="3" stopIfTrue="1">
      <formula>AND(AW37=TRUE,OR(BS37=TRUE,BT37=TRUE))</formula>
    </cfRule>
    <cfRule type="expression" dxfId="393" priority="7" stopIfTrue="1">
      <formula>AF37=TRUE</formula>
    </cfRule>
    <cfRule type="expression" dxfId="392" priority="323" stopIfTrue="1">
      <formula>AC37=TRUE</formula>
    </cfRule>
  </conditionalFormatting>
  <conditionalFormatting sqref="H37:H116">
    <cfRule type="expression" dxfId="391" priority="325" stopIfTrue="1">
      <formula>OR(AND(H37&gt;0,AC37=FALSE),AW37=TRUE)</formula>
    </cfRule>
    <cfRule type="expression" dxfId="390" priority="326" stopIfTrue="1">
      <formula>AND(AC37=TRUE,AH37=TRUE)</formula>
    </cfRule>
    <cfRule type="expression" dxfId="389" priority="327" stopIfTrue="1">
      <formula>AND(AC37=TRUE,AI37&lt;&gt;TRUE)</formula>
    </cfRule>
  </conditionalFormatting>
  <conditionalFormatting sqref="I37:I116">
    <cfRule type="expression" dxfId="388" priority="328" stopIfTrue="1">
      <formula>OR(AND(I37&gt;0,AC37=FALSE),AND(I37&gt;0,AW37=TRUE))</formula>
    </cfRule>
    <cfRule type="expression" dxfId="387" priority="329" stopIfTrue="1">
      <formula>AND(AC37=TRUE,AH37=TRUE)</formula>
    </cfRule>
    <cfRule type="expression" dxfId="386" priority="330" stopIfTrue="1">
      <formula>OR(AND(ISBLANK(I37),AC37=TRUE),AND(AC37=TRUE,OR(AI37=0,AI37=TRUE)))</formula>
    </cfRule>
  </conditionalFormatting>
  <conditionalFormatting sqref="J37:J116">
    <cfRule type="expression" dxfId="385" priority="331" stopIfTrue="1">
      <formula>OR(AND(J37&gt;0,AC37=FALSE),AND(AW37=TRUE,BS37=TRUE))</formula>
    </cfRule>
    <cfRule type="expression" dxfId="384" priority="332" stopIfTrue="1">
      <formula>AJ37=TRUE</formula>
    </cfRule>
    <cfRule type="expression" dxfId="383" priority="333" stopIfTrue="1">
      <formula>AC37=TRUE</formula>
    </cfRule>
  </conditionalFormatting>
  <conditionalFormatting sqref="K37:K116">
    <cfRule type="expression" dxfId="382" priority="334" stopIfTrue="1">
      <formula>OR(AND(K37&gt;0,AC37=FALSE),AND(AW37=TRUE,OR(BS37=TRUE,BT37=TRUE)))</formula>
    </cfRule>
    <cfRule type="expression" dxfId="381" priority="335" stopIfTrue="1">
      <formula>AL37=TRUE</formula>
    </cfRule>
    <cfRule type="expression" dxfId="380" priority="336" stopIfTrue="1">
      <formula>AC37=TRUE</formula>
    </cfRule>
  </conditionalFormatting>
  <conditionalFormatting sqref="L37:L116">
    <cfRule type="expression" dxfId="379" priority="6" stopIfTrue="1">
      <formula>OR(AND(L37&gt;0,ShowPassCond=FALSE,InputsAlert=""),AND(L37&gt;0,AC37=FALSE),AM37=TRUE,AND(AW37=TRUE,BT37=TRUE))</formula>
    </cfRule>
    <cfRule type="expression" dxfId="378" priority="337" stopIfTrue="1">
      <formula>AO37=TRUE</formula>
    </cfRule>
    <cfRule type="expression" dxfId="377" priority="338" stopIfTrue="1">
      <formula>AND(AC37=TRUE,OR(AN37=TRUE,AO37=TRUE,AT37=TRUE))</formula>
    </cfRule>
    <cfRule type="expression" dxfId="376" priority="339" stopIfTrue="1">
      <formula>AC37=TRUE</formula>
    </cfRule>
  </conditionalFormatting>
  <conditionalFormatting sqref="G37:G116">
    <cfRule type="expression" dxfId="375" priority="340" stopIfTrue="1">
      <formula>OR(AND(G37&gt;0,AC37=FALSE),AW37=TRUE)</formula>
    </cfRule>
    <cfRule type="expression" dxfId="374" priority="341" stopIfTrue="1">
      <formula>AND(AC37=TRUE,OR(AG37=TRUE,AH37=TRUE))</formula>
    </cfRule>
    <cfRule type="expression" dxfId="373" priority="342" stopIfTrue="1">
      <formula>AC37=TRUE</formula>
    </cfRule>
  </conditionalFormatting>
  <conditionalFormatting sqref="M37:M116">
    <cfRule type="expression" dxfId="372" priority="343" stopIfTrue="1">
      <formula>OR(AND(L37&gt;0,ShowPassCond=FALSE,InputsAlert=""),AND(M37&gt;0,AC37=FALSE),AO37=TRUE,AND(AW37=TRUE,BT37=TRUE))</formula>
    </cfRule>
    <cfRule type="expression" dxfId="371" priority="344" stopIfTrue="1">
      <formula>AND(AC37=TRUE,AN37=TRUE)</formula>
    </cfRule>
    <cfRule type="expression" dxfId="370" priority="345" stopIfTrue="1">
      <formula>AC37=TRUE</formula>
    </cfRule>
  </conditionalFormatting>
  <conditionalFormatting sqref="P37:P116">
    <cfRule type="expression" dxfId="369" priority="347" stopIfTrue="1">
      <formula>OR(AC37&lt;&gt;TRUE,InputIssues&gt;0)</formula>
    </cfRule>
    <cfRule type="expression" dxfId="368" priority="348" stopIfTrue="1">
      <formula>AND(AP37=TRUE,H37&gt;0,I37&gt;0,I37&lt;&gt;G37*H37)</formula>
    </cfRule>
  </conditionalFormatting>
  <conditionalFormatting sqref="B25">
    <cfRule type="expression" dxfId="367" priority="17" stopIfTrue="1">
      <formula>$F$153=TRUE</formula>
    </cfRule>
    <cfRule type="expression" dxfId="366" priority="18" stopIfTrue="1">
      <formula>$F$154=TRUE</formula>
    </cfRule>
  </conditionalFormatting>
  <conditionalFormatting sqref="B27">
    <cfRule type="expression" dxfId="365" priority="15" stopIfTrue="1">
      <formula>F158=TRUE</formula>
    </cfRule>
    <cfRule type="expression" dxfId="364" priority="16" stopIfTrue="1">
      <formula>$F$159=TRUE</formula>
    </cfRule>
  </conditionalFormatting>
  <conditionalFormatting sqref="B29">
    <cfRule type="expression" dxfId="363" priority="12" stopIfTrue="1">
      <formula>VentPending=TRUE</formula>
    </cfRule>
    <cfRule type="expression" dxfId="362" priority="14" stopIfTrue="1">
      <formula>OrphanVent=TRUE</formula>
    </cfRule>
  </conditionalFormatting>
  <conditionalFormatting sqref="O25">
    <cfRule type="expression" dxfId="361" priority="11" stopIfTrue="1">
      <formula>F155=TRUE</formula>
    </cfRule>
    <cfRule type="expression" dxfId="360" priority="13" stopIfTrue="1">
      <formula>NoZoneTableActive=TRUE</formula>
    </cfRule>
  </conditionalFormatting>
  <conditionalFormatting sqref="F27">
    <cfRule type="expression" dxfId="359" priority="9" stopIfTrue="1">
      <formula>EmptyA=TRUE</formula>
    </cfRule>
    <cfRule type="expression" dxfId="358" priority="10" stopIfTrue="1">
      <formula>$F$164=TRUE</formula>
    </cfRule>
  </conditionalFormatting>
  <conditionalFormatting sqref="B34">
    <cfRule type="expression" dxfId="357" priority="8" stopIfTrue="1">
      <formula>AND(TopInputsOK=TRUE,TableEntries=COUNTA($D$37:$E$116))</formula>
    </cfRule>
  </conditionalFormatting>
  <conditionalFormatting sqref="AO37:AO116">
    <cfRule type="cellIs" dxfId="356" priority="5" operator="equal">
      <formula>TRUE</formula>
    </cfRule>
  </conditionalFormatting>
  <conditionalFormatting sqref="AM37:AM116">
    <cfRule type="cellIs" dxfId="355" priority="4" operator="equal">
      <formula>TRUE</formula>
    </cfRule>
  </conditionalFormatting>
  <dataValidations xWindow="737" yWindow="235" count="16">
    <dataValidation type="custom" allowBlank="1" showErrorMessage="1" errorTitle="Invalid entry" error="Width (if used) must be a number greater than zero. _x000a__x000a_Not needed when an Area has already been given. Clear Area if intending to specify Height and Width." sqref="H37:H116">
      <formula1>AND(H37&gt;0,COUNTA(I37)=0)</formula1>
    </dataValidation>
    <dataValidation type="decimal" allowBlank="1" showErrorMessage="1" errorTitle="Invalid entry" error="Area (when given) must be a number greater than zero._x000a__x000a_Not needed when Height and Width are given (and will be ignored if equal to or smaller than Height x Width)." sqref="I37:I116">
      <formula1>0.01</formula1>
      <formula2>10000</formula2>
    </dataValidation>
    <dataValidation type="whole" showErrorMessage="1" errorTitle="Invalid climate zone number" error="Only whole numbers between 1 and 8 (for climate zones 1-8) are permitted." promptTitle="BCA Climate Zone" prompt="Enter a whole number between 1 and 8." sqref="O26">
      <formula1>1</formula1>
      <formula2>8</formula2>
    </dataValidation>
    <dataValidation type="decimal" operator="greaterThan" allowBlank="1" showErrorMessage="1" errorTitle="Invalid height" error="No extra credit for a shading edge at or below the base of the glazing._x000a__x000a_Enter a number greater than zero (eg. 0.001 or larger)" prompt="P is halved if H is more than the glazing height plus 0.5m" sqref="M37:M116">
      <formula1>0</formula1>
    </dataValidation>
    <dataValidation type="decimal" allowBlank="1" showErrorMessage="1" errorTitle="Value is outside the valid range" error="Total System SHGC values cannot be more than 1.00 or less than 0. Please enter a value within these limits._x000a__x000a_(In practice, values greater than 0.81 or less than 0.16 are unlikely to be realistic.)" sqref="K37:K116">
      <formula1>0</formula1>
      <formula2>1</formula2>
    </dataValidation>
    <dataValidation type="decimal" allowBlank="1" showErrorMessage="1" errorTitle="Value is outside the valid range" error="Total System U-values must be no more than 8.0 and no less than 1.0. Please enter a value within these limits._x000a__x000a_(In practice, values greater than 7.9 or less than 2.1 are unlikely to be realistic.)" sqref="J37:J116">
      <formula1>1</formula1>
      <formula2>8</formula2>
    </dataValidation>
    <dataValidation type="whole" allowBlank="1" showInputMessage="1" showErrorMessage="1" errorTitle="Invalid entry" error="'Floor area' must be a whole number greater than zero. (No decimal places.)_x000a_Do not type the 'm²' label." promptTitle="Suspended =" prompt="A suspended floor (including a timber or steel framed floor or a suspended concrete slab)._x000a__x000a_Type only a whole number (without 'm²' label)." sqref="F29">
      <formula1>1</formula1>
      <formula2>999</formula2>
    </dataValidation>
    <dataValidation type="decimal" operator="greaterThan" allowBlank="1" showErrorMessage="1" errorTitle="Invalid entry" error="Height (if used) must be a number greater than zero." sqref="G37:G116">
      <formula1>0</formula1>
    </dataValidation>
    <dataValidation type="whole" allowBlank="1" showErrorMessage="1" errorTitle="Invalid entry" error="Please select a number large enough to display all rows containing data but no more than 80 (the maximum available in the table)." sqref="F32">
      <formula1>MAX(1,LastActive)</formula1>
      <formula2>RowsAvailable</formula2>
    </dataValidation>
    <dataValidation type="custom" allowBlank="1" showInputMessage="1" showErrorMessage="1" errorTitle="Invalid entry" error="P must be a number greater than zero or the word 'device' (without the quotation marks)." promptTitle="Input advice:" prompt="If shading is provided by an external shading device complying with 3.12.2.2(b), enter 'device' (without the quotation marks)." sqref="L37:L116">
      <formula1>OR(AND(ISNUMBER(L37),L37&gt;=0),L37="device")</formula1>
    </dataValidation>
    <dataValidation type="whole" allowBlank="1" showInputMessage="1" showErrorMessage="1" errorTitle="Invalid entry" error="'Floor area' must be a whole number greater than zero. (No decimal places.)_x000a_Do not type the 'm²' label." promptTitle="Direct contact =" prompt="A floor in direct contact with the ground (including a concrete slab on ground or on consolidated fill)._x000a__x000a_Type only a whole number (without 'm²' label)." sqref="F28">
      <formula1>1</formula1>
      <formula2>999</formula2>
    </dataValidation>
    <dataValidation type="list" allowBlank="1" showInputMessage="1" showErrorMessage="1" errorTitle="Invalid entry" error="Please use only the values on the drop down list." promptTitle="Type of Exposure factor" prompt="In zones 2-8, this column can show Exposure factors for Solar heat gain (Es), for Conductance (Ew) or their relationship (Ew / Es). (The choice is for information and does not affect calculations.)" sqref="O36">
      <formula1>ValidExposures</formula1>
    </dataValidation>
    <dataValidation allowBlank="1" showErrorMessage="1" errorTitle="Invalid selection" error="Please select &quot;PUBLIC DRAFT&quot; or &quot;USER VARIABLE&quot; from the drop down list." sqref="R24"/>
    <dataValidation type="custom" allowBlank="1" showErrorMessage="1" errorTitle="Invalid entry" error="Only 'Standard' or 'High' or a multiple of 'Standard' can be used in this cell._x000a__x000a_A multiple of 'Standard' must be greater than 1 but less than 2. Enter just the number. A 'Std'  label will be added automatically." promptTitle="Air Movement" prompt="First calculate the applicable Air Movement level._x000a__x000a_Type 'Standard' or 'High' or a multiple of Standard if in between. A multiple can only be a number more than 1 but less than 2._x000a__x000a_Press Enter or Tab to leave the cell." sqref="B30:D30">
      <formula1>AND(AND(MultipleAir&gt;=1,MultipleAir&lt;=2),OR(SuffixAir="S",SuffixAir="H"))</formula1>
    </dataValidation>
    <dataValidation type="list" allowBlank="1" showInputMessage="1" showErrorMessage="1" errorTitle="Invalid entry" error="Select entry only from the drop down list." promptTitle="Wall insulation concessions" prompt="Selecting any listed option from Table 3.12.1.3b will increase glazing stringency and make compliance more difficult. Options vary with climate zone. No concession is available in climate zone 8." sqref="H29:O29">
      <formula1>WallConcessions</formula1>
    </dataValidation>
    <dataValidation type="list" showErrorMessage="1" errorTitle="Invalid entry" error="Select a value from the drop down list (if available)._x000a__x000a_(Inputs above this table must be complete for the list to appear.)" promptTitle="Orientation sector" prompt="Select a sector from the drop down list._x000a__x000a_The list shows only when inputs above this table are complete." sqref="F37:F116">
      <formula1>OrientationsA</formula1>
    </dataValidation>
  </dataValidations>
  <printOptions horizontalCentered="1"/>
  <pageMargins left="0.35433070866141736" right="0.23622047244094491" top="0.59055118110236227" bottom="0.59055118110236227" header="0.35433070866141736" footer="0.35433070866141736"/>
  <pageSetup paperSize="9" fitToHeight="0" orientation="landscape" r:id="rId1"/>
  <headerFooter>
    <oddHeader>&amp;L&amp;"Arial,Italic"Report from &amp;F&amp;R&amp;"Arial,Italic"printed &amp;D</oddHeader>
    <oddFooter>&amp;R&amp;"Arial,Italic"page &amp;P of &amp;N</oddFooter>
  </headerFooter>
  <drawing r:id="rId2"/>
  <legacyDrawing r:id="rId3"/>
  <picture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0"/>
    <pageSetUpPr fitToPage="1"/>
  </sheetPr>
  <dimension ref="A1:MN224"/>
  <sheetViews>
    <sheetView showGridLines="0" tabSelected="1" showOutlineSymbols="0" topLeftCell="A7" zoomScaleNormal="100" workbookViewId="0">
      <selection activeCell="T21" sqref="T21:T22"/>
    </sheetView>
  </sheetViews>
  <sheetFormatPr defaultRowHeight="11.25"/>
  <cols>
    <col min="1" max="1" width="1.5703125" style="497" customWidth="1"/>
    <col min="2" max="5" width="5.7109375" style="497" customWidth="1"/>
    <col min="6" max="6" width="5.5703125" style="497" customWidth="1"/>
    <col min="7" max="13" width="5.7109375" style="497" customWidth="1"/>
    <col min="14" max="14" width="6.5703125" style="497" customWidth="1"/>
    <col min="15" max="19" width="5.7109375" style="497" customWidth="1"/>
    <col min="20" max="20" width="12.85546875" style="497" customWidth="1"/>
    <col min="21" max="21" width="1.5703125" style="497" customWidth="1"/>
    <col min="22" max="22" width="4.5703125" style="497" customWidth="1"/>
    <col min="23" max="23" width="1.5703125" style="497" customWidth="1"/>
    <col min="24" max="24" width="3.140625" style="497" customWidth="1"/>
    <col min="25" max="25" width="5.7109375" style="497" customWidth="1"/>
    <col min="26" max="26" width="10.5703125" style="497" customWidth="1"/>
    <col min="27" max="28" width="4.7109375" style="497" customWidth="1"/>
    <col min="29" max="29" width="7" style="497" customWidth="1"/>
    <col min="30" max="30" width="6.28515625" style="497" customWidth="1"/>
    <col min="31" max="31" width="1.7109375" style="497" customWidth="1"/>
    <col min="32" max="32" width="5.140625" style="497" customWidth="1"/>
    <col min="33" max="34" width="4.7109375" style="497" customWidth="1"/>
    <col min="35" max="46" width="4.85546875" style="497" customWidth="1"/>
    <col min="47" max="47" width="1.7109375" style="497" customWidth="1"/>
    <col min="48" max="48" width="4.5703125" style="497" customWidth="1"/>
    <col min="49" max="49" width="1.7109375" style="497" customWidth="1"/>
    <col min="50" max="50" width="2.7109375" style="497" customWidth="1"/>
    <col min="51" max="51" width="6.7109375" style="497" customWidth="1"/>
    <col min="52" max="52" width="6.5703125" style="497" customWidth="1"/>
    <col min="53" max="53" width="2.7109375" style="497" customWidth="1"/>
    <col min="54" max="55" width="5.7109375" style="497" customWidth="1"/>
    <col min="56" max="56" width="8.7109375" style="497" customWidth="1"/>
    <col min="57" max="57" width="6.7109375" style="497" customWidth="1"/>
    <col min="58" max="58" width="8.5703125" style="497" customWidth="1"/>
    <col min="59" max="59" width="2.7109375" style="497" customWidth="1"/>
    <col min="60" max="60" width="2.5703125" style="497" customWidth="1"/>
    <col min="61" max="61" width="9" style="497" customWidth="1"/>
    <col min="62" max="62" width="1.7109375" style="497" customWidth="1"/>
    <col min="63" max="63" width="8.7109375" style="497" customWidth="1"/>
    <col min="64" max="64" width="1.7109375" style="497" customWidth="1"/>
    <col min="65" max="65" width="7.7109375" style="497" customWidth="1"/>
    <col min="66" max="69" width="5.7109375" style="497" customWidth="1"/>
    <col min="70" max="70" width="1.7109375" style="497" customWidth="1"/>
    <col min="71" max="71" width="4.7109375" style="497" customWidth="1"/>
    <col min="72" max="72" width="1.7109375" style="497" customWidth="1"/>
    <col min="73" max="73" width="10.140625" style="497" customWidth="1"/>
    <col min="74" max="75" width="6.7109375" style="497" customWidth="1"/>
    <col min="76" max="76" width="2.7109375" style="497" customWidth="1"/>
    <col min="77" max="77" width="6.5703125" style="497" customWidth="1"/>
    <col min="78" max="78" width="2.5703125" style="497" customWidth="1"/>
    <col min="79" max="80" width="9.5703125" style="497" customWidth="1"/>
    <col min="81" max="82" width="8.5703125" style="497" customWidth="1"/>
    <col min="83" max="83" width="1.7109375" style="497" customWidth="1"/>
    <col min="84" max="85" width="17.5703125" style="497" customWidth="1"/>
    <col min="86" max="86" width="1.5703125" style="497" customWidth="1"/>
    <col min="87" max="87" width="4.5703125" style="497" customWidth="1"/>
    <col min="88" max="88" width="2" style="497" customWidth="1"/>
    <col min="89" max="89" width="2.5703125" style="497" customWidth="1"/>
    <col min="90" max="90" width="9.140625" style="497" customWidth="1"/>
    <col min="91" max="91" width="6.7109375" style="497" customWidth="1"/>
    <col min="92" max="92" width="5.7109375" style="497" customWidth="1"/>
    <col min="93" max="93" width="4.7109375" style="497" customWidth="1"/>
    <col min="94" max="94" width="8.7109375" style="497" customWidth="1"/>
    <col min="95" max="95" width="4.7109375" style="497" customWidth="1"/>
    <col min="96" max="96" width="4.140625" style="497" customWidth="1"/>
    <col min="97" max="97" width="7.42578125" style="497" customWidth="1"/>
    <col min="98" max="98" width="8.7109375" style="497" customWidth="1"/>
    <col min="99" max="99" width="3.5703125" style="497" customWidth="1"/>
    <col min="100" max="100" width="1.7109375" style="497" customWidth="1"/>
    <col min="101" max="101" width="8.7109375" style="497" customWidth="1"/>
    <col min="102" max="102" width="1.5703125" style="497" customWidth="1"/>
    <col min="103" max="103" width="7.5703125" style="497" customWidth="1"/>
    <col min="104" max="107" width="5.7109375" style="497" customWidth="1"/>
    <col min="108" max="108" width="2" style="497" customWidth="1"/>
    <col min="109" max="109" width="4.5703125" style="497" customWidth="1"/>
    <col min="110" max="110" width="1.5703125" style="497" customWidth="1"/>
    <col min="111" max="113" width="6.5703125" style="497" customWidth="1"/>
    <col min="114" max="114" width="1.7109375" style="497" customWidth="1"/>
    <col min="115" max="117" width="7.42578125" style="497" customWidth="1"/>
    <col min="118" max="118" width="1.7109375" style="497" customWidth="1"/>
    <col min="119" max="121" width="6.7109375" style="497" customWidth="1"/>
    <col min="122" max="122" width="1.5703125" style="497" customWidth="1"/>
    <col min="123" max="123" width="8.5703125" style="497" customWidth="1"/>
    <col min="124" max="124" width="1.5703125" style="497" customWidth="1"/>
    <col min="125" max="125" width="7.5703125" style="497" customWidth="1"/>
    <col min="126" max="127" width="5.5703125" style="497" customWidth="1"/>
    <col min="128" max="128" width="5.7109375" style="497" customWidth="1"/>
    <col min="129" max="129" width="5.5703125" style="497" customWidth="1"/>
    <col min="130" max="130" width="1.7109375" style="497" customWidth="1"/>
    <col min="131" max="131" width="4.7109375" style="497" customWidth="1"/>
    <col min="132" max="132" width="1.7109375" style="497" customWidth="1"/>
    <col min="133" max="133" width="9" style="497" customWidth="1"/>
    <col min="134" max="134" width="18.42578125" style="497" customWidth="1"/>
    <col min="135" max="135" width="2.5703125" style="497" customWidth="1"/>
    <col min="136" max="136" width="8.7109375" style="497" customWidth="1"/>
    <col min="137" max="138" width="4.5703125" style="497" customWidth="1"/>
    <col min="139" max="139" width="9.5703125" style="497" customWidth="1"/>
    <col min="140" max="141" width="7.5703125" style="497" customWidth="1"/>
    <col min="142" max="142" width="6.5703125" style="497" customWidth="1"/>
    <col min="143" max="145" width="8.7109375" style="497" customWidth="1"/>
    <col min="146" max="146" width="1.7109375" style="497" customWidth="1"/>
    <col min="147" max="147" width="4.7109375" style="497" customWidth="1"/>
    <col min="148" max="148" width="26.42578125" style="497" hidden="1" customWidth="1"/>
    <col min="149" max="149" width="9.140625" style="497" hidden="1" customWidth="1"/>
    <col min="150" max="150" width="42.42578125" style="497" hidden="1" customWidth="1"/>
    <col min="151" max="151" width="2.7109375" style="497" hidden="1" customWidth="1"/>
    <col min="152" max="153" width="6.42578125" style="497" hidden="1" customWidth="1"/>
    <col min="154" max="154" width="6.140625" style="497" hidden="1" customWidth="1"/>
    <col min="155" max="164" width="5.7109375" style="497" hidden="1" customWidth="1"/>
    <col min="165" max="165" width="12.5703125" style="497" hidden="1" customWidth="1"/>
    <col min="166" max="166" width="8.5703125" style="497" hidden="1" customWidth="1"/>
    <col min="167" max="167" width="8.7109375" style="497" hidden="1" customWidth="1"/>
    <col min="168" max="168" width="3.28515625" style="497" hidden="1" customWidth="1"/>
    <col min="169" max="180" width="5.7109375" style="497" hidden="1" customWidth="1"/>
    <col min="181" max="181" width="2.5703125" style="497" hidden="1" customWidth="1"/>
    <col min="182" max="182" width="11.5703125" style="497" hidden="1" customWidth="1"/>
    <col min="183" max="183" width="25.85546875" style="497" hidden="1" customWidth="1"/>
    <col min="184" max="184" width="10.85546875" style="497" hidden="1" customWidth="1"/>
    <col min="185" max="185" width="19.7109375" style="497" hidden="1" customWidth="1"/>
    <col min="186" max="186" width="3.5703125" style="497" hidden="1" customWidth="1"/>
    <col min="187" max="187" width="51.140625" style="497" hidden="1" customWidth="1"/>
    <col min="188" max="188" width="76.85546875" style="497" hidden="1" customWidth="1"/>
    <col min="189" max="189" width="23.85546875" style="497" hidden="1" customWidth="1"/>
    <col min="190" max="190" width="23.5703125" style="497" hidden="1" customWidth="1"/>
    <col min="191" max="191" width="12.140625" style="497" hidden="1" customWidth="1"/>
    <col min="192" max="192" width="11.140625" style="497" hidden="1" customWidth="1"/>
    <col min="193" max="193" width="12" style="497" hidden="1" customWidth="1"/>
    <col min="194" max="194" width="11.28515625" style="497" hidden="1" customWidth="1"/>
    <col min="195" max="195" width="9.42578125" style="497" hidden="1" customWidth="1"/>
    <col min="196" max="196" width="10" style="497" hidden="1" customWidth="1"/>
    <col min="197" max="197" width="11.140625" style="497" hidden="1" customWidth="1"/>
    <col min="198" max="198" width="3.5703125" style="497" hidden="1" customWidth="1"/>
    <col min="199" max="200" width="9.140625" style="497" hidden="1" customWidth="1"/>
    <col min="201" max="202" width="11.28515625" style="497" hidden="1" customWidth="1"/>
    <col min="203" max="210" width="8.5703125" style="497" hidden="1" customWidth="1"/>
    <col min="211" max="211" width="3.5703125" style="497" hidden="1" customWidth="1"/>
    <col min="212" max="214" width="6.7109375" style="497" hidden="1" customWidth="1"/>
    <col min="215" max="215" width="7.42578125" style="497" hidden="1" customWidth="1"/>
    <col min="216" max="216" width="21.28515625" style="497" hidden="1" customWidth="1"/>
    <col min="217" max="220" width="6.7109375" style="497" hidden="1" customWidth="1"/>
    <col min="221" max="221" width="5.85546875" style="497" hidden="1" customWidth="1"/>
    <col min="222" max="222" width="13.7109375" style="524" hidden="1" customWidth="1"/>
    <col min="223" max="225" width="9.140625" style="497" hidden="1" customWidth="1"/>
    <col min="226" max="236" width="9" style="497" hidden="1" customWidth="1"/>
    <col min="237" max="237" width="3.7109375" style="497" hidden="1" customWidth="1"/>
    <col min="238" max="238" width="11.28515625" style="497" hidden="1" customWidth="1"/>
    <col min="239" max="239" width="9.140625" style="497" hidden="1" customWidth="1"/>
    <col min="240" max="240" width="19.140625" style="497" hidden="1" customWidth="1"/>
    <col min="241" max="241" width="9.140625" style="497" hidden="1" customWidth="1"/>
    <col min="242" max="242" width="20.42578125" style="497" hidden="1" customWidth="1"/>
    <col min="243" max="244" width="16.5703125" style="497" hidden="1" customWidth="1"/>
    <col min="245" max="245" width="5" style="497" hidden="1" customWidth="1"/>
    <col min="246" max="252" width="9.140625" style="497" hidden="1" customWidth="1"/>
    <col min="253" max="253" width="3.7109375" style="497" hidden="1" customWidth="1"/>
    <col min="254" max="254" width="67.5703125" style="497" hidden="1" customWidth="1"/>
    <col min="255" max="255" width="66.28515625" style="497" hidden="1" customWidth="1"/>
    <col min="256" max="256" width="81.85546875" style="497" hidden="1" customWidth="1"/>
    <col min="257" max="257" width="13.85546875" style="497" hidden="1" customWidth="1"/>
    <col min="258" max="258" width="12" style="497" hidden="1" customWidth="1"/>
    <col min="259" max="259" width="8.7109375" style="497" hidden="1" customWidth="1"/>
    <col min="260" max="260" width="9.85546875" style="497" hidden="1" customWidth="1"/>
    <col min="261" max="262" width="12.5703125" style="497" hidden="1" customWidth="1"/>
    <col min="263" max="263" width="10.42578125" style="497" hidden="1" customWidth="1"/>
    <col min="264" max="264" width="12.42578125" style="497" hidden="1" customWidth="1"/>
    <col min="265" max="265" width="10" style="497" hidden="1" customWidth="1"/>
    <col min="266" max="266" width="3.7109375" style="497" hidden="1" customWidth="1"/>
    <col min="267" max="268" width="9.140625" style="497" hidden="1" customWidth="1"/>
    <col min="269" max="270" width="10.28515625" style="497" hidden="1" customWidth="1"/>
    <col min="271" max="278" width="9.140625" style="497" hidden="1" customWidth="1"/>
    <col min="279" max="279" width="3.7109375" style="497" hidden="1" customWidth="1"/>
    <col min="280" max="283" width="9.42578125" style="497" hidden="1" customWidth="1"/>
    <col min="284" max="287" width="7.5703125" style="497" hidden="1" customWidth="1"/>
    <col min="288" max="291" width="9.140625" style="497" hidden="1" customWidth="1"/>
    <col min="292" max="292" width="3.7109375" style="497" hidden="1" customWidth="1"/>
    <col min="293" max="293" width="25.28515625" style="497" hidden="1" customWidth="1"/>
    <col min="294" max="294" width="16.42578125" style="497" hidden="1" customWidth="1"/>
    <col min="295" max="295" width="22" style="497" hidden="1" customWidth="1"/>
    <col min="296" max="296" width="17.42578125" style="497" hidden="1" customWidth="1"/>
    <col min="297" max="297" width="21" style="497" hidden="1" customWidth="1"/>
    <col min="298" max="298" width="10.5703125" style="497" hidden="1" customWidth="1"/>
    <col min="299" max="299" width="4" style="497" hidden="1" customWidth="1"/>
    <col min="300" max="302" width="10.5703125" style="497" hidden="1" customWidth="1"/>
    <col min="303" max="310" width="7.85546875" style="497" hidden="1" customWidth="1"/>
    <col min="311" max="311" width="3.7109375" style="497" hidden="1" customWidth="1"/>
    <col min="312" max="316" width="9.140625" style="497" hidden="1" customWidth="1"/>
    <col min="317" max="320" width="7.5703125" style="497" hidden="1" customWidth="1"/>
    <col min="321" max="324" width="8.7109375" style="497" hidden="1" customWidth="1"/>
    <col min="325" max="325" width="3.7109375" style="497" hidden="1" customWidth="1"/>
    <col min="326" max="326" width="11.140625" style="497" hidden="1" customWidth="1"/>
    <col min="327" max="327" width="10.7109375" style="497" hidden="1" customWidth="1"/>
    <col min="328" max="328" width="11" style="497" hidden="1" customWidth="1"/>
    <col min="329" max="329" width="5.7109375" style="497" hidden="1" customWidth="1"/>
    <col min="330" max="332" width="8.7109375" style="497" hidden="1" customWidth="1"/>
    <col min="333" max="333" width="3.7109375" style="497" hidden="1" customWidth="1"/>
    <col min="334" max="334" width="7.42578125" style="497" hidden="1" customWidth="1"/>
    <col min="335" max="335" width="7.28515625" style="497" hidden="1" customWidth="1"/>
    <col min="336" max="336" width="19.7109375" style="497" hidden="1" customWidth="1"/>
    <col min="337" max="337" width="5.7109375" style="497" hidden="1" customWidth="1"/>
    <col min="338" max="339" width="11.140625" style="497" hidden="1" customWidth="1"/>
    <col min="340" max="340" width="13.28515625" style="497" hidden="1" customWidth="1"/>
    <col min="341" max="343" width="11.140625" style="497" hidden="1" customWidth="1"/>
    <col min="344" max="344" width="9.140625" style="497" hidden="1" customWidth="1"/>
    <col min="345" max="345" width="11.140625" style="497" hidden="1" customWidth="1"/>
    <col min="346" max="347" width="9.140625" style="497" hidden="1" customWidth="1"/>
    <col min="348" max="348" width="22.28515625" style="497" hidden="1" customWidth="1"/>
    <col min="349" max="349" width="3.7109375" style="497" hidden="1" customWidth="1"/>
    <col min="350" max="350" width="30.28515625" style="497" hidden="1" customWidth="1"/>
    <col min="351" max="351" width="3.5703125" style="497" hidden="1" customWidth="1"/>
    <col min="352" max="16384" width="9.140625" style="497"/>
  </cols>
  <sheetData>
    <row r="1" spans="1:352" s="544" customFormat="1" ht="12.75">
      <c r="B1" s="545" t="s">
        <v>164</v>
      </c>
      <c r="EQ1" s="720"/>
      <c r="HN1" s="546"/>
    </row>
    <row r="2" spans="1:352" s="544" customFormat="1" ht="12.75">
      <c r="B2" s="547" t="s">
        <v>167</v>
      </c>
      <c r="EQ2" s="720"/>
      <c r="HN2" s="546"/>
    </row>
    <row r="3" spans="1:352" s="544" customFormat="1" ht="12.75">
      <c r="B3" s="547" t="s">
        <v>170</v>
      </c>
      <c r="AA3" s="497"/>
      <c r="EQ3" s="720"/>
      <c r="HN3" s="546"/>
    </row>
    <row r="4" spans="1:352" s="544" customFormat="1" ht="12.75">
      <c r="B4" s="547" t="s">
        <v>171</v>
      </c>
      <c r="EQ4" s="720"/>
      <c r="HN4" s="546"/>
    </row>
    <row r="5" spans="1:352" s="544" customFormat="1" ht="12.75">
      <c r="B5" s="548" t="s">
        <v>166</v>
      </c>
      <c r="Z5" s="509"/>
      <c r="EQ5" s="720"/>
      <c r="HN5" s="546"/>
    </row>
    <row r="6" spans="1:352" s="544" customFormat="1" ht="12.75">
      <c r="Z6" s="509"/>
      <c r="EQ6" s="720"/>
      <c r="HN6" s="546"/>
    </row>
    <row r="7" spans="1:352" s="544" customFormat="1" ht="12.75">
      <c r="Z7" s="509"/>
      <c r="EQ7" s="720"/>
      <c r="HN7" s="546"/>
    </row>
    <row r="8" spans="1:352" s="544" customFormat="1" ht="12.75">
      <c r="H8" s="720"/>
      <c r="I8" s="720"/>
      <c r="J8" s="720"/>
      <c r="K8" s="720"/>
      <c r="L8" s="720"/>
      <c r="M8" s="720"/>
      <c r="N8" s="720"/>
      <c r="O8" s="720"/>
      <c r="P8" s="720"/>
      <c r="Q8" s="720"/>
      <c r="R8" s="720"/>
      <c r="S8" s="720"/>
      <c r="T8" s="720"/>
      <c r="U8" s="720"/>
      <c r="V8" s="720"/>
      <c r="W8" s="720"/>
      <c r="X8" s="720"/>
      <c r="Y8" s="720"/>
      <c r="Z8" s="720"/>
      <c r="AA8" s="720"/>
      <c r="AB8" s="720"/>
      <c r="AC8" s="720"/>
      <c r="AD8" s="720"/>
      <c r="AE8" s="720"/>
      <c r="AF8" s="720"/>
      <c r="AG8" s="720"/>
      <c r="AH8" s="720"/>
      <c r="AI8" s="720"/>
      <c r="AJ8" s="720"/>
      <c r="AK8" s="720"/>
      <c r="AL8" s="720"/>
      <c r="AM8" s="720"/>
      <c r="AN8" s="720"/>
      <c r="AO8" s="720"/>
      <c r="AP8" s="720"/>
      <c r="AQ8" s="720"/>
      <c r="AR8" s="720"/>
      <c r="AS8" s="720"/>
      <c r="AT8" s="720"/>
      <c r="AU8" s="720"/>
      <c r="AV8" s="720"/>
      <c r="AW8" s="720"/>
      <c r="AX8" s="720"/>
      <c r="AY8" s="720"/>
      <c r="AZ8" s="720"/>
      <c r="BA8" s="720"/>
      <c r="BB8" s="720"/>
      <c r="BC8" s="720"/>
      <c r="BD8" s="720"/>
      <c r="BE8" s="720"/>
      <c r="BF8" s="720"/>
      <c r="BG8" s="720"/>
      <c r="BH8" s="720"/>
      <c r="BI8" s="720"/>
      <c r="BJ8" s="720"/>
      <c r="BK8" s="720"/>
      <c r="BL8" s="720"/>
      <c r="BM8" s="720"/>
      <c r="BN8" s="720"/>
      <c r="BO8" s="720"/>
      <c r="BP8" s="720"/>
      <c r="BQ8" s="720"/>
      <c r="BR8" s="720"/>
      <c r="BS8" s="720"/>
      <c r="BT8" s="720"/>
      <c r="BU8" s="720"/>
      <c r="BV8" s="720"/>
      <c r="BW8" s="720"/>
      <c r="BX8" s="720"/>
      <c r="BY8" s="720"/>
      <c r="BZ8" s="720"/>
      <c r="CA8" s="720"/>
      <c r="CB8" s="720"/>
      <c r="CC8" s="720"/>
      <c r="CD8" s="720"/>
      <c r="CE8" s="720"/>
      <c r="CF8" s="720"/>
      <c r="CG8" s="720"/>
      <c r="CH8" s="720"/>
      <c r="CI8" s="720"/>
      <c r="CJ8" s="720"/>
      <c r="CK8" s="720"/>
      <c r="CL8" s="720"/>
      <c r="CM8" s="720"/>
      <c r="CN8" s="720"/>
      <c r="CO8" s="720"/>
      <c r="CP8" s="720"/>
      <c r="CQ8" s="720"/>
      <c r="CR8" s="720"/>
      <c r="CS8" s="720"/>
      <c r="CT8" s="720"/>
      <c r="CU8" s="720"/>
      <c r="CV8" s="720"/>
      <c r="CW8" s="720"/>
      <c r="CX8" s="720"/>
      <c r="CY8" s="720"/>
      <c r="CZ8" s="720"/>
      <c r="DA8" s="720"/>
      <c r="DB8" s="720"/>
      <c r="DC8" s="720"/>
      <c r="DD8" s="720"/>
      <c r="DE8" s="720"/>
      <c r="DF8" s="720"/>
      <c r="DG8" s="720"/>
      <c r="DH8" s="720"/>
      <c r="DI8" s="720"/>
      <c r="DJ8" s="720"/>
      <c r="DK8" s="720"/>
      <c r="DL8" s="720"/>
      <c r="DM8" s="720"/>
      <c r="DN8" s="720"/>
      <c r="DO8" s="720"/>
      <c r="DP8" s="720"/>
      <c r="DQ8" s="720"/>
      <c r="DR8" s="720"/>
      <c r="DS8" s="720"/>
      <c r="DT8" s="720"/>
      <c r="DU8" s="720"/>
      <c r="DV8" s="720"/>
      <c r="DW8" s="720"/>
      <c r="DX8" s="720"/>
      <c r="DY8" s="720"/>
      <c r="DZ8" s="720"/>
      <c r="EA8" s="720"/>
      <c r="EB8" s="720"/>
      <c r="EC8" s="720"/>
      <c r="ED8" s="720"/>
      <c r="EE8" s="720"/>
      <c r="EF8" s="720"/>
      <c r="EG8" s="720"/>
      <c r="EH8" s="720"/>
      <c r="EI8" s="720"/>
      <c r="EJ8" s="720"/>
      <c r="EK8" s="720"/>
      <c r="EL8" s="720"/>
      <c r="EM8" s="720"/>
      <c r="EN8" s="720"/>
      <c r="EO8" s="720"/>
      <c r="EP8" s="720"/>
      <c r="EQ8" s="720"/>
      <c r="HN8" s="546"/>
    </row>
    <row r="9" spans="1:352" ht="10.5" customHeight="1" thickBot="1">
      <c r="A9" s="815"/>
      <c r="B9" s="815"/>
      <c r="C9" s="815"/>
      <c r="D9" s="815"/>
      <c r="E9" s="815"/>
      <c r="F9" s="815"/>
      <c r="G9" s="815"/>
      <c r="H9" s="815"/>
      <c r="I9" s="815"/>
      <c r="J9" s="815"/>
      <c r="K9" s="815"/>
      <c r="L9" s="815"/>
      <c r="M9" s="815"/>
      <c r="N9" s="815"/>
      <c r="O9" s="815"/>
      <c r="P9" s="815"/>
      <c r="Q9" s="815"/>
      <c r="R9" s="815"/>
      <c r="S9" s="815"/>
      <c r="T9" s="815"/>
      <c r="U9" s="815"/>
      <c r="V9" s="720"/>
      <c r="W9" s="815"/>
      <c r="X9" s="815"/>
      <c r="Y9" s="815"/>
      <c r="Z9" s="815"/>
      <c r="AA9" s="815"/>
      <c r="AB9" s="815"/>
      <c r="AC9" s="815"/>
      <c r="AD9" s="815"/>
      <c r="AE9" s="815"/>
      <c r="AF9" s="815"/>
      <c r="AG9" s="815"/>
      <c r="AH9" s="815"/>
      <c r="AI9" s="815"/>
      <c r="AJ9" s="815"/>
      <c r="AK9" s="815"/>
      <c r="AL9" s="815"/>
      <c r="AM9" s="815"/>
      <c r="AN9" s="815"/>
      <c r="AO9" s="815"/>
      <c r="AP9" s="815"/>
      <c r="AQ9" s="815"/>
      <c r="AR9" s="815"/>
      <c r="AS9" s="815"/>
      <c r="AT9" s="815"/>
      <c r="AU9" s="815"/>
      <c r="AV9" s="720"/>
      <c r="AW9" s="815"/>
      <c r="AX9" s="815"/>
      <c r="AY9" s="815"/>
      <c r="AZ9" s="815"/>
      <c r="BA9" s="815"/>
      <c r="BB9" s="815"/>
      <c r="BC9" s="815"/>
      <c r="BD9" s="815"/>
      <c r="BE9" s="815"/>
      <c r="BF9" s="815"/>
      <c r="BG9" s="815"/>
      <c r="BH9" s="815"/>
      <c r="BI9" s="815"/>
      <c r="BJ9" s="815"/>
      <c r="BK9" s="815"/>
      <c r="BL9" s="815"/>
      <c r="BM9" s="815"/>
      <c r="BN9" s="815"/>
      <c r="BO9" s="815"/>
      <c r="BP9" s="815"/>
      <c r="BQ9" s="815"/>
      <c r="BR9" s="815"/>
      <c r="BS9" s="720"/>
      <c r="BT9" s="815"/>
      <c r="BU9" s="815"/>
      <c r="BV9" s="815"/>
      <c r="BW9" s="815"/>
      <c r="BX9" s="815"/>
      <c r="BY9" s="815"/>
      <c r="BZ9" s="815"/>
      <c r="CA9" s="815"/>
      <c r="CB9" s="815"/>
      <c r="CC9" s="815"/>
      <c r="CD9" s="815"/>
      <c r="CE9" s="815"/>
      <c r="CF9" s="815"/>
      <c r="CG9" s="815"/>
      <c r="CH9" s="815"/>
      <c r="CI9" s="720"/>
      <c r="CJ9" s="815"/>
      <c r="CK9" s="815"/>
      <c r="CL9" s="815"/>
      <c r="CM9" s="815"/>
      <c r="CN9" s="815"/>
      <c r="CO9" s="815"/>
      <c r="CP9" s="815"/>
      <c r="CQ9" s="815"/>
      <c r="CR9" s="815"/>
      <c r="CS9" s="815"/>
      <c r="CT9" s="815"/>
      <c r="CU9" s="815"/>
      <c r="CV9" s="815"/>
      <c r="CW9" s="815"/>
      <c r="CX9" s="815"/>
      <c r="CY9" s="815"/>
      <c r="CZ9" s="815"/>
      <c r="DA9" s="815"/>
      <c r="DB9" s="815"/>
      <c r="DC9" s="815"/>
      <c r="DD9" s="815"/>
      <c r="DE9" s="720"/>
      <c r="DF9" s="815"/>
      <c r="DG9" s="815"/>
      <c r="DH9" s="815"/>
      <c r="DI9" s="815"/>
      <c r="DJ9" s="815"/>
      <c r="DK9" s="815"/>
      <c r="DL9" s="815"/>
      <c r="DM9" s="815"/>
      <c r="DN9" s="815"/>
      <c r="DO9" s="815"/>
      <c r="DP9" s="815"/>
      <c r="DQ9" s="815"/>
      <c r="DR9" s="815"/>
      <c r="DS9" s="815"/>
      <c r="DT9" s="815"/>
      <c r="DU9" s="815"/>
      <c r="DV9" s="815"/>
      <c r="DW9" s="815"/>
      <c r="DX9" s="815"/>
      <c r="DY9" s="815"/>
      <c r="DZ9" s="815"/>
      <c r="EA9" s="720"/>
      <c r="EB9" s="815"/>
      <c r="EC9" s="815"/>
      <c r="ED9" s="815"/>
      <c r="EE9" s="815"/>
      <c r="EF9" s="815"/>
      <c r="EG9" s="815"/>
      <c r="EH9" s="815"/>
      <c r="EI9" s="815"/>
      <c r="EJ9" s="815"/>
      <c r="EK9" s="815"/>
      <c r="EL9" s="815"/>
      <c r="EM9" s="815"/>
      <c r="EN9" s="815"/>
      <c r="EO9" s="815"/>
      <c r="EP9" s="815"/>
      <c r="EQ9" s="720"/>
    </row>
    <row r="10" spans="1:352" ht="18" customHeight="1">
      <c r="A10" s="815"/>
      <c r="B10" s="838" t="s">
        <v>990</v>
      </c>
      <c r="C10" s="839"/>
      <c r="D10" s="839"/>
      <c r="E10" s="839"/>
      <c r="F10" s="839"/>
      <c r="G10" s="839"/>
      <c r="H10" s="839"/>
      <c r="I10" s="839"/>
      <c r="J10" s="839"/>
      <c r="K10" s="839"/>
      <c r="L10" s="839"/>
      <c r="M10" s="839"/>
      <c r="N10" s="839"/>
      <c r="O10" s="839"/>
      <c r="P10" s="839"/>
      <c r="Q10" s="839"/>
      <c r="R10" s="839"/>
      <c r="S10" s="839"/>
      <c r="T10" s="918" t="str">
        <f>CONCATENATE("BCA"," ",$N$76," / ","Protocol v:",$S$76," / ","Report v:",$D$90)</f>
        <v>BCA  / Protocol v: / Report v:18 May 2015</v>
      </c>
      <c r="U10" s="815"/>
      <c r="V10" s="720"/>
      <c r="W10" s="815"/>
      <c r="X10" s="549" t="s">
        <v>972</v>
      </c>
      <c r="Y10" s="549"/>
      <c r="Z10" s="539"/>
      <c r="AA10" s="539"/>
      <c r="AB10" s="539"/>
      <c r="AC10" s="539"/>
      <c r="AD10" s="539"/>
      <c r="AE10" s="551"/>
      <c r="AF10" s="552"/>
      <c r="AG10" s="552"/>
      <c r="AH10" s="552"/>
      <c r="AI10" s="552"/>
      <c r="AJ10" s="552"/>
      <c r="AK10" s="552"/>
      <c r="AL10" s="552"/>
      <c r="AM10" s="552"/>
      <c r="AN10" s="552"/>
      <c r="AO10" s="552"/>
      <c r="AP10" s="552"/>
      <c r="AQ10" s="552"/>
      <c r="AR10" s="552"/>
      <c r="AS10" s="552"/>
      <c r="AT10" s="919" t="str">
        <f>$T$10</f>
        <v>BCA  / Protocol v: / Report v:18 May 2015</v>
      </c>
      <c r="AU10" s="815"/>
      <c r="AV10" s="720"/>
      <c r="AW10" s="815"/>
      <c r="AX10" s="549" t="s">
        <v>503</v>
      </c>
      <c r="AY10" s="552"/>
      <c r="AZ10" s="552"/>
      <c r="BA10" s="552"/>
      <c r="BB10" s="552"/>
      <c r="BC10" s="552"/>
      <c r="BD10" s="552"/>
      <c r="BE10" s="552"/>
      <c r="BF10" s="552"/>
      <c r="BG10" s="552"/>
      <c r="BH10" s="552"/>
      <c r="BI10" s="552"/>
      <c r="BJ10" s="552"/>
      <c r="BK10" s="552"/>
      <c r="BL10" s="552"/>
      <c r="BM10" s="552"/>
      <c r="BN10" s="552"/>
      <c r="BO10" s="552"/>
      <c r="BP10" s="552"/>
      <c r="BQ10" s="919" t="str">
        <f>$T$10</f>
        <v>BCA  / Protocol v: / Report v:18 May 2015</v>
      </c>
      <c r="BR10" s="815"/>
      <c r="BT10" s="815"/>
      <c r="BU10" s="549" t="s">
        <v>501</v>
      </c>
      <c r="BV10" s="552"/>
      <c r="BW10" s="552"/>
      <c r="BX10" s="552"/>
      <c r="BY10" s="552"/>
      <c r="BZ10" s="552"/>
      <c r="CA10" s="552"/>
      <c r="CB10" s="552"/>
      <c r="CC10" s="552"/>
      <c r="CD10" s="552"/>
      <c r="CE10" s="552"/>
      <c r="CF10" s="552"/>
      <c r="CG10" s="919" t="str">
        <f>$T$10</f>
        <v>BCA  / Protocol v: / Report v:18 May 2015</v>
      </c>
      <c r="CH10" s="815"/>
      <c r="CI10" s="720"/>
      <c r="CJ10" s="815"/>
      <c r="CK10" s="549" t="s">
        <v>502</v>
      </c>
      <c r="CL10" s="552"/>
      <c r="CM10" s="552"/>
      <c r="CN10" s="552"/>
      <c r="CO10" s="552"/>
      <c r="CP10" s="552"/>
      <c r="CQ10" s="552"/>
      <c r="CR10" s="552"/>
      <c r="CS10" s="552"/>
      <c r="CT10" s="552"/>
      <c r="CU10" s="552"/>
      <c r="CV10" s="552"/>
      <c r="CW10" s="552"/>
      <c r="CX10" s="552"/>
      <c r="CY10" s="552"/>
      <c r="CZ10" s="552"/>
      <c r="DA10" s="552"/>
      <c r="DB10" s="552"/>
      <c r="DC10" s="919" t="str">
        <f>$T$10</f>
        <v>BCA  / Protocol v: / Report v:18 May 2015</v>
      </c>
      <c r="DD10" s="815"/>
      <c r="DE10" s="720"/>
      <c r="DF10" s="815"/>
      <c r="DG10" s="549" t="s">
        <v>931</v>
      </c>
      <c r="DH10" s="552"/>
      <c r="DI10" s="552"/>
      <c r="DJ10" s="552"/>
      <c r="DK10" s="552"/>
      <c r="DL10" s="552"/>
      <c r="DM10" s="552"/>
      <c r="DN10" s="552"/>
      <c r="DO10" s="552"/>
      <c r="DP10" s="552"/>
      <c r="DQ10" s="552"/>
      <c r="DR10" s="552"/>
      <c r="DS10" s="552"/>
      <c r="DT10" s="552"/>
      <c r="DU10" s="552"/>
      <c r="DV10" s="552"/>
      <c r="DW10" s="552"/>
      <c r="DX10" s="552"/>
      <c r="DY10" s="919" t="str">
        <f>$T$10</f>
        <v>BCA  / Protocol v: / Report v:18 May 2015</v>
      </c>
      <c r="DZ10" s="815"/>
      <c r="EA10" s="720"/>
      <c r="EB10" s="815"/>
      <c r="EC10" s="549" t="s">
        <v>500</v>
      </c>
      <c r="ED10" s="550"/>
      <c r="EE10" s="550"/>
      <c r="EF10" s="550"/>
      <c r="EG10" s="550"/>
      <c r="EH10" s="550"/>
      <c r="EI10" s="550"/>
      <c r="EJ10" s="550"/>
      <c r="EK10" s="550"/>
      <c r="EL10" s="550"/>
      <c r="EM10" s="550"/>
      <c r="EN10" s="550"/>
      <c r="EO10" s="919" t="str">
        <f>$T$10</f>
        <v>BCA  / Protocol v: / Report v:18 May 2015</v>
      </c>
      <c r="EP10" s="815"/>
      <c r="EQ10" s="720"/>
      <c r="ES10" s="543"/>
      <c r="ET10" s="553" t="s">
        <v>384</v>
      </c>
      <c r="EU10" s="543"/>
      <c r="EV10" s="553" t="s">
        <v>934</v>
      </c>
      <c r="EW10" s="553"/>
      <c r="EX10" s="543"/>
      <c r="EY10" s="543"/>
      <c r="EZ10" s="543"/>
      <c r="FA10" s="543"/>
      <c r="FB10" s="543"/>
      <c r="FC10" s="543"/>
      <c r="FD10" s="543"/>
      <c r="FE10" s="543"/>
      <c r="FF10" s="543"/>
      <c r="FG10" s="543"/>
      <c r="FH10" s="543"/>
      <c r="FI10" s="553" t="s">
        <v>934</v>
      </c>
      <c r="FJ10" s="543"/>
      <c r="FK10" s="543"/>
      <c r="FL10" s="543"/>
      <c r="FM10" s="553" t="s">
        <v>934</v>
      </c>
      <c r="FN10" s="543"/>
      <c r="FO10" s="543"/>
      <c r="FP10" s="543"/>
      <c r="FQ10" s="543"/>
      <c r="FR10" s="543"/>
      <c r="FS10" s="543"/>
      <c r="FT10" s="543"/>
      <c r="FU10" s="543"/>
      <c r="FV10" s="543"/>
      <c r="FW10" s="543"/>
      <c r="FX10" s="543"/>
      <c r="FY10" s="543"/>
      <c r="FZ10" s="553" t="s">
        <v>934</v>
      </c>
      <c r="GA10" s="543"/>
      <c r="GB10" s="543"/>
      <c r="GC10" s="543"/>
      <c r="GD10" s="543"/>
      <c r="GE10" s="553" t="s">
        <v>935</v>
      </c>
      <c r="GF10" s="553" t="s">
        <v>935</v>
      </c>
      <c r="GG10" s="553">
        <v>1</v>
      </c>
      <c r="GH10" s="553">
        <v>2</v>
      </c>
      <c r="GI10" s="543">
        <v>3</v>
      </c>
      <c r="GJ10" s="543">
        <v>4</v>
      </c>
      <c r="GK10" s="543">
        <v>5</v>
      </c>
      <c r="GL10" s="543">
        <v>6</v>
      </c>
      <c r="GM10" s="543">
        <v>7</v>
      </c>
      <c r="GN10" s="543">
        <v>8</v>
      </c>
      <c r="GO10" s="543">
        <v>9</v>
      </c>
      <c r="GP10" s="543"/>
      <c r="GQ10" s="553" t="s">
        <v>935</v>
      </c>
      <c r="GR10" s="543"/>
      <c r="GS10" s="543"/>
      <c r="GT10" s="543"/>
      <c r="GU10" s="543"/>
      <c r="GV10" s="543"/>
      <c r="GW10" s="543"/>
      <c r="GX10" s="543"/>
      <c r="GY10" s="543"/>
      <c r="GZ10" s="543"/>
      <c r="HA10" s="543"/>
      <c r="HB10" s="543"/>
      <c r="HC10" s="543"/>
      <c r="HD10" s="553" t="s">
        <v>935</v>
      </c>
      <c r="HE10" s="543"/>
      <c r="HF10" s="543"/>
      <c r="HG10" s="543"/>
      <c r="HH10" s="543"/>
      <c r="HI10" s="543"/>
      <c r="HJ10" s="543"/>
      <c r="HK10" s="543"/>
      <c r="HL10" s="543"/>
      <c r="HM10" s="543"/>
      <c r="HN10" s="553" t="s">
        <v>470</v>
      </c>
      <c r="HO10" s="543"/>
      <c r="HP10" s="543"/>
      <c r="HQ10" s="543"/>
      <c r="HR10" s="543"/>
      <c r="HS10" s="543"/>
      <c r="HT10" s="543"/>
      <c r="HU10" s="543"/>
      <c r="HV10" s="553"/>
      <c r="HW10" s="543"/>
      <c r="HX10" s="543"/>
      <c r="HY10" s="543"/>
      <c r="HZ10" s="543"/>
      <c r="IA10" s="543"/>
      <c r="IB10" s="543"/>
      <c r="IC10" s="543"/>
      <c r="ID10" s="553" t="s">
        <v>936</v>
      </c>
      <c r="IE10" s="543"/>
      <c r="IF10" s="543"/>
      <c r="IG10" s="543"/>
      <c r="IH10" s="543"/>
      <c r="II10" s="543"/>
      <c r="IJ10" s="543"/>
      <c r="IK10" s="543"/>
      <c r="IL10" s="553" t="s">
        <v>936</v>
      </c>
      <c r="IM10" s="543"/>
      <c r="IN10" s="543"/>
      <c r="IO10" s="543"/>
      <c r="IP10" s="543"/>
      <c r="IQ10" s="543"/>
      <c r="IR10" s="543"/>
      <c r="IS10" s="543"/>
      <c r="IT10" s="553" t="s">
        <v>937</v>
      </c>
      <c r="IU10" s="553" t="s">
        <v>937</v>
      </c>
      <c r="IV10" s="553" t="s">
        <v>937</v>
      </c>
      <c r="IW10" s="543">
        <v>1</v>
      </c>
      <c r="IX10" s="543">
        <v>2</v>
      </c>
      <c r="IY10" s="543">
        <v>3</v>
      </c>
      <c r="IZ10" s="543">
        <v>4</v>
      </c>
      <c r="JA10" s="543">
        <v>5</v>
      </c>
      <c r="JB10" s="543">
        <v>6</v>
      </c>
      <c r="JC10" s="543">
        <v>7</v>
      </c>
      <c r="JD10" s="543">
        <v>8</v>
      </c>
      <c r="JE10" s="543">
        <v>9</v>
      </c>
      <c r="JF10" s="543"/>
      <c r="JG10" s="553" t="s">
        <v>937</v>
      </c>
      <c r="JH10" s="543"/>
      <c r="JI10" s="543"/>
      <c r="JJ10" s="543"/>
      <c r="JK10" s="543"/>
      <c r="JL10" s="543"/>
      <c r="JM10" s="543"/>
      <c r="JN10" s="543"/>
      <c r="JO10" s="543"/>
      <c r="JP10" s="543"/>
      <c r="JQ10" s="543"/>
      <c r="JR10" s="543"/>
      <c r="JS10" s="543"/>
      <c r="JT10" s="553" t="s">
        <v>937</v>
      </c>
      <c r="JU10" s="543"/>
      <c r="JV10" s="543"/>
      <c r="JW10" s="543"/>
      <c r="JX10" s="543"/>
      <c r="JY10" s="543"/>
      <c r="JZ10" s="543"/>
      <c r="KA10" s="543"/>
      <c r="KB10" s="543"/>
      <c r="KC10" s="543"/>
      <c r="KD10" s="543"/>
      <c r="KE10" s="543"/>
      <c r="KF10" s="543"/>
      <c r="KG10" s="553" t="s">
        <v>613</v>
      </c>
      <c r="KH10" s="543"/>
      <c r="KI10" s="543"/>
      <c r="KJ10" s="543"/>
      <c r="KK10" s="543"/>
      <c r="KL10" s="543"/>
      <c r="KM10" s="543"/>
      <c r="KN10" s="553" t="s">
        <v>613</v>
      </c>
      <c r="KO10" s="543"/>
      <c r="KP10" s="543"/>
      <c r="KQ10" s="543"/>
      <c r="KR10" s="543"/>
      <c r="KS10" s="543"/>
      <c r="KT10" s="543"/>
      <c r="KU10" s="543"/>
      <c r="KV10" s="543"/>
      <c r="KW10" s="543"/>
      <c r="KX10" s="543"/>
      <c r="KY10" s="543"/>
      <c r="KZ10" s="553" t="s">
        <v>613</v>
      </c>
      <c r="LA10" s="543"/>
      <c r="LB10" s="543"/>
      <c r="LC10" s="543"/>
      <c r="LD10" s="543"/>
      <c r="LE10" s="543"/>
      <c r="LF10" s="543"/>
      <c r="LG10" s="543"/>
      <c r="LH10" s="543"/>
      <c r="LI10" s="543"/>
      <c r="LJ10" s="543"/>
      <c r="LK10" s="543"/>
      <c r="LL10" s="543"/>
      <c r="LM10" s="543"/>
      <c r="LN10" s="553" t="s">
        <v>495</v>
      </c>
      <c r="LO10" s="543"/>
      <c r="LP10" s="543"/>
      <c r="LQ10" s="543"/>
      <c r="LR10" s="553" t="s">
        <v>495</v>
      </c>
      <c r="LS10" s="543"/>
      <c r="LT10" s="543"/>
      <c r="LU10" s="543"/>
      <c r="LV10" s="553" t="s">
        <v>588</v>
      </c>
      <c r="LW10" s="543"/>
      <c r="LX10" s="543"/>
      <c r="LY10" s="543"/>
      <c r="LZ10" s="553" t="s">
        <v>588</v>
      </c>
      <c r="MA10" s="543"/>
      <c r="MB10" s="543"/>
      <c r="MC10" s="543"/>
      <c r="MD10" s="543"/>
      <c r="ME10" s="543"/>
      <c r="MF10" s="543"/>
      <c r="MG10" s="543"/>
      <c r="MH10" s="543"/>
      <c r="MI10" s="543"/>
      <c r="MJ10" s="543"/>
      <c r="MK10" s="543"/>
      <c r="ML10" s="553" t="s">
        <v>504</v>
      </c>
      <c r="MM10" s="543"/>
      <c r="MN10" s="544"/>
    </row>
    <row r="11" spans="1:352" s="756" customFormat="1" ht="15.75">
      <c r="A11" s="815"/>
      <c r="B11" s="840" t="s">
        <v>991</v>
      </c>
      <c r="C11" s="841"/>
      <c r="D11" s="841"/>
      <c r="E11" s="841"/>
      <c r="F11" s="841"/>
      <c r="G11" s="841"/>
      <c r="H11" s="841"/>
      <c r="I11" s="841"/>
      <c r="J11" s="841"/>
      <c r="K11" s="841"/>
      <c r="L11" s="841"/>
      <c r="M11" s="841"/>
      <c r="N11" s="841"/>
      <c r="O11" s="841"/>
      <c r="P11" s="841"/>
      <c r="Q11" s="841"/>
      <c r="R11" s="841"/>
      <c r="S11" s="841"/>
      <c r="T11" s="842"/>
      <c r="U11" s="815"/>
      <c r="V11" s="755"/>
      <c r="W11" s="815"/>
      <c r="X11" s="542" t="str">
        <f>CONCATENATE($B$65,": ",$D$65)</f>
        <v>Climate zone: Data</v>
      </c>
      <c r="Y11" s="542"/>
      <c r="Z11" s="532"/>
      <c r="AA11" s="542" t="str">
        <f>CONCATENATE($B$64,": ",$D$64)</f>
        <v>Building site: Data</v>
      </c>
      <c r="AB11" s="532"/>
      <c r="AC11" s="532"/>
      <c r="AD11" s="532"/>
      <c r="AE11" s="532"/>
      <c r="AF11" s="532"/>
      <c r="AG11" s="532"/>
      <c r="AH11" s="532"/>
      <c r="AI11" s="532"/>
      <c r="AJ11" s="532"/>
      <c r="AK11" s="542"/>
      <c r="AL11" s="542"/>
      <c r="AM11" s="542" t="str">
        <f>CONCATENATE($ET$27," ",$G$47)</f>
        <v xml:space="preserve">Storey assessed: </v>
      </c>
      <c r="AN11" s="542"/>
      <c r="AO11" s="532"/>
      <c r="AP11" s="532"/>
      <c r="AQ11" s="532"/>
      <c r="AR11" s="542"/>
      <c r="AS11" s="542"/>
      <c r="AT11" s="540"/>
      <c r="AU11" s="815"/>
      <c r="AV11" s="562"/>
      <c r="AW11" s="577"/>
      <c r="AX11" s="542" t="str">
        <f>$X$11</f>
        <v>Climate zone: Data</v>
      </c>
      <c r="AY11" s="542"/>
      <c r="AZ11" s="542"/>
      <c r="BA11" s="532"/>
      <c r="BB11" s="542" t="str">
        <f>$AA$11</f>
        <v>Building site: Data</v>
      </c>
      <c r="BC11" s="532"/>
      <c r="BD11" s="532"/>
      <c r="BE11" s="532"/>
      <c r="BF11" s="532"/>
      <c r="BG11" s="532"/>
      <c r="BH11" s="542"/>
      <c r="BI11" s="542"/>
      <c r="BJ11" s="532"/>
      <c r="BK11" s="530"/>
      <c r="BL11" s="530"/>
      <c r="BM11" s="532"/>
      <c r="BN11" s="532"/>
      <c r="BO11" s="542"/>
      <c r="BP11" s="542"/>
      <c r="BQ11" s="540"/>
      <c r="BR11" s="577"/>
      <c r="BS11" s="497"/>
      <c r="BT11" s="815"/>
      <c r="BU11" s="542" t="str">
        <f>$X$11</f>
        <v>Climate zone: Data</v>
      </c>
      <c r="BV11" s="542"/>
      <c r="BW11" s="542" t="str">
        <f>$AA$11</f>
        <v>Building site: Data</v>
      </c>
      <c r="BX11" s="532"/>
      <c r="BY11" s="532"/>
      <c r="BZ11" s="532"/>
      <c r="CA11" s="532"/>
      <c r="CB11" s="532"/>
      <c r="CC11" s="530"/>
      <c r="CD11" s="540"/>
      <c r="CE11" s="540"/>
      <c r="CF11" s="540"/>
      <c r="CG11" s="540"/>
      <c r="CH11" s="815"/>
      <c r="CI11" s="562"/>
      <c r="CJ11" s="815"/>
      <c r="CK11" s="542" t="str">
        <f>$X$11</f>
        <v>Climate zone: Data</v>
      </c>
      <c r="CL11" s="542"/>
      <c r="CM11" s="542"/>
      <c r="CN11" s="542" t="str">
        <f>$AA$11</f>
        <v>Building site: Data</v>
      </c>
      <c r="CO11" s="532"/>
      <c r="CP11" s="532"/>
      <c r="CQ11" s="532"/>
      <c r="CR11" s="532"/>
      <c r="CS11" s="532"/>
      <c r="CT11" s="542"/>
      <c r="CU11" s="542"/>
      <c r="CV11" s="532"/>
      <c r="CW11" s="530"/>
      <c r="CX11" s="530"/>
      <c r="CY11" s="532"/>
      <c r="CZ11" s="532"/>
      <c r="DA11" s="542"/>
      <c r="DB11" s="542"/>
      <c r="DC11" s="540"/>
      <c r="DD11" s="815"/>
      <c r="DE11" s="562"/>
      <c r="DF11" s="815"/>
      <c r="DG11" s="542" t="str">
        <f>$X$11</f>
        <v>Climate zone: Data</v>
      </c>
      <c r="DH11" s="542"/>
      <c r="DI11" s="778"/>
      <c r="DJ11" s="542" t="str">
        <f>$AA$11</f>
        <v>Building site: Data</v>
      </c>
      <c r="DK11" s="532"/>
      <c r="DL11" s="532"/>
      <c r="DM11" s="532"/>
      <c r="DN11" s="532"/>
      <c r="DO11" s="530"/>
      <c r="DP11" s="530"/>
      <c r="DQ11" s="530"/>
      <c r="DR11" s="530"/>
      <c r="DS11" s="530"/>
      <c r="DT11" s="530"/>
      <c r="DU11" s="532"/>
      <c r="DV11" s="532"/>
      <c r="DW11" s="542"/>
      <c r="DX11" s="542"/>
      <c r="DY11" s="540"/>
      <c r="DZ11" s="815"/>
      <c r="EA11" s="562"/>
      <c r="EB11" s="815"/>
      <c r="EC11" s="542" t="str">
        <f>$X$11</f>
        <v>Climate zone: Data</v>
      </c>
      <c r="ED11" s="542"/>
      <c r="EE11" s="542" t="str">
        <f>$AA$11</f>
        <v>Building site: Data</v>
      </c>
      <c r="EF11" s="542"/>
      <c r="EG11" s="532"/>
      <c r="EH11" s="532"/>
      <c r="EI11" s="532"/>
      <c r="EJ11" s="532"/>
      <c r="EK11" s="532"/>
      <c r="EL11" s="532"/>
      <c r="EM11" s="532"/>
      <c r="EN11" s="532"/>
      <c r="EO11" s="532"/>
      <c r="EP11" s="815"/>
      <c r="EQ11" s="755"/>
      <c r="ES11" s="757"/>
      <c r="HN11" s="758"/>
      <c r="MM11" s="757"/>
    </row>
    <row r="12" spans="1:352" ht="11.25" customHeight="1">
      <c r="A12" s="577"/>
      <c r="B12" s="1072" t="s">
        <v>1098</v>
      </c>
      <c r="C12" s="1073"/>
      <c r="D12" s="1073"/>
      <c r="E12" s="1073"/>
      <c r="F12" s="1073"/>
      <c r="G12" s="1073"/>
      <c r="H12" s="1073"/>
      <c r="I12" s="1073"/>
      <c r="J12" s="1073"/>
      <c r="K12" s="1073"/>
      <c r="L12" s="1073"/>
      <c r="M12" s="1073"/>
      <c r="N12" s="1073"/>
      <c r="O12" s="1073"/>
      <c r="P12" s="1073"/>
      <c r="Q12" s="1073"/>
      <c r="R12" s="1073"/>
      <c r="S12" s="1073"/>
      <c r="T12" s="1074"/>
      <c r="U12" s="577"/>
      <c r="V12" s="562"/>
      <c r="W12" s="577"/>
      <c r="X12" s="990" t="s">
        <v>973</v>
      </c>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c r="AU12" s="577"/>
      <c r="AV12" s="562"/>
      <c r="AW12" s="577"/>
      <c r="AX12" s="516" t="s">
        <v>1019</v>
      </c>
      <c r="AY12" s="516"/>
      <c r="AZ12" s="516"/>
      <c r="BA12" s="516"/>
      <c r="BB12" s="516"/>
      <c r="BC12" s="516"/>
      <c r="BD12" s="516"/>
      <c r="BE12" s="516"/>
      <c r="BF12" s="516"/>
      <c r="BG12" s="516"/>
      <c r="BH12" s="516"/>
      <c r="BI12" s="516"/>
      <c r="BJ12" s="516"/>
      <c r="BK12" s="516"/>
      <c r="BL12" s="516"/>
      <c r="BM12" s="516"/>
      <c r="BN12" s="516"/>
      <c r="BO12" s="516"/>
      <c r="BP12" s="516"/>
      <c r="BQ12" s="516"/>
      <c r="BR12" s="577"/>
      <c r="BT12" s="577"/>
      <c r="BU12" s="964" t="s">
        <v>914</v>
      </c>
      <c r="BV12" s="964"/>
      <c r="BW12" s="964"/>
      <c r="BX12" s="964"/>
      <c r="BY12" s="964"/>
      <c r="BZ12" s="964"/>
      <c r="CA12" s="964"/>
      <c r="CB12" s="964"/>
      <c r="CC12" s="964"/>
      <c r="CD12" s="964"/>
      <c r="CE12" s="964"/>
      <c r="CF12" s="964"/>
      <c r="CG12" s="964"/>
      <c r="CH12" s="577"/>
      <c r="CI12" s="562"/>
      <c r="CJ12" s="577"/>
      <c r="CK12" s="516" t="s">
        <v>809</v>
      </c>
      <c r="CL12" s="516"/>
      <c r="CM12" s="516"/>
      <c r="CN12" s="516"/>
      <c r="CO12" s="516"/>
      <c r="CP12" s="516"/>
      <c r="CQ12" s="516"/>
      <c r="CR12" s="516"/>
      <c r="CS12" s="516"/>
      <c r="CT12" s="516"/>
      <c r="CU12" s="516"/>
      <c r="CV12" s="516"/>
      <c r="CW12" s="516"/>
      <c r="CX12" s="516"/>
      <c r="CY12" s="516"/>
      <c r="CZ12" s="516"/>
      <c r="DA12" s="516"/>
      <c r="DB12" s="516"/>
      <c r="DC12" s="516"/>
      <c r="DD12" s="577"/>
      <c r="DE12" s="562"/>
      <c r="DF12" s="577"/>
      <c r="DG12" s="505" t="s">
        <v>1053</v>
      </c>
      <c r="DH12" s="505"/>
      <c r="DI12" s="505"/>
      <c r="DJ12" s="505"/>
      <c r="DK12" s="505"/>
      <c r="DL12" s="505"/>
      <c r="DM12" s="505"/>
      <c r="DN12" s="505"/>
      <c r="DO12" s="505"/>
      <c r="DP12" s="505"/>
      <c r="DQ12" s="505"/>
      <c r="DR12" s="505"/>
      <c r="DS12" s="505"/>
      <c r="DT12" s="505"/>
      <c r="DU12" s="505"/>
      <c r="DV12" s="505"/>
      <c r="DW12" s="505"/>
      <c r="DX12" s="505"/>
      <c r="DY12" s="505"/>
      <c r="DZ12" s="577"/>
      <c r="EA12" s="562"/>
      <c r="EB12" s="577"/>
      <c r="EC12" s="964" t="s">
        <v>1067</v>
      </c>
      <c r="ED12" s="964"/>
      <c r="EE12" s="964"/>
      <c r="EF12" s="964"/>
      <c r="EG12" s="964"/>
      <c r="EH12" s="964"/>
      <c r="EI12" s="964"/>
      <c r="EJ12" s="964"/>
      <c r="EK12" s="964"/>
      <c r="EL12" s="964"/>
      <c r="EM12" s="964"/>
      <c r="EN12" s="964"/>
      <c r="EO12" s="964"/>
      <c r="EP12" s="577"/>
      <c r="EQ12" s="562"/>
      <c r="ES12" s="543"/>
      <c r="ET12" s="500" t="s">
        <v>505</v>
      </c>
      <c r="FI12" s="509" t="s">
        <v>1082</v>
      </c>
      <c r="HN12" s="497"/>
      <c r="LV12" s="498"/>
      <c r="ML12" s="498"/>
      <c r="MM12" s="543"/>
    </row>
    <row r="13" spans="1:352" ht="11.25" customHeight="1">
      <c r="A13" s="577"/>
      <c r="B13" s="1072"/>
      <c r="C13" s="1073"/>
      <c r="D13" s="1073"/>
      <c r="E13" s="1073"/>
      <c r="F13" s="1073"/>
      <c r="G13" s="1073"/>
      <c r="H13" s="1073"/>
      <c r="I13" s="1073"/>
      <c r="J13" s="1073"/>
      <c r="K13" s="1073"/>
      <c r="L13" s="1073"/>
      <c r="M13" s="1073"/>
      <c r="N13" s="1073"/>
      <c r="O13" s="1073"/>
      <c r="P13" s="1073"/>
      <c r="Q13" s="1073"/>
      <c r="R13" s="1073"/>
      <c r="S13" s="1073"/>
      <c r="T13" s="1074"/>
      <c r="U13" s="577"/>
      <c r="V13" s="562"/>
      <c r="W13" s="577"/>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c r="AU13" s="577"/>
      <c r="AV13" s="562"/>
      <c r="AW13" s="577"/>
      <c r="AX13" s="516" t="s">
        <v>1020</v>
      </c>
      <c r="AY13" s="516"/>
      <c r="AZ13" s="516"/>
      <c r="BA13" s="516"/>
      <c r="BB13" s="516"/>
      <c r="BC13" s="516"/>
      <c r="BD13" s="516"/>
      <c r="BE13" s="516"/>
      <c r="BF13" s="516"/>
      <c r="BG13" s="516"/>
      <c r="BH13" s="516"/>
      <c r="BI13" s="516"/>
      <c r="BJ13" s="516"/>
      <c r="BK13" s="516"/>
      <c r="BL13" s="516"/>
      <c r="BM13" s="516"/>
      <c r="BN13" s="516"/>
      <c r="BO13" s="516"/>
      <c r="BP13" s="516"/>
      <c r="BQ13" s="516"/>
      <c r="BR13" s="577"/>
      <c r="BT13" s="577"/>
      <c r="BU13" s="965"/>
      <c r="BV13" s="965"/>
      <c r="BW13" s="965"/>
      <c r="BX13" s="965"/>
      <c r="BY13" s="965"/>
      <c r="BZ13" s="965"/>
      <c r="CA13" s="965"/>
      <c r="CB13" s="965"/>
      <c r="CC13" s="965"/>
      <c r="CD13" s="965"/>
      <c r="CE13" s="965"/>
      <c r="CF13" s="965"/>
      <c r="CG13" s="965"/>
      <c r="CH13" s="577"/>
      <c r="CI13" s="562"/>
      <c r="CJ13" s="577"/>
      <c r="CK13" s="505" t="s">
        <v>810</v>
      </c>
      <c r="CL13" s="505"/>
      <c r="CM13" s="505"/>
      <c r="CN13" s="505"/>
      <c r="CO13" s="505"/>
      <c r="CP13" s="505"/>
      <c r="CQ13" s="505"/>
      <c r="CR13" s="505"/>
      <c r="CS13" s="505"/>
      <c r="CT13" s="505"/>
      <c r="CU13" s="505"/>
      <c r="CV13" s="505"/>
      <c r="CW13" s="505"/>
      <c r="CX13" s="505"/>
      <c r="CY13" s="505"/>
      <c r="CZ13" s="505"/>
      <c r="DA13" s="505"/>
      <c r="DB13" s="505"/>
      <c r="DC13" s="505"/>
      <c r="DD13" s="577"/>
      <c r="DE13" s="562"/>
      <c r="DF13" s="577"/>
      <c r="DG13" s="504"/>
      <c r="DH13" s="504"/>
      <c r="DI13" s="504"/>
      <c r="DJ13" s="504"/>
      <c r="DK13" s="504"/>
      <c r="DL13" s="504"/>
      <c r="DM13" s="504"/>
      <c r="DN13" s="504"/>
      <c r="DO13" s="504"/>
      <c r="DP13" s="504"/>
      <c r="DQ13" s="504"/>
      <c r="DR13" s="504"/>
      <c r="DS13" s="504"/>
      <c r="DT13" s="504"/>
      <c r="DU13" s="504"/>
      <c r="DV13" s="504"/>
      <c r="DW13" s="504"/>
      <c r="DX13" s="504"/>
      <c r="DY13" s="504"/>
      <c r="DZ13" s="577"/>
      <c r="EA13" s="562"/>
      <c r="EB13" s="577"/>
      <c r="EC13" s="965"/>
      <c r="ED13" s="965"/>
      <c r="EE13" s="965"/>
      <c r="EF13" s="965"/>
      <c r="EG13" s="965"/>
      <c r="EH13" s="965"/>
      <c r="EI13" s="965"/>
      <c r="EJ13" s="965"/>
      <c r="EK13" s="965"/>
      <c r="EL13" s="965"/>
      <c r="EM13" s="965"/>
      <c r="EN13" s="965"/>
      <c r="EO13" s="965"/>
      <c r="EP13" s="577"/>
      <c r="EQ13" s="562"/>
      <c r="ES13" s="543"/>
      <c r="ET13" s="500" t="s">
        <v>393</v>
      </c>
      <c r="FI13" s="543" t="s">
        <v>402</v>
      </c>
      <c r="FJ13" s="543"/>
      <c r="GG13" s="509" t="s">
        <v>659</v>
      </c>
      <c r="HN13" s="497"/>
      <c r="ID13" s="558" t="s">
        <v>808</v>
      </c>
      <c r="IL13" s="497" t="s">
        <v>925</v>
      </c>
      <c r="KG13" s="536" t="s">
        <v>956</v>
      </c>
      <c r="MK13" s="554"/>
      <c r="MM13" s="543"/>
    </row>
    <row r="14" spans="1:352" ht="11.25" customHeight="1">
      <c r="A14" s="577"/>
      <c r="B14" s="1072"/>
      <c r="C14" s="1073"/>
      <c r="D14" s="1073"/>
      <c r="E14" s="1073"/>
      <c r="F14" s="1073"/>
      <c r="G14" s="1073"/>
      <c r="H14" s="1073"/>
      <c r="I14" s="1073"/>
      <c r="J14" s="1073"/>
      <c r="K14" s="1073"/>
      <c r="L14" s="1073"/>
      <c r="M14" s="1073"/>
      <c r="N14" s="1073"/>
      <c r="O14" s="1073"/>
      <c r="P14" s="1073"/>
      <c r="Q14" s="1073"/>
      <c r="R14" s="1073"/>
      <c r="S14" s="1073"/>
      <c r="T14" s="1074"/>
      <c r="U14" s="577"/>
      <c r="V14" s="562"/>
      <c r="W14" s="577"/>
      <c r="X14" s="505" t="s">
        <v>974</v>
      </c>
      <c r="Y14" s="505"/>
      <c r="Z14" s="505"/>
      <c r="AA14" s="505"/>
      <c r="AB14" s="505"/>
      <c r="AC14" s="505"/>
      <c r="AD14" s="505"/>
      <c r="AE14" s="505"/>
      <c r="AF14" s="505"/>
      <c r="AG14" s="505"/>
      <c r="AH14" s="505"/>
      <c r="AI14" s="505"/>
      <c r="AJ14" s="505"/>
      <c r="AK14" s="505"/>
      <c r="AL14" s="505"/>
      <c r="AM14" s="505"/>
      <c r="AN14" s="505"/>
      <c r="AO14" s="505"/>
      <c r="AP14" s="505"/>
      <c r="AQ14" s="505"/>
      <c r="AR14" s="505"/>
      <c r="AS14" s="505"/>
      <c r="AT14" s="505"/>
      <c r="AU14" s="577"/>
      <c r="AV14" s="562"/>
      <c r="AW14" s="577"/>
      <c r="AX14" s="516" t="s">
        <v>1021</v>
      </c>
      <c r="AY14" s="516"/>
      <c r="AZ14" s="817"/>
      <c r="BA14" s="817"/>
      <c r="BB14" s="817"/>
      <c r="BC14" s="817"/>
      <c r="BD14" s="817"/>
      <c r="BE14" s="817"/>
      <c r="BF14" s="817"/>
      <c r="BG14" s="817"/>
      <c r="BH14" s="817"/>
      <c r="BI14" s="817"/>
      <c r="BJ14" s="817"/>
      <c r="BK14" s="516"/>
      <c r="BL14" s="516"/>
      <c r="BM14" s="516"/>
      <c r="BN14" s="516"/>
      <c r="BO14" s="516"/>
      <c r="BP14" s="516"/>
      <c r="BQ14" s="516"/>
      <c r="BR14" s="577"/>
      <c r="BT14" s="577"/>
      <c r="BU14" s="504"/>
      <c r="BV14" s="504"/>
      <c r="BW14" s="504"/>
      <c r="BX14" s="504"/>
      <c r="BY14" s="504"/>
      <c r="BZ14" s="504"/>
      <c r="CA14" s="504"/>
      <c r="CB14" s="504"/>
      <c r="CC14" s="504"/>
      <c r="CD14" s="504"/>
      <c r="CE14" s="504"/>
      <c r="CF14" s="504"/>
      <c r="CG14" s="504"/>
      <c r="CH14" s="577"/>
      <c r="CI14" s="562"/>
      <c r="CJ14" s="577"/>
      <c r="CK14" s="516"/>
      <c r="CL14" s="516"/>
      <c r="CM14" s="516"/>
      <c r="CN14" s="516"/>
      <c r="CO14" s="516"/>
      <c r="CP14" s="516"/>
      <c r="CQ14" s="516"/>
      <c r="CR14" s="516"/>
      <c r="CS14" s="516"/>
      <c r="CT14" s="516"/>
      <c r="CU14" s="516"/>
      <c r="CV14" s="516"/>
      <c r="CW14" s="516"/>
      <c r="CX14" s="516"/>
      <c r="CY14" s="516"/>
      <c r="CZ14" s="516"/>
      <c r="DA14" s="516"/>
      <c r="DB14" s="516"/>
      <c r="DC14" s="516"/>
      <c r="DD14" s="577"/>
      <c r="DE14" s="562"/>
      <c r="DF14" s="577"/>
      <c r="DG14" s="504"/>
      <c r="DH14" s="504"/>
      <c r="DI14" s="504"/>
      <c r="DJ14" s="504"/>
      <c r="DK14" s="504"/>
      <c r="DL14" s="504"/>
      <c r="DM14" s="504"/>
      <c r="DN14" s="1018" t="s">
        <v>1059</v>
      </c>
      <c r="DO14" s="1018"/>
      <c r="DP14" s="1018"/>
      <c r="DQ14" s="1018"/>
      <c r="DR14" s="1018"/>
      <c r="DS14" s="1018"/>
      <c r="DT14" s="1018"/>
      <c r="DU14" s="1018"/>
      <c r="DV14" s="1018"/>
      <c r="DW14" s="1018"/>
      <c r="DX14" s="1018"/>
      <c r="DY14" s="1019"/>
      <c r="DZ14" s="577"/>
      <c r="EA14" s="562"/>
      <c r="EB14" s="577"/>
      <c r="EC14" s="516"/>
      <c r="ED14" s="516"/>
      <c r="EE14" s="516"/>
      <c r="EF14" s="516"/>
      <c r="EG14" s="516"/>
      <c r="EH14" s="516"/>
      <c r="EI14" s="516"/>
      <c r="EJ14" s="516"/>
      <c r="EK14" s="516"/>
      <c r="EL14" s="516"/>
      <c r="EM14" s="516"/>
      <c r="EN14" s="516"/>
      <c r="EO14" s="516"/>
      <c r="EP14" s="577"/>
      <c r="EQ14" s="562"/>
      <c r="ES14" s="543"/>
      <c r="ET14" s="555" t="s">
        <v>416</v>
      </c>
      <c r="FI14" s="543" t="s">
        <v>401</v>
      </c>
      <c r="FJ14" s="543" t="e">
        <f>AF29*AB29*AG29</f>
        <v>#VALUE!</v>
      </c>
      <c r="GG14" s="509" t="s">
        <v>448</v>
      </c>
      <c r="GN14" s="498" t="s">
        <v>447</v>
      </c>
      <c r="GQ14" s="498" t="s">
        <v>467</v>
      </c>
      <c r="GU14" s="497" t="s">
        <v>418</v>
      </c>
      <c r="GY14" s="497" t="s">
        <v>469</v>
      </c>
      <c r="HN14" s="497"/>
      <c r="IL14" s="694" t="s">
        <v>907</v>
      </c>
      <c r="IM14" s="581"/>
      <c r="IN14" s="581"/>
      <c r="IO14" s="581"/>
      <c r="IP14" s="581"/>
      <c r="IQ14" s="581"/>
      <c r="IR14" s="569"/>
      <c r="IX14" s="498" t="s">
        <v>484</v>
      </c>
      <c r="IZ14" s="497" t="s">
        <v>484</v>
      </c>
      <c r="JD14" s="498" t="s">
        <v>447</v>
      </c>
      <c r="JG14" s="498" t="s">
        <v>467</v>
      </c>
      <c r="JK14" s="497" t="s">
        <v>418</v>
      </c>
      <c r="JO14" s="497" t="s">
        <v>469</v>
      </c>
      <c r="KB14" s="562"/>
      <c r="KC14" s="562"/>
      <c r="KD14" s="562"/>
      <c r="KE14" s="562"/>
      <c r="KG14" s="514" t="s">
        <v>938</v>
      </c>
      <c r="ML14" s="498"/>
      <c r="MM14" s="543"/>
    </row>
    <row r="15" spans="1:352" ht="11.25" customHeight="1" thickBot="1">
      <c r="A15" s="577"/>
      <c r="B15" s="1075" t="s">
        <v>1035</v>
      </c>
      <c r="C15" s="1076"/>
      <c r="D15" s="1076"/>
      <c r="E15" s="1076"/>
      <c r="F15" s="1076"/>
      <c r="G15" s="1076"/>
      <c r="H15" s="1076"/>
      <c r="I15" s="1076"/>
      <c r="J15" s="1076"/>
      <c r="K15" s="1076"/>
      <c r="L15" s="1076"/>
      <c r="M15" s="1076"/>
      <c r="N15" s="1076"/>
      <c r="O15" s="1076"/>
      <c r="P15" s="1076"/>
      <c r="Q15" s="1076"/>
      <c r="R15" s="1076"/>
      <c r="S15" s="1076"/>
      <c r="T15" s="1077"/>
      <c r="U15" s="577"/>
      <c r="V15" s="562"/>
      <c r="W15" s="577"/>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77"/>
      <c r="AV15" s="562"/>
      <c r="AW15" s="577"/>
      <c r="AX15" s="964" t="s">
        <v>1066</v>
      </c>
      <c r="AY15" s="964"/>
      <c r="AZ15" s="964"/>
      <c r="BA15" s="964"/>
      <c r="BB15" s="964"/>
      <c r="BC15" s="964"/>
      <c r="BD15" s="964"/>
      <c r="BE15" s="964"/>
      <c r="BF15" s="964"/>
      <c r="BG15" s="964"/>
      <c r="BH15" s="964"/>
      <c r="BI15" s="964"/>
      <c r="BJ15" s="964"/>
      <c r="BK15" s="964"/>
      <c r="BL15" s="964"/>
      <c r="BM15" s="964"/>
      <c r="BN15" s="964"/>
      <c r="BO15" s="964"/>
      <c r="BP15" s="964"/>
      <c r="BQ15" s="964"/>
      <c r="BR15" s="577"/>
      <c r="BT15" s="577"/>
      <c r="BU15" s="504"/>
      <c r="BV15" s="504"/>
      <c r="BW15" s="1130" t="s">
        <v>908</v>
      </c>
      <c r="BX15" s="1130"/>
      <c r="BY15" s="1130"/>
      <c r="BZ15" s="1130"/>
      <c r="CA15" s="1130"/>
      <c r="CB15" s="1131"/>
      <c r="CC15" s="733"/>
      <c r="CD15" s="516"/>
      <c r="CE15" s="504"/>
      <c r="CF15" s="504"/>
      <c r="CG15" s="504"/>
      <c r="CH15" s="577"/>
      <c r="CI15" s="562"/>
      <c r="CJ15" s="577"/>
      <c r="CK15" s="504"/>
      <c r="CL15" s="504"/>
      <c r="CM15" s="504"/>
      <c r="CN15" s="504"/>
      <c r="CO15" s="504"/>
      <c r="CP15" s="504"/>
      <c r="CQ15" s="1018" t="s">
        <v>1044</v>
      </c>
      <c r="CR15" s="1018"/>
      <c r="CS15" s="1018"/>
      <c r="CT15" s="1018"/>
      <c r="CU15" s="1018"/>
      <c r="CV15" s="1018"/>
      <c r="CW15" s="1018"/>
      <c r="CX15" s="1018"/>
      <c r="CY15" s="1018"/>
      <c r="CZ15" s="1018"/>
      <c r="DA15" s="1018"/>
      <c r="DB15" s="1018"/>
      <c r="DC15" s="1018"/>
      <c r="DD15" s="577"/>
      <c r="DE15" s="562"/>
      <c r="DF15" s="577"/>
      <c r="DG15" s="504"/>
      <c r="DH15" s="504"/>
      <c r="DI15" s="504"/>
      <c r="DJ15" s="504"/>
      <c r="DK15" s="504"/>
      <c r="DL15" s="504"/>
      <c r="DM15" s="504"/>
      <c r="DN15" s="1018"/>
      <c r="DO15" s="1018"/>
      <c r="DP15" s="1018"/>
      <c r="DQ15" s="1018"/>
      <c r="DR15" s="1018"/>
      <c r="DS15" s="1018"/>
      <c r="DT15" s="1018"/>
      <c r="DU15" s="1018"/>
      <c r="DV15" s="1018"/>
      <c r="DW15" s="1018"/>
      <c r="DX15" s="1018"/>
      <c r="DY15" s="1019"/>
      <c r="DZ15" s="577"/>
      <c r="EA15" s="562"/>
      <c r="EB15" s="577"/>
      <c r="EC15" s="504"/>
      <c r="ED15" s="504"/>
      <c r="EE15" s="504"/>
      <c r="EF15" s="504"/>
      <c r="EG15" s="504"/>
      <c r="EH15" s="504"/>
      <c r="EI15" s="504"/>
      <c r="EJ15" s="504"/>
      <c r="EK15" s="504"/>
      <c r="EL15" s="504"/>
      <c r="EM15" s="504"/>
      <c r="EN15" s="504"/>
      <c r="EO15" s="504"/>
      <c r="EP15" s="577"/>
      <c r="EQ15" s="562"/>
      <c r="ES15" s="543"/>
      <c r="ET15" s="500" t="s">
        <v>421</v>
      </c>
      <c r="FI15" s="543"/>
      <c r="FJ15" s="543"/>
      <c r="GF15" s="509" t="s">
        <v>478</v>
      </c>
      <c r="GG15" s="498" t="s">
        <v>807</v>
      </c>
      <c r="GH15" s="498" t="s">
        <v>441</v>
      </c>
      <c r="GI15" s="498" t="s">
        <v>442</v>
      </c>
      <c r="GJ15" s="498" t="s">
        <v>443</v>
      </c>
      <c r="GK15" s="498" t="s">
        <v>444</v>
      </c>
      <c r="GL15" s="553" t="s">
        <v>445</v>
      </c>
      <c r="GM15" s="498" t="s">
        <v>446</v>
      </c>
      <c r="GN15" s="498" t="s">
        <v>441</v>
      </c>
      <c r="GO15" s="498" t="s">
        <v>443</v>
      </c>
      <c r="GS15" s="497" t="s">
        <v>445</v>
      </c>
      <c r="GT15" s="497" t="s">
        <v>468</v>
      </c>
      <c r="GU15" s="556">
        <v>1</v>
      </c>
      <c r="GV15" s="556">
        <v>2</v>
      </c>
      <c r="GW15" s="556">
        <v>3</v>
      </c>
      <c r="GX15" s="556">
        <v>4</v>
      </c>
      <c r="GY15" s="556">
        <v>1</v>
      </c>
      <c r="GZ15" s="556">
        <v>2</v>
      </c>
      <c r="HA15" s="556">
        <v>3</v>
      </c>
      <c r="HB15" s="556">
        <v>4</v>
      </c>
      <c r="HE15" s="498"/>
      <c r="ID15" s="500"/>
      <c r="IE15" s="500"/>
      <c r="IF15" s="500"/>
      <c r="IG15" s="500"/>
      <c r="IH15" s="500"/>
      <c r="IL15" s="593" t="b">
        <f>AND(ISBLANK(CC15),OR(ISTEXT(CC17),ISNUMBER(CC20)))</f>
        <v>0</v>
      </c>
      <c r="IM15" s="534"/>
      <c r="IN15" s="534"/>
      <c r="IO15" s="534"/>
      <c r="IP15" s="534"/>
      <c r="IQ15" s="534"/>
      <c r="IR15" s="535"/>
      <c r="IV15" s="557" t="s">
        <v>812</v>
      </c>
      <c r="IW15" s="498" t="s">
        <v>807</v>
      </c>
      <c r="IX15" s="498" t="s">
        <v>481</v>
      </c>
      <c r="IY15" s="498" t="s">
        <v>482</v>
      </c>
      <c r="IZ15" s="498" t="s">
        <v>483</v>
      </c>
      <c r="JA15" s="498" t="s">
        <v>444</v>
      </c>
      <c r="JB15" s="553" t="s">
        <v>445</v>
      </c>
      <c r="JC15" s="558" t="s">
        <v>446</v>
      </c>
      <c r="JD15" s="498" t="s">
        <v>481</v>
      </c>
      <c r="JE15" s="498" t="s">
        <v>483</v>
      </c>
      <c r="JI15" s="497" t="s">
        <v>445</v>
      </c>
      <c r="JJ15" s="497" t="s">
        <v>468</v>
      </c>
      <c r="JK15" s="556">
        <v>1</v>
      </c>
      <c r="JL15" s="556">
        <v>2</v>
      </c>
      <c r="JM15" s="556">
        <v>3</v>
      </c>
      <c r="JN15" s="556">
        <v>4</v>
      </c>
      <c r="JO15" s="556">
        <v>1</v>
      </c>
      <c r="JP15" s="556">
        <v>2</v>
      </c>
      <c r="JQ15" s="556">
        <v>3</v>
      </c>
      <c r="JR15" s="556">
        <v>4</v>
      </c>
      <c r="KB15" s="562"/>
      <c r="KC15" s="562"/>
      <c r="KD15" s="562"/>
      <c r="KE15" s="562"/>
      <c r="KG15" s="514" t="s">
        <v>933</v>
      </c>
      <c r="KN15" s="497" t="s">
        <v>467</v>
      </c>
      <c r="KQ15" s="497" t="s">
        <v>418</v>
      </c>
      <c r="KU15" s="497" t="s">
        <v>469</v>
      </c>
      <c r="LD15" s="534"/>
      <c r="LI15" s="694" t="s">
        <v>437</v>
      </c>
      <c r="LJ15" s="581"/>
      <c r="LK15" s="581"/>
      <c r="LL15" s="569"/>
      <c r="ML15" s="498"/>
      <c r="MM15" s="543"/>
    </row>
    <row r="16" spans="1:352" ht="11.25" customHeight="1" thickBot="1">
      <c r="A16" s="577"/>
      <c r="B16" s="762" t="s">
        <v>507</v>
      </c>
      <c r="C16" s="763"/>
      <c r="D16" s="763"/>
      <c r="E16" s="763"/>
      <c r="F16" s="763"/>
      <c r="G16" s="763"/>
      <c r="H16" s="763"/>
      <c r="I16" s="763"/>
      <c r="J16" s="763"/>
      <c r="K16" s="763"/>
      <c r="L16" s="763"/>
      <c r="M16" s="763"/>
      <c r="N16" s="763"/>
      <c r="O16" s="763"/>
      <c r="P16" s="763"/>
      <c r="Q16" s="763"/>
      <c r="R16" s="763"/>
      <c r="S16" s="763"/>
      <c r="T16" s="770" t="s">
        <v>385</v>
      </c>
      <c r="U16" s="577"/>
      <c r="V16" s="562"/>
      <c r="W16" s="577"/>
      <c r="X16" s="964" t="str">
        <f>IF($D$65=6,CONCATENATE(FZ72," ",FZ75," ",FZ76),IF(AND($D$65&lt;4,T52=ET50),CONCATENATE(FZ73," ",FZ75," ",FZ76),IF($T$53=$ET$55,CONCATENATE(FZ74," ",FZ75," ",FZ76),IF(AND($D$65&gt;3,$T$52=$ET$50),$FZ$83,""))))</f>
        <v/>
      </c>
      <c r="Y16" s="964"/>
      <c r="Z16" s="964"/>
      <c r="AA16" s="964"/>
      <c r="AB16" s="964"/>
      <c r="AC16" s="964"/>
      <c r="AD16" s="964"/>
      <c r="AE16" s="504"/>
      <c r="AF16" s="516"/>
      <c r="AG16" s="504"/>
      <c r="AH16" s="504"/>
      <c r="AI16" s="966" t="s">
        <v>740</v>
      </c>
      <c r="AJ16" s="966"/>
      <c r="AK16" s="966"/>
      <c r="AL16" s="966"/>
      <c r="AM16" s="966"/>
      <c r="AN16" s="966"/>
      <c r="AO16" s="966"/>
      <c r="AP16" s="966"/>
      <c r="AQ16" s="966"/>
      <c r="AR16" s="966"/>
      <c r="AS16" s="966"/>
      <c r="AT16" s="966"/>
      <c r="AU16" s="577"/>
      <c r="AV16" s="562"/>
      <c r="AW16" s="577"/>
      <c r="AX16" s="965"/>
      <c r="AY16" s="965"/>
      <c r="AZ16" s="965"/>
      <c r="BA16" s="965"/>
      <c r="BB16" s="965"/>
      <c r="BC16" s="965"/>
      <c r="BD16" s="965"/>
      <c r="BE16" s="965"/>
      <c r="BF16" s="965"/>
      <c r="BG16" s="965"/>
      <c r="BH16" s="965"/>
      <c r="BI16" s="965"/>
      <c r="BJ16" s="965"/>
      <c r="BK16" s="965"/>
      <c r="BL16" s="965"/>
      <c r="BM16" s="965"/>
      <c r="BN16" s="965"/>
      <c r="BO16" s="965"/>
      <c r="BP16" s="965"/>
      <c r="BQ16" s="965"/>
      <c r="BR16" s="577"/>
      <c r="BT16" s="577"/>
      <c r="BU16" s="504"/>
      <c r="BV16" s="504"/>
      <c r="BW16" s="504"/>
      <c r="BX16" s="504"/>
      <c r="BY16" s="504"/>
      <c r="BZ16" s="504"/>
      <c r="CA16" s="504"/>
      <c r="CB16" s="504"/>
      <c r="CC16" s="575"/>
      <c r="CD16" s="504"/>
      <c r="CE16" s="504"/>
      <c r="CF16" s="504"/>
      <c r="CG16" s="504"/>
      <c r="CH16" s="577"/>
      <c r="CI16" s="562"/>
      <c r="CJ16" s="577"/>
      <c r="CK16" s="504"/>
      <c r="CL16" s="504"/>
      <c r="CM16" s="504"/>
      <c r="CN16" s="504"/>
      <c r="CO16" s="504"/>
      <c r="CP16" s="504"/>
      <c r="CQ16" s="1018"/>
      <c r="CR16" s="1018"/>
      <c r="CS16" s="1018"/>
      <c r="CT16" s="1018"/>
      <c r="CU16" s="1018"/>
      <c r="CV16" s="1018"/>
      <c r="CW16" s="1018"/>
      <c r="CX16" s="1018"/>
      <c r="CY16" s="1018"/>
      <c r="CZ16" s="1018"/>
      <c r="DA16" s="1018"/>
      <c r="DB16" s="1018"/>
      <c r="DC16" s="1018"/>
      <c r="DD16" s="577"/>
      <c r="DE16" s="562"/>
      <c r="DF16" s="577"/>
      <c r="DG16" s="504"/>
      <c r="DH16" s="504"/>
      <c r="DI16" s="504"/>
      <c r="DJ16" s="504"/>
      <c r="DK16" s="504"/>
      <c r="DL16" s="504"/>
      <c r="DM16" s="504"/>
      <c r="DN16" s="504"/>
      <c r="DO16" s="504"/>
      <c r="DP16" s="504"/>
      <c r="DQ16" s="504"/>
      <c r="DR16" s="504"/>
      <c r="DS16" s="504"/>
      <c r="DT16" s="504"/>
      <c r="DU16" s="700" t="s">
        <v>1023</v>
      </c>
      <c r="DV16" s="1116"/>
      <c r="DW16" s="1083"/>
      <c r="DX16" s="1083"/>
      <c r="DY16" s="981"/>
      <c r="DZ16" s="577"/>
      <c r="EA16" s="562"/>
      <c r="EB16" s="577"/>
      <c r="EC16" s="504"/>
      <c r="ED16" s="504"/>
      <c r="EE16" s="504"/>
      <c r="EF16" s="504"/>
      <c r="EG16" s="504"/>
      <c r="EH16" s="504"/>
      <c r="EI16" s="504"/>
      <c r="EJ16" s="504"/>
      <c r="EK16" s="504"/>
      <c r="EL16" s="560" t="s">
        <v>1069</v>
      </c>
      <c r="EM16" s="891" t="s">
        <v>1068</v>
      </c>
      <c r="EN16" s="585"/>
      <c r="EO16" s="585"/>
      <c r="EP16" s="577"/>
      <c r="EQ16" s="562"/>
      <c r="ES16" s="543"/>
      <c r="ET16" s="500" t="s">
        <v>422</v>
      </c>
      <c r="FI16" s="543" t="s">
        <v>403</v>
      </c>
      <c r="FJ16" s="543"/>
      <c r="GE16" s="536" t="s">
        <v>679</v>
      </c>
      <c r="GF16" s="536" t="s">
        <v>440</v>
      </c>
      <c r="GG16" s="536" t="s">
        <v>456</v>
      </c>
      <c r="GL16" s="543"/>
      <c r="GM16" s="562"/>
      <c r="GQ16" s="500" t="s">
        <v>717</v>
      </c>
      <c r="GR16" s="500"/>
      <c r="GS16" s="520" t="str">
        <f>BM26</f>
        <v/>
      </c>
      <c r="GT16" s="520">
        <f>IF(OR(GS16="",GS16=0),0,1/GS16)</f>
        <v>0</v>
      </c>
      <c r="GU16" s="563">
        <f>IF($GS16="",0,BN26)</f>
        <v>0</v>
      </c>
      <c r="GV16" s="563">
        <f>IF($GS16="",0,BO26)</f>
        <v>0</v>
      </c>
      <c r="GW16" s="563">
        <f>IF($GS16="",0,BP26)</f>
        <v>0</v>
      </c>
      <c r="GX16" s="563">
        <f>IF($GS16="",0,BQ26)</f>
        <v>0</v>
      </c>
      <c r="GY16" s="520">
        <f>$GT16*GU16</f>
        <v>0</v>
      </c>
      <c r="GZ16" s="520">
        <f t="shared" ref="GZ16:HB16" si="0">$GT16*GV16</f>
        <v>0</v>
      </c>
      <c r="HA16" s="520">
        <f t="shared" si="0"/>
        <v>0</v>
      </c>
      <c r="HB16" s="520">
        <f t="shared" si="0"/>
        <v>0</v>
      </c>
      <c r="HM16" s="694" t="s">
        <v>730</v>
      </c>
      <c r="HN16" s="581"/>
      <c r="HO16" s="581"/>
      <c r="HP16" s="569"/>
      <c r="ID16" s="500"/>
      <c r="IE16" s="500"/>
      <c r="IF16" s="503" t="s">
        <v>476</v>
      </c>
      <c r="IG16" s="703">
        <v>0.05</v>
      </c>
      <c r="IH16" s="500"/>
      <c r="IL16" s="533"/>
      <c r="IM16" s="534"/>
      <c r="IN16" s="534"/>
      <c r="IO16" s="534"/>
      <c r="IP16" s="534"/>
      <c r="IQ16" s="534"/>
      <c r="IR16" s="535"/>
      <c r="IV16" s="536" t="s">
        <v>479</v>
      </c>
      <c r="IW16" s="536" t="s">
        <v>480</v>
      </c>
      <c r="JB16" s="543"/>
      <c r="JC16" s="562"/>
      <c r="JG16" s="500" t="s">
        <v>717</v>
      </c>
      <c r="JH16" s="500"/>
      <c r="JI16" s="520" t="str">
        <f>CY23</f>
        <v/>
      </c>
      <c r="JJ16" s="520">
        <f>IF(OR(JI16="",JI16=0),0,1/JI16)</f>
        <v>0</v>
      </c>
      <c r="JK16" s="500">
        <f>IF($JI16="",0,CZ23)</f>
        <v>0</v>
      </c>
      <c r="JL16" s="500">
        <f>IF($JI16="",0,DA23)</f>
        <v>0</v>
      </c>
      <c r="JM16" s="500">
        <f>IF($JI16="",0,DB23)</f>
        <v>0</v>
      </c>
      <c r="JN16" s="500">
        <f>IF($JI16="",0,DC23)</f>
        <v>0</v>
      </c>
      <c r="JO16" s="520">
        <f>$JJ16*JK16</f>
        <v>0</v>
      </c>
      <c r="JP16" s="520">
        <f t="shared" ref="JP16:JR16" si="1">$JJ16*JL16</f>
        <v>0</v>
      </c>
      <c r="JQ16" s="520">
        <f t="shared" si="1"/>
        <v>0</v>
      </c>
      <c r="JR16" s="520">
        <f t="shared" si="1"/>
        <v>0</v>
      </c>
      <c r="KB16" s="694" t="s">
        <v>741</v>
      </c>
      <c r="KC16" s="581"/>
      <c r="KD16" s="581"/>
      <c r="KE16" s="569"/>
      <c r="KO16" s="497" t="s">
        <v>445</v>
      </c>
      <c r="KP16" s="497" t="s">
        <v>468</v>
      </c>
      <c r="KQ16" s="556">
        <v>1</v>
      </c>
      <c r="KR16" s="556">
        <v>2</v>
      </c>
      <c r="KS16" s="556">
        <v>3</v>
      </c>
      <c r="KT16" s="556">
        <v>4</v>
      </c>
      <c r="KU16" s="556">
        <v>1</v>
      </c>
      <c r="KV16" s="556">
        <v>2</v>
      </c>
      <c r="KW16" s="556">
        <v>3</v>
      </c>
      <c r="KX16" s="556">
        <v>4</v>
      </c>
      <c r="LD16" s="534"/>
      <c r="LI16" s="593" t="b">
        <f>AND(ISBLANK(DV16),LE50&gt;0)</f>
        <v>0</v>
      </c>
      <c r="LJ16" s="594" t="b">
        <f t="shared" ref="LJ16:LL16" si="2">AND(ISBLANK(DW16),LF50&gt;0)</f>
        <v>0</v>
      </c>
      <c r="LK16" s="594" t="b">
        <f t="shared" si="2"/>
        <v>0</v>
      </c>
      <c r="LL16" s="614" t="b">
        <f t="shared" si="2"/>
        <v>0</v>
      </c>
      <c r="ML16" s="498"/>
      <c r="MM16" s="543"/>
    </row>
    <row r="17" spans="1:351" ht="11.25" customHeight="1">
      <c r="A17" s="577"/>
      <c r="B17" s="764" t="s">
        <v>506</v>
      </c>
      <c r="C17" s="765"/>
      <c r="D17" s="765"/>
      <c r="E17" s="765"/>
      <c r="F17" s="765"/>
      <c r="G17" s="765"/>
      <c r="H17" s="765"/>
      <c r="I17" s="765"/>
      <c r="J17" s="765"/>
      <c r="K17" s="765"/>
      <c r="L17" s="765"/>
      <c r="M17" s="765"/>
      <c r="N17" s="765"/>
      <c r="O17" s="765"/>
      <c r="P17" s="765"/>
      <c r="Q17" s="765"/>
      <c r="R17" s="765"/>
      <c r="S17" s="765"/>
      <c r="T17" s="766" t="str">
        <f>$ET$54</f>
        <v>Applies</v>
      </c>
      <c r="U17" s="577"/>
      <c r="V17" s="562"/>
      <c r="W17" s="577"/>
      <c r="X17" s="964"/>
      <c r="Y17" s="964"/>
      <c r="Z17" s="964"/>
      <c r="AA17" s="964"/>
      <c r="AB17" s="964"/>
      <c r="AC17" s="964"/>
      <c r="AD17" s="964"/>
      <c r="AE17" s="504"/>
      <c r="AF17" s="516"/>
      <c r="AG17" s="504"/>
      <c r="AH17" s="504"/>
      <c r="AI17" s="1124" t="s">
        <v>531</v>
      </c>
      <c r="AJ17" s="1125"/>
      <c r="AK17" s="1125"/>
      <c r="AL17" s="1125"/>
      <c r="AM17" s="1125"/>
      <c r="AN17" s="1125"/>
      <c r="AO17" s="1125"/>
      <c r="AP17" s="1125"/>
      <c r="AQ17" s="1125"/>
      <c r="AR17" s="1125"/>
      <c r="AS17" s="1125"/>
      <c r="AT17" s="1125"/>
      <c r="AU17" s="577"/>
      <c r="AV17" s="562"/>
      <c r="AW17" s="577"/>
      <c r="AX17" s="516"/>
      <c r="AY17" s="516"/>
      <c r="AZ17" s="516"/>
      <c r="BA17" s="516"/>
      <c r="BB17" s="516"/>
      <c r="BC17" s="516"/>
      <c r="BD17" s="516"/>
      <c r="BE17" s="516"/>
      <c r="BF17" s="516"/>
      <c r="BG17" s="516"/>
      <c r="BH17" s="516"/>
      <c r="BI17" s="516"/>
      <c r="BJ17" s="516"/>
      <c r="BK17" s="516"/>
      <c r="BL17" s="516"/>
      <c r="BM17" s="516"/>
      <c r="BN17" s="516"/>
      <c r="BO17" s="516"/>
      <c r="BP17" s="516"/>
      <c r="BQ17" s="516"/>
      <c r="BR17" s="577"/>
      <c r="BT17" s="577"/>
      <c r="BU17" s="504"/>
      <c r="BV17" s="504"/>
      <c r="BW17" s="967" t="s">
        <v>1101</v>
      </c>
      <c r="BX17" s="967"/>
      <c r="BY17" s="967"/>
      <c r="BZ17" s="967"/>
      <c r="CA17" s="967"/>
      <c r="CB17" s="968"/>
      <c r="CC17" s="969"/>
      <c r="CD17" s="970"/>
      <c r="CE17" s="970"/>
      <c r="CF17" s="970"/>
      <c r="CG17" s="971"/>
      <c r="CH17" s="577"/>
      <c r="CI17" s="562"/>
      <c r="CJ17" s="577"/>
      <c r="CK17" s="516"/>
      <c r="CL17" s="516"/>
      <c r="CM17" s="504"/>
      <c r="CN17" s="504"/>
      <c r="CO17" s="504"/>
      <c r="CP17" s="504"/>
      <c r="CQ17" s="504"/>
      <c r="CR17" s="504"/>
      <c r="CS17" s="504"/>
      <c r="CT17" s="504"/>
      <c r="CU17" s="504"/>
      <c r="CV17" s="504"/>
      <c r="CW17" s="504"/>
      <c r="CX17" s="504"/>
      <c r="CY17" s="700" t="s">
        <v>1023</v>
      </c>
      <c r="CZ17" s="1007"/>
      <c r="DA17" s="1010"/>
      <c r="DB17" s="1010"/>
      <c r="DC17" s="1013"/>
      <c r="DD17" s="577"/>
      <c r="DE17" s="562"/>
      <c r="DF17" s="577"/>
      <c r="DG17" s="504"/>
      <c r="DH17" s="504"/>
      <c r="DI17" s="504"/>
      <c r="DJ17" s="504"/>
      <c r="DK17" s="504"/>
      <c r="DL17" s="504"/>
      <c r="DM17" s="504"/>
      <c r="DN17" s="504"/>
      <c r="DO17" s="504"/>
      <c r="DP17" s="504"/>
      <c r="DQ17" s="504"/>
      <c r="DR17" s="504"/>
      <c r="DS17" s="504"/>
      <c r="DT17" s="504"/>
      <c r="DU17" s="504"/>
      <c r="DV17" s="1117"/>
      <c r="DW17" s="1084"/>
      <c r="DX17" s="1084"/>
      <c r="DY17" s="982"/>
      <c r="DZ17" s="577"/>
      <c r="EA17" s="562"/>
      <c r="EB17" s="577"/>
      <c r="EC17" s="504"/>
      <c r="ED17" s="504"/>
      <c r="EE17" s="504"/>
      <c r="EF17" s="504"/>
      <c r="EG17" s="504"/>
      <c r="EH17" s="504"/>
      <c r="EI17" s="504"/>
      <c r="EJ17" s="504"/>
      <c r="EK17" s="504"/>
      <c r="EL17" s="504"/>
      <c r="EM17" s="517"/>
      <c r="EN17" s="516"/>
      <c r="EO17" s="516"/>
      <c r="EP17" s="577"/>
      <c r="EQ17" s="562"/>
      <c r="ES17" s="543"/>
      <c r="ET17" s="500" t="s">
        <v>423</v>
      </c>
      <c r="FI17" s="543" t="s">
        <v>399</v>
      </c>
      <c r="FJ17" s="543">
        <f>AF29*2*AG23</f>
        <v>0</v>
      </c>
      <c r="GE17" s="564" t="s">
        <v>699</v>
      </c>
      <c r="GF17" s="504" t="s">
        <v>700</v>
      </c>
      <c r="GG17" s="504">
        <v>0.04</v>
      </c>
      <c r="GH17" s="565">
        <v>0.02</v>
      </c>
      <c r="GI17" s="504">
        <v>0.19</v>
      </c>
      <c r="GJ17" s="504">
        <v>0.06</v>
      </c>
      <c r="GK17" s="504">
        <v>0.16</v>
      </c>
      <c r="GL17" s="566">
        <f>SUM(GG17:GK17)</f>
        <v>0.47</v>
      </c>
      <c r="GM17" s="567">
        <f>GL19-0.22+0.19</f>
        <v>0.47000000000000003</v>
      </c>
      <c r="GN17" s="504">
        <f>SUM(GG17:GI17)</f>
        <v>0.25</v>
      </c>
      <c r="GO17" s="504">
        <f>SUM(GI17:GK17)</f>
        <v>0.41000000000000003</v>
      </c>
      <c r="GQ17" s="500"/>
      <c r="GR17" s="500" t="s">
        <v>842</v>
      </c>
      <c r="GS17" s="520" t="str">
        <f>IF(BM31=$ET$13,BM26,BM31)</f>
        <v/>
      </c>
      <c r="GT17" s="520">
        <f t="shared" ref="GT17:GT23" si="3">IF(OR(GS17="",GS17=0),0,1/GS17)</f>
        <v>0</v>
      </c>
      <c r="GU17" s="563">
        <f>IF($GS17="",0,BN31)</f>
        <v>0</v>
      </c>
      <c r="GV17" s="563">
        <f>IF($GS17="",0,BO31)</f>
        <v>0</v>
      </c>
      <c r="GW17" s="563">
        <f>IF($GS17="",0,BP31)</f>
        <v>0</v>
      </c>
      <c r="GX17" s="563">
        <f>IF($GS17="",0,BQ31)</f>
        <v>0</v>
      </c>
      <c r="GY17" s="520">
        <f t="shared" ref="GY17:GY23" si="4">$GT17*GU17</f>
        <v>0</v>
      </c>
      <c r="GZ17" s="520">
        <f t="shared" ref="GZ17:GZ23" si="5">$GT17*GV17</f>
        <v>0</v>
      </c>
      <c r="HA17" s="520">
        <f t="shared" ref="HA17:HA23" si="6">$GT17*GW17</f>
        <v>0</v>
      </c>
      <c r="HB17" s="520">
        <f t="shared" ref="HB17:HB23" si="7">$GT17*GX17</f>
        <v>0</v>
      </c>
      <c r="HD17" s="534"/>
      <c r="HE17" s="534"/>
      <c r="HF17" s="534"/>
      <c r="HG17" s="534"/>
      <c r="HH17" s="534"/>
      <c r="HI17" s="534"/>
      <c r="HJ17" s="534"/>
      <c r="HK17" s="534"/>
      <c r="HL17" s="534"/>
      <c r="HM17" s="593" t="b">
        <f>AND(ISBLANK(BN20),HI66&gt;0)</f>
        <v>0</v>
      </c>
      <c r="HN17" s="594" t="b">
        <f t="shared" ref="HN17:HP17" si="8">AND(ISBLANK(BO20),HJ66&gt;0)</f>
        <v>0</v>
      </c>
      <c r="HO17" s="594" t="b">
        <f t="shared" si="8"/>
        <v>0</v>
      </c>
      <c r="HP17" s="594" t="b">
        <f t="shared" si="8"/>
        <v>0</v>
      </c>
      <c r="HQ17" s="533"/>
      <c r="ID17" s="500"/>
      <c r="IE17" s="500"/>
      <c r="IF17" s="503" t="s">
        <v>477</v>
      </c>
      <c r="IG17" s="704">
        <v>7.4999999999999997E-2</v>
      </c>
      <c r="IH17" s="500"/>
      <c r="IL17" s="593" t="b">
        <f>AND(ISBLANK(CC17),OR(ISTEXT(CC15),ISNUMBER(CC20)))</f>
        <v>0</v>
      </c>
      <c r="IM17" s="534"/>
      <c r="IN17" s="534"/>
      <c r="IO17" s="534"/>
      <c r="IP17" s="534"/>
      <c r="IQ17" s="534"/>
      <c r="IR17" s="535"/>
      <c r="IV17" s="500" t="s">
        <v>814</v>
      </c>
      <c r="IW17" s="526">
        <v>0.04</v>
      </c>
      <c r="IX17" s="526">
        <v>0.09</v>
      </c>
      <c r="IY17" s="526">
        <v>0.17</v>
      </c>
      <c r="IZ17" s="526">
        <v>0.06</v>
      </c>
      <c r="JA17" s="526">
        <v>0.12</v>
      </c>
      <c r="JB17" s="543">
        <f>SUM(IW17:JA17)</f>
        <v>0.48000000000000004</v>
      </c>
      <c r="JC17" s="562">
        <v>0.48</v>
      </c>
      <c r="JD17" s="526">
        <f>SUM(IW17:IY17)</f>
        <v>0.30000000000000004</v>
      </c>
      <c r="JE17" s="526">
        <f>SUM(IY17:JA17)</f>
        <v>0.35</v>
      </c>
      <c r="JG17" s="500"/>
      <c r="JH17" s="500" t="s">
        <v>842</v>
      </c>
      <c r="JI17" s="520" t="str">
        <f>IF(CY28=$ET$13,CY23,CY28)</f>
        <v/>
      </c>
      <c r="JJ17" s="520">
        <f t="shared" ref="JJ17:JJ23" si="9">IF(OR(JI17="",JI17=0),0,1/JI17)</f>
        <v>0</v>
      </c>
      <c r="JK17" s="500">
        <f>IF($JI17="",0,CZ28)</f>
        <v>0</v>
      </c>
      <c r="JL17" s="500">
        <f>IF($JI17="",0,DA28)</f>
        <v>0</v>
      </c>
      <c r="JM17" s="500">
        <f>IF($JI17="",0,DB28)</f>
        <v>0</v>
      </c>
      <c r="JN17" s="500">
        <f>IF($JI17="",0,DC28)</f>
        <v>0</v>
      </c>
      <c r="JO17" s="520">
        <f t="shared" ref="JO17:JO23" si="10">$JJ17*JK17</f>
        <v>0</v>
      </c>
      <c r="JP17" s="520">
        <f t="shared" ref="JP17:JP23" si="11">$JJ17*JL17</f>
        <v>0</v>
      </c>
      <c r="JQ17" s="520">
        <f t="shared" ref="JQ17:JQ23" si="12">$JJ17*JM17</f>
        <v>0</v>
      </c>
      <c r="JR17" s="520">
        <f t="shared" ref="JR17:JR23" si="13">$JJ17*JN17</f>
        <v>0</v>
      </c>
      <c r="KB17" s="593" t="b">
        <f>AND(ISBLANK(CZ17),JX65&gt;0)</f>
        <v>0</v>
      </c>
      <c r="KC17" s="594" t="b">
        <f t="shared" ref="KC17:KE17" si="14">AND(ISBLANK(DA17),JY65&gt;0)</f>
        <v>0</v>
      </c>
      <c r="KD17" s="594" t="b">
        <f t="shared" si="14"/>
        <v>0</v>
      </c>
      <c r="KE17" s="614" t="b">
        <f t="shared" si="14"/>
        <v>0</v>
      </c>
      <c r="KG17" s="498" t="s">
        <v>946</v>
      </c>
      <c r="KH17" s="536" t="s">
        <v>948</v>
      </c>
      <c r="KN17" s="500" t="s">
        <v>717</v>
      </c>
      <c r="KO17" s="563" t="str">
        <f>DU22</f>
        <v/>
      </c>
      <c r="KP17" s="520">
        <f>IF(OR(KO17="",KO17=0),0,1/KO17)</f>
        <v>0</v>
      </c>
      <c r="KQ17" s="563">
        <f>IF($KO17="",0,DV22)</f>
        <v>0</v>
      </c>
      <c r="KR17" s="563">
        <f>IF($KO17="",0,DW22)</f>
        <v>0</v>
      </c>
      <c r="KS17" s="563">
        <f>IF($KO17="",0,DX22)</f>
        <v>0</v>
      </c>
      <c r="KT17" s="563">
        <f>IF($KO17="",0,DY22)</f>
        <v>0</v>
      </c>
      <c r="KU17" s="520">
        <f>$KP17*KQ17</f>
        <v>0</v>
      </c>
      <c r="KV17" s="520">
        <f t="shared" ref="KV17:KX20" si="15">$KP17*KR17</f>
        <v>0</v>
      </c>
      <c r="KW17" s="520">
        <f t="shared" si="15"/>
        <v>0</v>
      </c>
      <c r="KX17" s="520">
        <f t="shared" si="15"/>
        <v>0</v>
      </c>
      <c r="LD17" s="534"/>
      <c r="LI17" s="533"/>
      <c r="LJ17" s="534"/>
      <c r="LK17" s="534"/>
      <c r="LL17" s="535"/>
      <c r="ML17" s="498"/>
      <c r="MM17" s="543"/>
    </row>
    <row r="18" spans="1:351" ht="11.25" customHeight="1" thickBot="1">
      <c r="A18" s="577"/>
      <c r="B18" s="767" t="s">
        <v>520</v>
      </c>
      <c r="C18" s="768"/>
      <c r="D18" s="768"/>
      <c r="E18" s="768"/>
      <c r="F18" s="768"/>
      <c r="G18" s="768"/>
      <c r="H18" s="768"/>
      <c r="I18" s="768"/>
      <c r="J18" s="768"/>
      <c r="K18" s="768"/>
      <c r="L18" s="768"/>
      <c r="M18" s="768"/>
      <c r="N18" s="768"/>
      <c r="O18" s="768"/>
      <c r="P18" s="768"/>
      <c r="Q18" s="768"/>
      <c r="R18" s="768"/>
      <c r="S18" s="768"/>
      <c r="T18" s="769" t="str">
        <f>$ET$54</f>
        <v>Applies</v>
      </c>
      <c r="U18" s="577"/>
      <c r="V18" s="562"/>
      <c r="W18" s="577"/>
      <c r="X18" s="964"/>
      <c r="Y18" s="964"/>
      <c r="Z18" s="964"/>
      <c r="AA18" s="964"/>
      <c r="AB18" s="964"/>
      <c r="AC18" s="964"/>
      <c r="AD18" s="964"/>
      <c r="AE18" s="504"/>
      <c r="AF18" s="1104" t="s">
        <v>554</v>
      </c>
      <c r="AG18" s="1104"/>
      <c r="AH18" s="504"/>
      <c r="AI18" s="1023"/>
      <c r="AJ18" s="1023"/>
      <c r="AK18" s="1023"/>
      <c r="AL18" s="1023"/>
      <c r="AM18" s="1023"/>
      <c r="AN18" s="1023"/>
      <c r="AO18" s="1023"/>
      <c r="AP18" s="1023"/>
      <c r="AQ18" s="1023"/>
      <c r="AR18" s="1023"/>
      <c r="AS18" s="1023"/>
      <c r="AT18" s="1023"/>
      <c r="AU18" s="577"/>
      <c r="AV18" s="562"/>
      <c r="AW18" s="577"/>
      <c r="AX18" s="504"/>
      <c r="AY18" s="504"/>
      <c r="AZ18" s="504"/>
      <c r="BA18" s="504"/>
      <c r="BB18" s="504"/>
      <c r="BC18" s="504"/>
      <c r="BD18" s="504"/>
      <c r="BE18" s="1018" t="s">
        <v>1018</v>
      </c>
      <c r="BF18" s="1018"/>
      <c r="BG18" s="1018"/>
      <c r="BH18" s="1018"/>
      <c r="BI18" s="1018"/>
      <c r="BJ18" s="1018"/>
      <c r="BK18" s="1018"/>
      <c r="BL18" s="1018"/>
      <c r="BM18" s="1018"/>
      <c r="BN18" s="1018"/>
      <c r="BO18" s="1018"/>
      <c r="BP18" s="1018"/>
      <c r="BQ18" s="1018"/>
      <c r="BR18" s="577"/>
      <c r="BT18" s="577"/>
      <c r="BU18" s="504"/>
      <c r="BV18" s="701"/>
      <c r="BW18" s="967"/>
      <c r="BX18" s="967"/>
      <c r="BY18" s="967"/>
      <c r="BZ18" s="967"/>
      <c r="CA18" s="967"/>
      <c r="CB18" s="968"/>
      <c r="CC18" s="504"/>
      <c r="CD18" s="504"/>
      <c r="CE18" s="504"/>
      <c r="CF18" s="504"/>
      <c r="CG18" s="504"/>
      <c r="CH18" s="577"/>
      <c r="CI18" s="562"/>
      <c r="CJ18" s="577"/>
      <c r="CK18" s="1089" t="str">
        <f>IF(AND($T$52=$ET$50,OR($D$65=1,$D$65=3)),CONCATENATE($FZ$73," ",$FZ$80),"")</f>
        <v/>
      </c>
      <c r="CL18" s="1089"/>
      <c r="CM18" s="1089"/>
      <c r="CN18" s="1089"/>
      <c r="CO18" s="1089"/>
      <c r="CP18" s="1089"/>
      <c r="CQ18" s="1089"/>
      <c r="CR18" s="1089"/>
      <c r="CS18" s="1089"/>
      <c r="CT18" s="1089"/>
      <c r="CU18" s="1089"/>
      <c r="CV18" s="504"/>
      <c r="CW18" s="504"/>
      <c r="CX18" s="504"/>
      <c r="CY18" s="504"/>
      <c r="CZ18" s="1008"/>
      <c r="DA18" s="1011"/>
      <c r="DB18" s="1011"/>
      <c r="DC18" s="1014"/>
      <c r="DD18" s="577"/>
      <c r="DE18" s="562"/>
      <c r="DF18" s="577"/>
      <c r="DG18" s="504"/>
      <c r="DH18" s="504"/>
      <c r="DI18" s="504"/>
      <c r="DJ18" s="504"/>
      <c r="DK18" s="504"/>
      <c r="DL18" s="504"/>
      <c r="DM18" s="504"/>
      <c r="DN18" s="504"/>
      <c r="DO18" s="504"/>
      <c r="DP18" s="504"/>
      <c r="DQ18" s="504"/>
      <c r="DR18" s="504"/>
      <c r="DS18" s="504"/>
      <c r="DT18" s="504"/>
      <c r="DU18" s="504"/>
      <c r="DV18" s="1117"/>
      <c r="DW18" s="1084"/>
      <c r="DX18" s="1084"/>
      <c r="DY18" s="982"/>
      <c r="DZ18" s="577"/>
      <c r="EA18" s="562"/>
      <c r="EB18" s="577"/>
      <c r="EC18" s="504"/>
      <c r="ED18" s="504"/>
      <c r="EE18" s="504"/>
      <c r="EF18" s="504"/>
      <c r="EG18" s="504"/>
      <c r="EH18" s="504"/>
      <c r="EI18" s="504"/>
      <c r="EJ18" s="504"/>
      <c r="EK18" s="504"/>
      <c r="EL18" s="504"/>
      <c r="EM18" s="517"/>
      <c r="EN18" s="516"/>
      <c r="EO18" s="516"/>
      <c r="EP18" s="577"/>
      <c r="EQ18" s="562"/>
      <c r="ES18" s="543"/>
      <c r="ET18" s="500" t="s">
        <v>59</v>
      </c>
      <c r="FI18" s="543" t="s">
        <v>400</v>
      </c>
      <c r="FJ18" s="543" t="e">
        <f>AB29*AG29*2*AG23</f>
        <v>#VALUE!</v>
      </c>
      <c r="GE18" s="564" t="s">
        <v>698</v>
      </c>
      <c r="GF18" s="504" t="s">
        <v>701</v>
      </c>
      <c r="GG18" s="504">
        <v>0.04</v>
      </c>
      <c r="GH18" s="565">
        <v>0.02</v>
      </c>
      <c r="GI18" s="565">
        <v>0</v>
      </c>
      <c r="GJ18" s="504">
        <v>0.06</v>
      </c>
      <c r="GK18" s="504">
        <v>0.11</v>
      </c>
      <c r="GL18" s="566">
        <f t="shared" ref="GL18:GL40" si="16">SUM(GG18:GK18)</f>
        <v>0.22999999999999998</v>
      </c>
      <c r="GM18" s="526">
        <f>GM20-0.15</f>
        <v>0.23</v>
      </c>
      <c r="GN18" s="504">
        <f t="shared" ref="GN18:GN40" si="17">SUM(GG18:GI18)</f>
        <v>0.06</v>
      </c>
      <c r="GO18" s="504">
        <f t="shared" ref="GO18:GO40" si="18">SUM(GI18:GK18)</f>
        <v>0.16999999999999998</v>
      </c>
      <c r="GQ18" s="500"/>
      <c r="GR18" s="500" t="s">
        <v>843</v>
      </c>
      <c r="GS18" s="520" t="str">
        <f>IF(BM36=$ET$13,BM26,BM36)</f>
        <v/>
      </c>
      <c r="GT18" s="520">
        <f t="shared" si="3"/>
        <v>0</v>
      </c>
      <c r="GU18" s="563">
        <f>IF($GS18="",0,BN36)</f>
        <v>0</v>
      </c>
      <c r="GV18" s="563">
        <f>IF($GS18="",0,BO36)</f>
        <v>0</v>
      </c>
      <c r="GW18" s="563">
        <f>IF($GS18="",0,BP36)</f>
        <v>0</v>
      </c>
      <c r="GX18" s="563">
        <f>IF($GS18="",0,BQ36)</f>
        <v>0</v>
      </c>
      <c r="GY18" s="520">
        <f t="shared" si="4"/>
        <v>0</v>
      </c>
      <c r="GZ18" s="520">
        <f t="shared" si="5"/>
        <v>0</v>
      </c>
      <c r="HA18" s="520">
        <f t="shared" si="6"/>
        <v>0</v>
      </c>
      <c r="HB18" s="520">
        <f t="shared" si="7"/>
        <v>0</v>
      </c>
      <c r="HD18" s="534"/>
      <c r="HE18" s="534"/>
      <c r="HF18" s="534"/>
      <c r="HG18" s="534"/>
      <c r="HH18" s="534"/>
      <c r="HI18" s="534"/>
      <c r="HJ18" s="534"/>
      <c r="HK18" s="534"/>
      <c r="HL18" s="534"/>
      <c r="HM18" s="533"/>
      <c r="HN18" s="830"/>
      <c r="HO18" s="534"/>
      <c r="HP18" s="535"/>
      <c r="ID18" s="500"/>
      <c r="IE18" s="500"/>
      <c r="IF18" s="500"/>
      <c r="IG18" s="500"/>
      <c r="IH18" s="500"/>
      <c r="IL18" s="533"/>
      <c r="IM18" s="534"/>
      <c r="IN18" s="534"/>
      <c r="IO18" s="534"/>
      <c r="IP18" s="534"/>
      <c r="IQ18" s="534"/>
      <c r="IR18" s="535"/>
      <c r="IV18" s="500" t="s">
        <v>815</v>
      </c>
      <c r="IW18" s="526">
        <v>0.04</v>
      </c>
      <c r="IX18" s="526">
        <v>0.03</v>
      </c>
      <c r="IY18" s="526">
        <v>0.17</v>
      </c>
      <c r="IZ18" s="526">
        <v>0.06</v>
      </c>
      <c r="JA18" s="526">
        <v>0.12</v>
      </c>
      <c r="JB18" s="543">
        <f>SUM(IW18:JA18)</f>
        <v>0.42000000000000004</v>
      </c>
      <c r="JC18" s="562">
        <v>0.42</v>
      </c>
      <c r="JD18" s="526">
        <f>SUM(IW18:IY18)</f>
        <v>0.24000000000000002</v>
      </c>
      <c r="JE18" s="526">
        <f>SUM(IY18:JA18)</f>
        <v>0.35</v>
      </c>
      <c r="JG18" s="500"/>
      <c r="JH18" s="500" t="s">
        <v>843</v>
      </c>
      <c r="JI18" s="520" t="str">
        <f>IF(CY32=$ET$13,CY23,CY32)</f>
        <v/>
      </c>
      <c r="JJ18" s="520">
        <f t="shared" si="9"/>
        <v>0</v>
      </c>
      <c r="JK18" s="500">
        <f>IF($JI18="",0,CZ32)</f>
        <v>0</v>
      </c>
      <c r="JL18" s="500">
        <f>IF($JI18="",0,DA32)</f>
        <v>0</v>
      </c>
      <c r="JM18" s="500">
        <f>IF($JI18="",0,DB32)</f>
        <v>0</v>
      </c>
      <c r="JN18" s="500">
        <f>IF($JI18="",0,DC32)</f>
        <v>0</v>
      </c>
      <c r="JO18" s="520">
        <f t="shared" si="10"/>
        <v>0</v>
      </c>
      <c r="JP18" s="520">
        <f t="shared" si="11"/>
        <v>0</v>
      </c>
      <c r="JQ18" s="520">
        <f t="shared" si="12"/>
        <v>0</v>
      </c>
      <c r="JR18" s="520">
        <f t="shared" si="13"/>
        <v>0</v>
      </c>
      <c r="JT18" s="534"/>
      <c r="JU18" s="534"/>
      <c r="JV18" s="534"/>
      <c r="JW18" s="534"/>
      <c r="KB18" s="533"/>
      <c r="KC18" s="534"/>
      <c r="KD18" s="534"/>
      <c r="KE18" s="535"/>
      <c r="KG18" s="497" t="s">
        <v>938</v>
      </c>
      <c r="KH18" s="536" t="s">
        <v>953</v>
      </c>
      <c r="KL18" s="578" t="s">
        <v>1087</v>
      </c>
      <c r="KN18" s="500" t="s">
        <v>718</v>
      </c>
      <c r="KO18" s="563" t="str">
        <f>DU28</f>
        <v/>
      </c>
      <c r="KP18" s="520">
        <f t="shared" ref="KP18:KP20" si="19">IF(OR(KO18="",KO18=0),0,1/KO18)</f>
        <v>0</v>
      </c>
      <c r="KQ18" s="563">
        <f>IF($KO18="",0,DV28)</f>
        <v>0</v>
      </c>
      <c r="KR18" s="563">
        <f>IF($KO18="",0,DW28)</f>
        <v>0</v>
      </c>
      <c r="KS18" s="563">
        <f>IF($KO18="",0,DX28)</f>
        <v>0</v>
      </c>
      <c r="KT18" s="563">
        <f>IF($KO18="",0,DY28)</f>
        <v>0</v>
      </c>
      <c r="KU18" s="520">
        <f t="shared" ref="KU18:KU20" si="20">$KP18*KQ18</f>
        <v>0</v>
      </c>
      <c r="KV18" s="520">
        <f t="shared" si="15"/>
        <v>0</v>
      </c>
      <c r="KW18" s="520">
        <f t="shared" si="15"/>
        <v>0</v>
      </c>
      <c r="KX18" s="520">
        <f t="shared" si="15"/>
        <v>0</v>
      </c>
      <c r="LD18" s="534"/>
      <c r="LI18" s="533"/>
      <c r="LJ18" s="534"/>
      <c r="LK18" s="534"/>
      <c r="LL18" s="535"/>
      <c r="ML18" s="498"/>
      <c r="MM18" s="543"/>
    </row>
    <row r="19" spans="1:351" ht="11.25" customHeight="1" thickBot="1">
      <c r="A19" s="577"/>
      <c r="B19" s="605"/>
      <c r="C19" s="504"/>
      <c r="D19" s="504"/>
      <c r="E19" s="504"/>
      <c r="F19" s="504"/>
      <c r="G19" s="504"/>
      <c r="H19" s="504"/>
      <c r="I19" s="504"/>
      <c r="J19" s="504"/>
      <c r="K19" s="504"/>
      <c r="L19" s="504"/>
      <c r="M19" s="504"/>
      <c r="N19" s="504"/>
      <c r="O19" s="504"/>
      <c r="P19" s="504"/>
      <c r="Q19" s="504"/>
      <c r="R19" s="504"/>
      <c r="S19" s="504"/>
      <c r="T19" s="504"/>
      <c r="U19" s="577"/>
      <c r="V19" s="562"/>
      <c r="W19" s="577"/>
      <c r="X19" s="964"/>
      <c r="Y19" s="964"/>
      <c r="Z19" s="964"/>
      <c r="AA19" s="964"/>
      <c r="AB19" s="964"/>
      <c r="AC19" s="964"/>
      <c r="AD19" s="964"/>
      <c r="AE19" s="504"/>
      <c r="AF19" s="1104"/>
      <c r="AG19" s="1104"/>
      <c r="AH19" s="504"/>
      <c r="AI19" s="1024"/>
      <c r="AJ19" s="1024"/>
      <c r="AK19" s="1024"/>
      <c r="AL19" s="1024"/>
      <c r="AM19" s="1024"/>
      <c r="AN19" s="1024"/>
      <c r="AO19" s="1024"/>
      <c r="AP19" s="1024"/>
      <c r="AQ19" s="1024"/>
      <c r="AR19" s="1024"/>
      <c r="AS19" s="1024"/>
      <c r="AT19" s="1024"/>
      <c r="AU19" s="577"/>
      <c r="AV19" s="562"/>
      <c r="AW19" s="577"/>
      <c r="AX19" s="504"/>
      <c r="AY19" s="504"/>
      <c r="AZ19" s="504"/>
      <c r="BA19" s="504"/>
      <c r="BB19" s="504"/>
      <c r="BC19" s="504"/>
      <c r="BD19" s="504"/>
      <c r="BE19" s="1018"/>
      <c r="BF19" s="1018"/>
      <c r="BG19" s="1018"/>
      <c r="BH19" s="1018"/>
      <c r="BI19" s="1018"/>
      <c r="BJ19" s="1018"/>
      <c r="BK19" s="1018"/>
      <c r="BL19" s="1018"/>
      <c r="BM19" s="1018"/>
      <c r="BN19" s="1018"/>
      <c r="BO19" s="1018"/>
      <c r="BP19" s="1018"/>
      <c r="BQ19" s="1018"/>
      <c r="BR19" s="577"/>
      <c r="BT19" s="577"/>
      <c r="BU19" s="570"/>
      <c r="BV19" s="570"/>
      <c r="BW19" s="570"/>
      <c r="BX19" s="570"/>
      <c r="BY19" s="570"/>
      <c r="BZ19" s="570"/>
      <c r="CA19" s="570"/>
      <c r="CB19" s="504"/>
      <c r="CC19" s="517"/>
      <c r="CD19" s="516"/>
      <c r="CE19" s="504"/>
      <c r="CF19" s="504"/>
      <c r="CG19" s="504"/>
      <c r="CH19" s="577"/>
      <c r="CI19" s="562"/>
      <c r="CJ19" s="577"/>
      <c r="CK19" s="516"/>
      <c r="CL19" s="516"/>
      <c r="CM19" s="516"/>
      <c r="CN19" s="516"/>
      <c r="CO19" s="516"/>
      <c r="CP19" s="516"/>
      <c r="CQ19" s="516"/>
      <c r="CR19" s="516"/>
      <c r="CS19" s="516"/>
      <c r="CT19" s="516"/>
      <c r="CU19" s="516"/>
      <c r="CV19" s="516"/>
      <c r="CW19" s="516"/>
      <c r="CX19" s="516"/>
      <c r="CY19" s="516"/>
      <c r="CZ19" s="1008"/>
      <c r="DA19" s="1011"/>
      <c r="DB19" s="1011"/>
      <c r="DC19" s="1014"/>
      <c r="DD19" s="577"/>
      <c r="DE19" s="562"/>
      <c r="DF19" s="577"/>
      <c r="DG19" s="504"/>
      <c r="DH19" s="504"/>
      <c r="DI19" s="504"/>
      <c r="DJ19" s="504"/>
      <c r="DK19" s="504"/>
      <c r="DL19" s="504"/>
      <c r="DM19" s="504"/>
      <c r="DN19" s="504"/>
      <c r="DO19" s="504"/>
      <c r="DP19" s="504"/>
      <c r="DQ19" s="504"/>
      <c r="DR19" s="504"/>
      <c r="DS19" s="974" t="s">
        <v>643</v>
      </c>
      <c r="DT19" s="519"/>
      <c r="DU19" s="1016" t="s">
        <v>979</v>
      </c>
      <c r="DV19" s="1118"/>
      <c r="DW19" s="1085"/>
      <c r="DX19" s="1085"/>
      <c r="DY19" s="983"/>
      <c r="DZ19" s="577"/>
      <c r="EA19" s="562"/>
      <c r="EB19" s="577"/>
      <c r="EC19" s="884" t="s">
        <v>494</v>
      </c>
      <c r="ED19" s="885"/>
      <c r="EE19" s="885"/>
      <c r="EF19" s="885"/>
      <c r="EG19" s="885"/>
      <c r="EH19" s="885"/>
      <c r="EI19" s="886"/>
      <c r="EJ19" s="886"/>
      <c r="EK19" s="886"/>
      <c r="EL19" s="886"/>
      <c r="EM19" s="609"/>
      <c r="EN19" s="516"/>
      <c r="EO19" s="516"/>
      <c r="EP19" s="577"/>
      <c r="EQ19" s="562"/>
      <c r="ES19" s="543"/>
      <c r="ET19" s="500" t="s">
        <v>60</v>
      </c>
      <c r="FI19" s="543"/>
      <c r="FJ19" s="747" t="e">
        <f>SUM(FJ17:FJ18)</f>
        <v>#VALUE!</v>
      </c>
      <c r="GE19" s="564" t="s">
        <v>663</v>
      </c>
      <c r="GF19" s="515" t="s">
        <v>683</v>
      </c>
      <c r="GG19" s="515">
        <v>0.04</v>
      </c>
      <c r="GH19" s="571">
        <v>0.02</v>
      </c>
      <c r="GI19" s="571">
        <v>0.22</v>
      </c>
      <c r="GJ19" s="515">
        <v>0.06</v>
      </c>
      <c r="GK19" s="515">
        <v>0.16</v>
      </c>
      <c r="GL19" s="566">
        <f t="shared" si="16"/>
        <v>0.5</v>
      </c>
      <c r="GM19" s="572">
        <v>0.5</v>
      </c>
      <c r="GN19" s="504">
        <f t="shared" si="17"/>
        <v>0.28000000000000003</v>
      </c>
      <c r="GO19" s="504">
        <f t="shared" si="18"/>
        <v>0.44000000000000006</v>
      </c>
      <c r="GQ19" s="500" t="s">
        <v>718</v>
      </c>
      <c r="GR19" s="500"/>
      <c r="GS19" s="520" t="str">
        <f>BM42</f>
        <v/>
      </c>
      <c r="GT19" s="520">
        <f t="shared" si="3"/>
        <v>0</v>
      </c>
      <c r="GU19" s="563">
        <f>IF($GS19="",0,BN42)</f>
        <v>0</v>
      </c>
      <c r="GV19" s="563">
        <f>IF($GS19="",0,BO42)</f>
        <v>0</v>
      </c>
      <c r="GW19" s="563">
        <f>IF($GS19="",0,BP42)</f>
        <v>0</v>
      </c>
      <c r="GX19" s="563">
        <f>IF($GS19="",0,BQ42)</f>
        <v>0</v>
      </c>
      <c r="GY19" s="520">
        <f t="shared" si="4"/>
        <v>0</v>
      </c>
      <c r="GZ19" s="520">
        <f t="shared" si="5"/>
        <v>0</v>
      </c>
      <c r="HA19" s="520">
        <f t="shared" si="6"/>
        <v>0</v>
      </c>
      <c r="HB19" s="520">
        <f t="shared" si="7"/>
        <v>0</v>
      </c>
      <c r="HD19" s="534"/>
      <c r="HE19" s="534"/>
      <c r="HF19" s="534"/>
      <c r="HG19" s="534"/>
      <c r="HH19" s="534"/>
      <c r="HI19" s="534"/>
      <c r="HJ19" s="534"/>
      <c r="HK19" s="534"/>
      <c r="HL19" s="534"/>
      <c r="HM19" s="533"/>
      <c r="HN19" s="830"/>
      <c r="HO19" s="534"/>
      <c r="HP19" s="535"/>
      <c r="IL19" s="533"/>
      <c r="IM19" s="534"/>
      <c r="IN19" s="534"/>
      <c r="IO19" s="534"/>
      <c r="IP19" s="534"/>
      <c r="IQ19" s="534"/>
      <c r="IR19" s="535"/>
      <c r="IU19" s="536" t="s">
        <v>862</v>
      </c>
      <c r="IV19" s="500" t="s">
        <v>817</v>
      </c>
      <c r="IW19" s="526">
        <v>0.04</v>
      </c>
      <c r="IX19" s="526">
        <v>0.17</v>
      </c>
      <c r="IY19" s="526">
        <v>0.17</v>
      </c>
      <c r="IZ19" s="526">
        <v>0.06</v>
      </c>
      <c r="JA19" s="526">
        <v>0.12</v>
      </c>
      <c r="JB19" s="543">
        <f>SUM(IW19:JA19)</f>
        <v>0.56000000000000005</v>
      </c>
      <c r="JC19" s="562">
        <v>0.56000000000000005</v>
      </c>
      <c r="JD19" s="526">
        <f>SUM(IW19:IY19)</f>
        <v>0.38</v>
      </c>
      <c r="JE19" s="526">
        <f>SUM(IY19:JA19)</f>
        <v>0.35</v>
      </c>
      <c r="JG19" s="500" t="s">
        <v>718</v>
      </c>
      <c r="JH19" s="500"/>
      <c r="JI19" s="520" t="str">
        <f>CY38</f>
        <v/>
      </c>
      <c r="JJ19" s="520">
        <f t="shared" si="9"/>
        <v>0</v>
      </c>
      <c r="JK19" s="500">
        <f>IF($JI19="",0,CZ38)</f>
        <v>0</v>
      </c>
      <c r="JL19" s="500">
        <f>IF($JI19="",0,DA38)</f>
        <v>0</v>
      </c>
      <c r="JM19" s="500">
        <f>IF($JI19="",0,DB38)</f>
        <v>0</v>
      </c>
      <c r="JN19" s="500">
        <f>IF($JI19="",0,DC38)</f>
        <v>0</v>
      </c>
      <c r="JO19" s="520">
        <f t="shared" si="10"/>
        <v>0</v>
      </c>
      <c r="JP19" s="520">
        <f t="shared" si="11"/>
        <v>0</v>
      </c>
      <c r="JQ19" s="520">
        <f t="shared" si="12"/>
        <v>0</v>
      </c>
      <c r="JR19" s="520">
        <f t="shared" si="13"/>
        <v>0</v>
      </c>
      <c r="JT19" s="534"/>
      <c r="JU19" s="534"/>
      <c r="JV19" s="534"/>
      <c r="JW19" s="534"/>
      <c r="KB19" s="533"/>
      <c r="KC19" s="534"/>
      <c r="KD19" s="534"/>
      <c r="KE19" s="535"/>
      <c r="KG19" s="536" t="s">
        <v>957</v>
      </c>
      <c r="KH19" s="604" t="s">
        <v>947</v>
      </c>
      <c r="KI19" s="604" t="s">
        <v>940</v>
      </c>
      <c r="KJ19" s="604" t="s">
        <v>941</v>
      </c>
      <c r="KK19" s="604" t="s">
        <v>939</v>
      </c>
      <c r="KL19" s="623" t="str">
        <f>ET55</f>
        <v>Not applicable</v>
      </c>
      <c r="KN19" s="500" t="s">
        <v>846</v>
      </c>
      <c r="KO19" s="563" t="str">
        <f>DU36</f>
        <v/>
      </c>
      <c r="KP19" s="520">
        <f t="shared" si="19"/>
        <v>0</v>
      </c>
      <c r="KQ19" s="563">
        <f>IF($KO19="",0,DV36)</f>
        <v>0</v>
      </c>
      <c r="KR19" s="563">
        <f>IF($KO19="",0,DW36)</f>
        <v>0</v>
      </c>
      <c r="KS19" s="563">
        <f>IF($KO19="",0,DX36)</f>
        <v>0</v>
      </c>
      <c r="KT19" s="563">
        <f>IF($KO19="",0,DY36)</f>
        <v>0</v>
      </c>
      <c r="KU19" s="520">
        <f t="shared" si="20"/>
        <v>0</v>
      </c>
      <c r="KV19" s="520">
        <f t="shared" si="15"/>
        <v>0</v>
      </c>
      <c r="KW19" s="520">
        <f t="shared" si="15"/>
        <v>0</v>
      </c>
      <c r="KX19" s="520">
        <f t="shared" si="15"/>
        <v>0</v>
      </c>
      <c r="LD19" s="534"/>
      <c r="LE19" s="751" t="s">
        <v>1027</v>
      </c>
      <c r="LI19" s="533"/>
      <c r="LJ19" s="534"/>
      <c r="LK19" s="534"/>
      <c r="LL19" s="535"/>
      <c r="ML19" s="498"/>
      <c r="MM19" s="543"/>
    </row>
    <row r="20" spans="1:351" ht="11.25" customHeight="1" thickBot="1">
      <c r="A20" s="577"/>
      <c r="B20" s="634" t="s">
        <v>1039</v>
      </c>
      <c r="C20" s="629"/>
      <c r="D20" s="629"/>
      <c r="E20" s="629"/>
      <c r="F20" s="629"/>
      <c r="G20" s="629"/>
      <c r="H20" s="629"/>
      <c r="I20" s="629"/>
      <c r="J20" s="629"/>
      <c r="K20" s="629"/>
      <c r="L20" s="629"/>
      <c r="M20" s="629"/>
      <c r="N20" s="629"/>
      <c r="O20" s="629"/>
      <c r="P20" s="629"/>
      <c r="Q20" s="629"/>
      <c r="R20" s="629"/>
      <c r="S20" s="629"/>
      <c r="T20" s="629"/>
      <c r="U20" s="577"/>
      <c r="V20" s="562"/>
      <c r="W20" s="577"/>
      <c r="X20" s="516"/>
      <c r="Y20" s="516"/>
      <c r="Z20" s="516"/>
      <c r="AA20" s="516"/>
      <c r="AB20" s="516"/>
      <c r="AC20" s="516"/>
      <c r="AD20" s="516"/>
      <c r="AE20" s="504"/>
      <c r="AF20" s="1104"/>
      <c r="AG20" s="1104"/>
      <c r="AH20" s="504"/>
      <c r="AI20" s="1024"/>
      <c r="AJ20" s="1024"/>
      <c r="AK20" s="1024"/>
      <c r="AL20" s="1024"/>
      <c r="AM20" s="1024"/>
      <c r="AN20" s="1024"/>
      <c r="AO20" s="1024"/>
      <c r="AP20" s="1024"/>
      <c r="AQ20" s="1024"/>
      <c r="AR20" s="1024"/>
      <c r="AS20" s="1024"/>
      <c r="AT20" s="1024"/>
      <c r="AU20" s="577"/>
      <c r="AV20" s="562"/>
      <c r="AW20" s="577"/>
      <c r="AX20" s="504"/>
      <c r="AY20" s="504"/>
      <c r="AZ20" s="504"/>
      <c r="BA20" s="504"/>
      <c r="BB20" s="504"/>
      <c r="BC20" s="504"/>
      <c r="BD20" s="504"/>
      <c r="BE20" s="504"/>
      <c r="BF20" s="504"/>
      <c r="BG20" s="504"/>
      <c r="BH20" s="504"/>
      <c r="BI20" s="504"/>
      <c r="BJ20" s="504"/>
      <c r="BK20" s="516"/>
      <c r="BL20" s="516"/>
      <c r="BM20" s="700" t="s">
        <v>1023</v>
      </c>
      <c r="BN20" s="1007"/>
      <c r="BO20" s="1010"/>
      <c r="BP20" s="1010"/>
      <c r="BQ20" s="1013"/>
      <c r="BR20" s="577"/>
      <c r="BT20" s="577"/>
      <c r="BU20" s="504"/>
      <c r="BV20" s="504"/>
      <c r="BW20" s="504"/>
      <c r="BX20" s="504"/>
      <c r="BY20" s="504"/>
      <c r="BZ20" s="504"/>
      <c r="CA20" s="504"/>
      <c r="CB20" s="574" t="s">
        <v>909</v>
      </c>
      <c r="CC20" s="914"/>
      <c r="CD20" s="516"/>
      <c r="CE20" s="504"/>
      <c r="CF20" s="504"/>
      <c r="CG20" s="504"/>
      <c r="CH20" s="577"/>
      <c r="CI20" s="562"/>
      <c r="CJ20" s="577"/>
      <c r="CK20" s="516"/>
      <c r="CL20" s="516"/>
      <c r="CM20" s="516"/>
      <c r="CN20" s="516"/>
      <c r="CO20" s="516"/>
      <c r="CP20" s="516"/>
      <c r="CQ20" s="516"/>
      <c r="CR20" s="516"/>
      <c r="CS20" s="516"/>
      <c r="CT20" s="516"/>
      <c r="CU20" s="516"/>
      <c r="CV20" s="516"/>
      <c r="CW20" s="974" t="s">
        <v>643</v>
      </c>
      <c r="CX20" s="781"/>
      <c r="CY20" s="1016" t="s">
        <v>979</v>
      </c>
      <c r="CZ20" s="1009"/>
      <c r="DA20" s="1012"/>
      <c r="DB20" s="1012"/>
      <c r="DC20" s="1015"/>
      <c r="DD20" s="577"/>
      <c r="DE20" s="562"/>
      <c r="DF20" s="577"/>
      <c r="DG20" s="634" t="str">
        <f>CONCATENATE("Floor 1:"," ",$ET$40)</f>
        <v>Floor 1: Existing floor construction</v>
      </c>
      <c r="DH20" s="629"/>
      <c r="DI20" s="629"/>
      <c r="DJ20" s="629"/>
      <c r="DK20" s="629"/>
      <c r="DL20" s="629"/>
      <c r="DM20" s="629"/>
      <c r="DN20" s="629"/>
      <c r="DO20" s="718"/>
      <c r="DP20" s="718"/>
      <c r="DQ20" s="718"/>
      <c r="DR20" s="504"/>
      <c r="DS20" s="974"/>
      <c r="DT20" s="790"/>
      <c r="DU20" s="1016"/>
      <c r="DV20" s="984" t="s">
        <v>932</v>
      </c>
      <c r="DW20" s="985"/>
      <c r="DX20" s="985"/>
      <c r="DY20" s="986"/>
      <c r="DZ20" s="577"/>
      <c r="EA20" s="562"/>
      <c r="EB20" s="577"/>
      <c r="EC20" s="599"/>
      <c r="ED20" s="753"/>
      <c r="EE20" s="753"/>
      <c r="EF20" s="753"/>
      <c r="EG20" s="753"/>
      <c r="EH20" s="753"/>
      <c r="EI20" s="504"/>
      <c r="EJ20" s="504"/>
      <c r="EK20" s="504"/>
      <c r="EL20" s="573" t="s">
        <v>1065</v>
      </c>
      <c r="EM20" s="883"/>
      <c r="EN20" s="516" t="s">
        <v>436</v>
      </c>
      <c r="EO20" s="516"/>
      <c r="EP20" s="577"/>
      <c r="EQ20" s="562"/>
      <c r="ES20" s="543"/>
      <c r="ET20" s="500" t="s">
        <v>427</v>
      </c>
      <c r="FI20" s="543"/>
      <c r="FJ20" s="543"/>
      <c r="FM20" s="576" t="s">
        <v>420</v>
      </c>
      <c r="GE20" s="564" t="s">
        <v>664</v>
      </c>
      <c r="GF20" s="515" t="s">
        <v>684</v>
      </c>
      <c r="GG20" s="515">
        <v>0.04</v>
      </c>
      <c r="GH20" s="571">
        <v>0.02</v>
      </c>
      <c r="GI20" s="571">
        <v>0.15</v>
      </c>
      <c r="GJ20" s="515">
        <v>0.06</v>
      </c>
      <c r="GK20" s="515">
        <v>0.11</v>
      </c>
      <c r="GL20" s="566">
        <f t="shared" si="16"/>
        <v>0.38</v>
      </c>
      <c r="GM20" s="577">
        <v>0.38</v>
      </c>
      <c r="GN20" s="504">
        <f t="shared" si="17"/>
        <v>0.21</v>
      </c>
      <c r="GO20" s="504">
        <f t="shared" si="18"/>
        <v>0.32</v>
      </c>
      <c r="GQ20" s="500"/>
      <c r="GR20" s="500" t="s">
        <v>844</v>
      </c>
      <c r="GS20" s="520" t="str">
        <f>IF(BM47=$ET$13,BM42,BM47)</f>
        <v/>
      </c>
      <c r="GT20" s="520">
        <f t="shared" si="3"/>
        <v>0</v>
      </c>
      <c r="GU20" s="563">
        <f>IF($GS20="",0,BN47)</f>
        <v>0</v>
      </c>
      <c r="GV20" s="563">
        <f>IF($GS20="",0,BO47)</f>
        <v>0</v>
      </c>
      <c r="GW20" s="563">
        <f>IF($GS20="",0,BP47)</f>
        <v>0</v>
      </c>
      <c r="GX20" s="563">
        <f>IF($GS20="",0,BQ47)</f>
        <v>0</v>
      </c>
      <c r="GY20" s="520">
        <f t="shared" si="4"/>
        <v>0</v>
      </c>
      <c r="GZ20" s="520">
        <f t="shared" si="5"/>
        <v>0</v>
      </c>
      <c r="HA20" s="520">
        <f t="shared" si="6"/>
        <v>0</v>
      </c>
      <c r="HB20" s="520">
        <f t="shared" si="7"/>
        <v>0</v>
      </c>
      <c r="HD20" s="534"/>
      <c r="HE20" s="534"/>
      <c r="HF20" s="534"/>
      <c r="HG20" s="534"/>
      <c r="HH20" s="534"/>
      <c r="HI20" s="534"/>
      <c r="HJ20" s="534"/>
      <c r="HK20" s="534"/>
      <c r="HL20" s="534"/>
      <c r="HM20" s="533"/>
      <c r="HN20" s="830"/>
      <c r="HO20" s="534"/>
      <c r="HP20" s="535"/>
      <c r="IL20" s="593" t="b">
        <f>AND(ISBLANK(CC20),OR(ISTEXT(CC17),ISTEXT(CC15)))</f>
        <v>0</v>
      </c>
      <c r="IM20" s="534"/>
      <c r="IN20" s="534"/>
      <c r="IO20" s="534"/>
      <c r="IP20" s="534"/>
      <c r="IQ20" s="534"/>
      <c r="IR20" s="535"/>
      <c r="IU20" s="536" t="s">
        <v>858</v>
      </c>
      <c r="IV20" s="500" t="s">
        <v>835</v>
      </c>
      <c r="IW20" s="526">
        <v>0.04</v>
      </c>
      <c r="IX20" s="526">
        <v>0.17</v>
      </c>
      <c r="IY20" s="526">
        <v>0.17</v>
      </c>
      <c r="IZ20" s="526">
        <f>0.17+0.02</f>
        <v>0.19</v>
      </c>
      <c r="JA20" s="526">
        <v>0.12</v>
      </c>
      <c r="JB20" s="543">
        <f>SUM(IW20:JA20)</f>
        <v>0.69000000000000006</v>
      </c>
      <c r="JC20" s="562">
        <v>0.69</v>
      </c>
      <c r="JD20" s="526">
        <f>SUM(IW20:IY20)</f>
        <v>0.38</v>
      </c>
      <c r="JE20" s="526">
        <f>SUM(IY20:JA20)</f>
        <v>0.48</v>
      </c>
      <c r="JG20" s="500"/>
      <c r="JH20" s="500" t="s">
        <v>844</v>
      </c>
      <c r="JI20" s="520" t="str">
        <f>IF(CY43=$ET$13,CY38,CY43)</f>
        <v/>
      </c>
      <c r="JJ20" s="520">
        <f t="shared" si="9"/>
        <v>0</v>
      </c>
      <c r="JK20" s="500">
        <f>IF($JI20="",0,CZ43)</f>
        <v>0</v>
      </c>
      <c r="JL20" s="500">
        <f>IF($JI20="",0,DA43)</f>
        <v>0</v>
      </c>
      <c r="JM20" s="500">
        <f>IF($JI20="",0,DB43)</f>
        <v>0</v>
      </c>
      <c r="JN20" s="500">
        <f>IF($JI20="",0,DC43)</f>
        <v>0</v>
      </c>
      <c r="JO20" s="520">
        <f t="shared" si="10"/>
        <v>0</v>
      </c>
      <c r="JP20" s="520">
        <f t="shared" si="11"/>
        <v>0</v>
      </c>
      <c r="JQ20" s="520">
        <f t="shared" si="12"/>
        <v>0</v>
      </c>
      <c r="JR20" s="520">
        <f t="shared" si="13"/>
        <v>0</v>
      </c>
      <c r="JT20" s="534"/>
      <c r="JU20" s="534"/>
      <c r="JV20" s="534"/>
      <c r="JW20" s="534"/>
      <c r="JX20" s="751" t="s">
        <v>1027</v>
      </c>
      <c r="KB20" s="533"/>
      <c r="KC20" s="534"/>
      <c r="KD20" s="534"/>
      <c r="KE20" s="535"/>
      <c r="KG20" s="604" t="s">
        <v>944</v>
      </c>
      <c r="KH20" s="563">
        <v>1</v>
      </c>
      <c r="KI20" s="563">
        <v>0.93</v>
      </c>
      <c r="KJ20" s="563">
        <v>0.88</v>
      </c>
      <c r="KK20" s="563">
        <v>0.77</v>
      </c>
      <c r="KL20" s="500" t="str">
        <f>$ET$17</f>
        <v>Data</v>
      </c>
      <c r="KN20" s="500" t="s">
        <v>847</v>
      </c>
      <c r="KO20" s="563" t="str">
        <f>DU42</f>
        <v/>
      </c>
      <c r="KP20" s="520">
        <f t="shared" si="19"/>
        <v>0</v>
      </c>
      <c r="KQ20" s="563">
        <f>IF($KO20="",0,DV42)</f>
        <v>0</v>
      </c>
      <c r="KR20" s="563">
        <f>IF($KO20="",0,DW42)</f>
        <v>0</v>
      </c>
      <c r="KS20" s="563">
        <f>IF($KO20="",0,DX42)</f>
        <v>0</v>
      </c>
      <c r="KT20" s="563">
        <f>IF($KO20="",0,DY42)</f>
        <v>0</v>
      </c>
      <c r="KU20" s="520">
        <f t="shared" si="20"/>
        <v>0</v>
      </c>
      <c r="KV20" s="520">
        <f t="shared" si="15"/>
        <v>0</v>
      </c>
      <c r="KW20" s="520">
        <f t="shared" si="15"/>
        <v>0</v>
      </c>
      <c r="KX20" s="520">
        <f t="shared" si="15"/>
        <v>0</v>
      </c>
      <c r="KZ20" s="498" t="s">
        <v>925</v>
      </c>
      <c r="LD20" s="534"/>
      <c r="LE20" s="751" t="s">
        <v>988</v>
      </c>
      <c r="LI20" s="533"/>
      <c r="LJ20" s="534"/>
      <c r="LK20" s="534"/>
      <c r="LL20" s="535"/>
      <c r="LN20" s="500" t="s">
        <v>494</v>
      </c>
      <c r="LO20" s="500"/>
      <c r="LP20" s="500">
        <f>EM20</f>
        <v>0</v>
      </c>
      <c r="ML20" s="498"/>
      <c r="MM20" s="543"/>
    </row>
    <row r="21" spans="1:351" ht="11.25" customHeight="1" thickBot="1">
      <c r="A21" s="577"/>
      <c r="B21" s="990" t="s">
        <v>1036</v>
      </c>
      <c r="C21" s="990"/>
      <c r="D21" s="990"/>
      <c r="E21" s="990"/>
      <c r="F21" s="516"/>
      <c r="G21" s="516"/>
      <c r="H21" s="516"/>
      <c r="I21" s="516"/>
      <c r="J21" s="516"/>
      <c r="K21" s="516"/>
      <c r="L21" s="516"/>
      <c r="M21" s="516"/>
      <c r="N21" s="516"/>
      <c r="O21" s="516"/>
      <c r="P21" s="516"/>
      <c r="Q21" s="516"/>
      <c r="R21" s="516"/>
      <c r="S21" s="837"/>
      <c r="T21" s="1021"/>
      <c r="U21" s="577"/>
      <c r="V21" s="562"/>
      <c r="W21" s="577"/>
      <c r="X21" s="516"/>
      <c r="Y21" s="516"/>
      <c r="Z21" s="516"/>
      <c r="AA21" s="516"/>
      <c r="AB21" s="516"/>
      <c r="AC21" s="516"/>
      <c r="AD21" s="516"/>
      <c r="AE21" s="504"/>
      <c r="AF21" s="1104"/>
      <c r="AG21" s="1104"/>
      <c r="AH21" s="504"/>
      <c r="AI21" s="1025"/>
      <c r="AJ21" s="1025"/>
      <c r="AK21" s="1025"/>
      <c r="AL21" s="1025"/>
      <c r="AM21" s="1025"/>
      <c r="AN21" s="1025"/>
      <c r="AO21" s="1025"/>
      <c r="AP21" s="1025"/>
      <c r="AQ21" s="1025"/>
      <c r="AR21" s="1025"/>
      <c r="AS21" s="1025"/>
      <c r="AT21" s="1025"/>
      <c r="AU21" s="577"/>
      <c r="AV21" s="562"/>
      <c r="AW21" s="577"/>
      <c r="AX21" s="516"/>
      <c r="AY21" s="570"/>
      <c r="AZ21" s="504"/>
      <c r="BA21" s="504"/>
      <c r="BB21" s="504"/>
      <c r="BC21" s="504"/>
      <c r="BD21" s="504"/>
      <c r="BE21" s="504"/>
      <c r="BF21" s="504"/>
      <c r="BG21" s="504"/>
      <c r="BH21" s="504"/>
      <c r="BI21" s="504"/>
      <c r="BJ21" s="504"/>
      <c r="BK21" s="504"/>
      <c r="BL21" s="504"/>
      <c r="BM21" s="504"/>
      <c r="BN21" s="1008"/>
      <c r="BO21" s="1011"/>
      <c r="BP21" s="1011"/>
      <c r="BQ21" s="1014"/>
      <c r="BR21" s="577"/>
      <c r="BT21" s="577"/>
      <c r="BU21" s="504"/>
      <c r="BV21" s="504"/>
      <c r="BW21" s="504"/>
      <c r="BX21" s="504"/>
      <c r="BY21" s="504"/>
      <c r="BZ21" s="504"/>
      <c r="CA21" s="504"/>
      <c r="CB21" s="504"/>
      <c r="CC21" s="517"/>
      <c r="CD21" s="516"/>
      <c r="CE21" s="504"/>
      <c r="CF21" s="516"/>
      <c r="CG21" s="516"/>
      <c r="CH21" s="577"/>
      <c r="CI21" s="562"/>
      <c r="CJ21" s="577"/>
      <c r="CK21" s="516"/>
      <c r="CL21" s="516"/>
      <c r="CM21" s="516"/>
      <c r="CN21" s="516"/>
      <c r="CO21" s="516"/>
      <c r="CP21" s="516"/>
      <c r="CQ21" s="516"/>
      <c r="CR21" s="516"/>
      <c r="CS21" s="516"/>
      <c r="CT21" s="516"/>
      <c r="CU21" s="516"/>
      <c r="CV21" s="516"/>
      <c r="CW21" s="974"/>
      <c r="CX21" s="781"/>
      <c r="CY21" s="1016"/>
      <c r="CZ21" s="984" t="s">
        <v>795</v>
      </c>
      <c r="DA21" s="985"/>
      <c r="DB21" s="985"/>
      <c r="DC21" s="986"/>
      <c r="DD21" s="577"/>
      <c r="DE21" s="562"/>
      <c r="DF21" s="577"/>
      <c r="DG21" s="504" t="s">
        <v>949</v>
      </c>
      <c r="DH21" s="504"/>
      <c r="DI21" s="504"/>
      <c r="DJ21" s="504"/>
      <c r="DK21" s="519" t="s">
        <v>950</v>
      </c>
      <c r="DL21" s="504"/>
      <c r="DM21" s="504"/>
      <c r="DN21" s="504"/>
      <c r="DO21" s="504" t="s">
        <v>951</v>
      </c>
      <c r="DP21" s="504"/>
      <c r="DQ21" s="504"/>
      <c r="DR21" s="782"/>
      <c r="DS21" s="975"/>
      <c r="DT21" s="790"/>
      <c r="DU21" s="1017"/>
      <c r="DV21" s="987"/>
      <c r="DW21" s="988"/>
      <c r="DX21" s="988"/>
      <c r="DY21" s="989"/>
      <c r="DZ21" s="577"/>
      <c r="EA21" s="562"/>
      <c r="EB21" s="577"/>
      <c r="EC21" s="504"/>
      <c r="ED21" s="753"/>
      <c r="EE21" s="753"/>
      <c r="EF21" s="753"/>
      <c r="EG21" s="753"/>
      <c r="EH21" s="753"/>
      <c r="EI21" s="504"/>
      <c r="EJ21" s="504"/>
      <c r="EK21" s="504"/>
      <c r="EL21" s="504"/>
      <c r="EM21" s="752"/>
      <c r="EN21" s="516"/>
      <c r="EO21" s="516"/>
      <c r="EP21" s="577"/>
      <c r="EQ21" s="562"/>
      <c r="ES21" s="543"/>
      <c r="ET21" s="500" t="s">
        <v>437</v>
      </c>
      <c r="EV21" s="498" t="s">
        <v>557</v>
      </c>
      <c r="EW21" s="498"/>
      <c r="FI21" s="543"/>
      <c r="FJ21" s="543"/>
      <c r="FL21" s="578" t="s">
        <v>383</v>
      </c>
      <c r="FM21" s="579">
        <f t="shared" ref="FM21:FX21" si="21">IF(ISBLANK(AI18),1,0)</f>
        <v>1</v>
      </c>
      <c r="FN21" s="579">
        <f t="shared" si="21"/>
        <v>1</v>
      </c>
      <c r="FO21" s="579">
        <f t="shared" si="21"/>
        <v>1</v>
      </c>
      <c r="FP21" s="579">
        <f t="shared" si="21"/>
        <v>1</v>
      </c>
      <c r="FQ21" s="579">
        <f t="shared" si="21"/>
        <v>1</v>
      </c>
      <c r="FR21" s="579">
        <f t="shared" si="21"/>
        <v>1</v>
      </c>
      <c r="FS21" s="579">
        <f t="shared" si="21"/>
        <v>1</v>
      </c>
      <c r="FT21" s="579">
        <f t="shared" si="21"/>
        <v>1</v>
      </c>
      <c r="FU21" s="579">
        <f t="shared" si="21"/>
        <v>1</v>
      </c>
      <c r="FV21" s="579">
        <f t="shared" si="21"/>
        <v>1</v>
      </c>
      <c r="FW21" s="579">
        <f t="shared" si="21"/>
        <v>1</v>
      </c>
      <c r="FX21" s="579">
        <f t="shared" si="21"/>
        <v>1</v>
      </c>
      <c r="FZ21" s="498" t="s">
        <v>415</v>
      </c>
      <c r="GE21" s="564" t="s">
        <v>704</v>
      </c>
      <c r="GF21" s="504" t="s">
        <v>702</v>
      </c>
      <c r="GG21" s="504">
        <v>0.04</v>
      </c>
      <c r="GH21" s="565">
        <v>0</v>
      </c>
      <c r="GI21" s="504">
        <v>0.19</v>
      </c>
      <c r="GJ21" s="504">
        <v>0.06</v>
      </c>
      <c r="GK21" s="504">
        <v>0.16</v>
      </c>
      <c r="GL21" s="566">
        <f t="shared" si="16"/>
        <v>0.45000000000000007</v>
      </c>
      <c r="GM21" s="526">
        <f>GM23-0.22+0.19</f>
        <v>0.45</v>
      </c>
      <c r="GN21" s="504">
        <f t="shared" si="17"/>
        <v>0.23</v>
      </c>
      <c r="GO21" s="504">
        <f t="shared" si="18"/>
        <v>0.41000000000000003</v>
      </c>
      <c r="GQ21" s="500"/>
      <c r="GR21" s="500" t="s">
        <v>845</v>
      </c>
      <c r="GS21" s="520" t="str">
        <f>IF(BM52=$ET$13,BM42,BM52)</f>
        <v/>
      </c>
      <c r="GT21" s="520">
        <f t="shared" si="3"/>
        <v>0</v>
      </c>
      <c r="GU21" s="563">
        <f>IF($GS21="",0,BN52)</f>
        <v>0</v>
      </c>
      <c r="GV21" s="563">
        <f>IF($GS21="",0,BO52)</f>
        <v>0</v>
      </c>
      <c r="GW21" s="563">
        <f>IF($GS21="",0,BP52)</f>
        <v>0</v>
      </c>
      <c r="GX21" s="563">
        <f>IF($GS21="",0,BQ52)</f>
        <v>0</v>
      </c>
      <c r="GY21" s="520">
        <f t="shared" si="4"/>
        <v>0</v>
      </c>
      <c r="GZ21" s="520">
        <f t="shared" si="5"/>
        <v>0</v>
      </c>
      <c r="HA21" s="520">
        <f t="shared" si="6"/>
        <v>0</v>
      </c>
      <c r="HB21" s="520">
        <f t="shared" si="7"/>
        <v>0</v>
      </c>
      <c r="HD21" s="900" t="s">
        <v>729</v>
      </c>
      <c r="HE21" s="581"/>
      <c r="HF21" s="581"/>
      <c r="HG21" s="581"/>
      <c r="HH21" s="569"/>
      <c r="HJ21" s="751"/>
      <c r="HK21" s="751"/>
      <c r="HL21" s="534"/>
      <c r="HM21" s="533"/>
      <c r="HN21" s="830"/>
      <c r="HO21" s="534"/>
      <c r="HP21" s="535"/>
      <c r="IJ21" s="562"/>
      <c r="IK21" s="562"/>
      <c r="IL21" s="716"/>
      <c r="IM21" s="673"/>
      <c r="IN21" s="673"/>
      <c r="IO21" s="673"/>
      <c r="IP21" s="673"/>
      <c r="IQ21" s="673"/>
      <c r="IR21" s="717"/>
      <c r="IU21" s="536" t="s">
        <v>861</v>
      </c>
      <c r="IV21" s="500" t="s">
        <v>818</v>
      </c>
      <c r="IW21" s="526">
        <v>0.04</v>
      </c>
      <c r="IX21" s="526">
        <v>0.03</v>
      </c>
      <c r="IY21" s="526">
        <v>0.17</v>
      </c>
      <c r="IZ21" s="526">
        <f>0.17+0.02</f>
        <v>0.19</v>
      </c>
      <c r="JA21" s="526">
        <v>0.12</v>
      </c>
      <c r="JB21" s="543">
        <f>SUM(IW21:JA21)</f>
        <v>0.55000000000000004</v>
      </c>
      <c r="JC21" s="562">
        <f>0.53+0.02</f>
        <v>0.55000000000000004</v>
      </c>
      <c r="JD21" s="526">
        <f>SUM(IW21:IY21)</f>
        <v>0.24000000000000002</v>
      </c>
      <c r="JE21" s="526">
        <f>SUM(IY21:JA21)</f>
        <v>0.48</v>
      </c>
      <c r="JG21" s="500"/>
      <c r="JH21" s="500" t="s">
        <v>845</v>
      </c>
      <c r="JI21" s="520" t="str">
        <f>IF(CY47=$ET$13,CY38,CY47)</f>
        <v/>
      </c>
      <c r="JJ21" s="520">
        <f t="shared" si="9"/>
        <v>0</v>
      </c>
      <c r="JK21" s="500">
        <f>IF($JI21="",0,CZ47)</f>
        <v>0</v>
      </c>
      <c r="JL21" s="500">
        <f>IF($JI21="",0,DA47)</f>
        <v>0</v>
      </c>
      <c r="JM21" s="500">
        <f>IF($JI21="",0,DB47)</f>
        <v>0</v>
      </c>
      <c r="JN21" s="500">
        <f>IF($JI21="",0,DC47)</f>
        <v>0</v>
      </c>
      <c r="JO21" s="520">
        <f t="shared" si="10"/>
        <v>0</v>
      </c>
      <c r="JP21" s="520">
        <f t="shared" si="11"/>
        <v>0</v>
      </c>
      <c r="JQ21" s="520">
        <f t="shared" si="12"/>
        <v>0</v>
      </c>
      <c r="JR21" s="520">
        <f t="shared" si="13"/>
        <v>0</v>
      </c>
      <c r="JT21" s="586" t="s">
        <v>729</v>
      </c>
      <c r="JU21" s="622"/>
      <c r="JV21" s="622"/>
      <c r="JW21" s="622"/>
      <c r="JX21" s="751" t="s">
        <v>988</v>
      </c>
      <c r="KB21" s="533"/>
      <c r="KC21" s="534"/>
      <c r="KD21" s="534"/>
      <c r="KE21" s="535"/>
      <c r="KG21" s="604" t="s">
        <v>943</v>
      </c>
      <c r="KH21" s="563">
        <v>0.86</v>
      </c>
      <c r="KI21" s="563">
        <v>0.81</v>
      </c>
      <c r="KJ21" s="563">
        <v>0.76</v>
      </c>
      <c r="KK21" s="563">
        <v>0.65</v>
      </c>
      <c r="KL21" s="500" t="str">
        <f t="shared" ref="KL21:KL22" si="22">$ET$17</f>
        <v>Data</v>
      </c>
      <c r="KQ21" s="497" t="s">
        <v>721</v>
      </c>
      <c r="KU21" s="497" t="s">
        <v>720</v>
      </c>
      <c r="KZ21" s="694" t="s">
        <v>613</v>
      </c>
      <c r="LA21" s="581" t="s">
        <v>967</v>
      </c>
      <c r="LB21" s="581" t="s">
        <v>968</v>
      </c>
      <c r="LC21" s="581" t="s">
        <v>868</v>
      </c>
      <c r="LD21" s="569" t="s">
        <v>418</v>
      </c>
      <c r="LE21" s="751" t="s">
        <v>989</v>
      </c>
      <c r="LI21" s="533"/>
      <c r="LJ21" s="534"/>
      <c r="LK21" s="534"/>
      <c r="LL21" s="535"/>
      <c r="LN21" s="500"/>
      <c r="LO21" s="500"/>
      <c r="LP21" s="500"/>
      <c r="MM21" s="543"/>
    </row>
    <row r="22" spans="1:351" ht="11.25" customHeight="1" thickBot="1">
      <c r="A22" s="577"/>
      <c r="B22" s="975"/>
      <c r="C22" s="975"/>
      <c r="D22" s="975"/>
      <c r="E22" s="975"/>
      <c r="F22" s="505"/>
      <c r="G22" s="505"/>
      <c r="H22" s="505"/>
      <c r="I22" s="505"/>
      <c r="J22" s="505"/>
      <c r="K22" s="505"/>
      <c r="L22" s="505"/>
      <c r="M22" s="505"/>
      <c r="N22" s="505"/>
      <c r="O22" s="505"/>
      <c r="P22" s="505"/>
      <c r="Q22" s="505"/>
      <c r="R22" s="505"/>
      <c r="S22" s="719"/>
      <c r="T22" s="1022"/>
      <c r="U22" s="577"/>
      <c r="V22" s="562"/>
      <c r="W22" s="577"/>
      <c r="X22" s="1018" t="s">
        <v>1040</v>
      </c>
      <c r="Y22" s="1018"/>
      <c r="Z22" s="1018"/>
      <c r="AA22" s="1018"/>
      <c r="AB22" s="1019"/>
      <c r="AC22" s="991" t="s">
        <v>536</v>
      </c>
      <c r="AD22" s="992"/>
      <c r="AE22" s="504"/>
      <c r="AF22" s="517" t="s">
        <v>535</v>
      </c>
      <c r="AG22" s="516"/>
      <c r="AH22" s="504"/>
      <c r="AI22" s="1109" t="s">
        <v>532</v>
      </c>
      <c r="AJ22" s="1110"/>
      <c r="AK22" s="1110"/>
      <c r="AL22" s="1110"/>
      <c r="AM22" s="1110"/>
      <c r="AN22" s="1110"/>
      <c r="AO22" s="1110"/>
      <c r="AP22" s="1110"/>
      <c r="AQ22" s="1110"/>
      <c r="AR22" s="1110"/>
      <c r="AS22" s="1110"/>
      <c r="AT22" s="1110"/>
      <c r="AU22" s="577"/>
      <c r="AV22" s="562"/>
      <c r="AW22" s="577"/>
      <c r="AX22" s="516"/>
      <c r="AY22" s="516"/>
      <c r="AZ22" s="516"/>
      <c r="BA22" s="516"/>
      <c r="BB22" s="516"/>
      <c r="BC22" s="516"/>
      <c r="BD22" s="516"/>
      <c r="BE22" s="516"/>
      <c r="BF22" s="516"/>
      <c r="BG22" s="516"/>
      <c r="BH22" s="516"/>
      <c r="BI22" s="516"/>
      <c r="BJ22" s="516"/>
      <c r="BK22" s="516"/>
      <c r="BL22" s="516"/>
      <c r="BM22" s="573"/>
      <c r="BN22" s="1008"/>
      <c r="BO22" s="1011"/>
      <c r="BP22" s="1011"/>
      <c r="BQ22" s="1014"/>
      <c r="BR22" s="577"/>
      <c r="BT22" s="577"/>
      <c r="BU22" s="504"/>
      <c r="BV22" s="568" t="s">
        <v>1081</v>
      </c>
      <c r="BW22" s="504"/>
      <c r="BX22" s="504"/>
      <c r="BY22" s="504"/>
      <c r="BZ22" s="504"/>
      <c r="CA22" s="504"/>
      <c r="CB22" s="504"/>
      <c r="CC22" s="517"/>
      <c r="CD22" s="504"/>
      <c r="CE22" s="504"/>
      <c r="CF22" s="504"/>
      <c r="CG22" s="504"/>
      <c r="CH22" s="577"/>
      <c r="CI22" s="562"/>
      <c r="CJ22" s="577"/>
      <c r="CK22" s="532" t="str">
        <f>CONCATENATE("Wall 1:"," ",$ET$37)</f>
        <v>Wall 1: Existing wall construction</v>
      </c>
      <c r="CL22" s="532"/>
      <c r="CM22" s="585"/>
      <c r="CN22" s="585"/>
      <c r="CO22" s="585"/>
      <c r="CP22" s="585"/>
      <c r="CQ22" s="585"/>
      <c r="CR22" s="585"/>
      <c r="CS22" s="585"/>
      <c r="CT22" s="585"/>
      <c r="CU22" s="585"/>
      <c r="CV22" s="516"/>
      <c r="CW22" s="975"/>
      <c r="CX22" s="781"/>
      <c r="CY22" s="1017"/>
      <c r="CZ22" s="987"/>
      <c r="DA22" s="988"/>
      <c r="DB22" s="988"/>
      <c r="DC22" s="989"/>
      <c r="DD22" s="577"/>
      <c r="DE22" s="562"/>
      <c r="DF22" s="577"/>
      <c r="DG22" s="969"/>
      <c r="DH22" s="970"/>
      <c r="DI22" s="971"/>
      <c r="DJ22" s="505"/>
      <c r="DK22" s="969"/>
      <c r="DL22" s="970"/>
      <c r="DM22" s="971"/>
      <c r="DN22" s="505"/>
      <c r="DO22" s="976"/>
      <c r="DP22" s="977"/>
      <c r="DQ22" s="978"/>
      <c r="DR22" s="505"/>
      <c r="DS22" s="735"/>
      <c r="DT22" s="719"/>
      <c r="DU22" s="909" t="str">
        <f>IF(KL68=4,"",IF(ISERROR(KH44),$ET$17,IF(KH44=$ET$17,$ET$17,KH44+DS22)))</f>
        <v/>
      </c>
      <c r="DV22" s="866"/>
      <c r="DW22" s="725"/>
      <c r="DX22" s="725"/>
      <c r="DY22" s="867"/>
      <c r="DZ22" s="577"/>
      <c r="EA22" s="562"/>
      <c r="EB22" s="577"/>
      <c r="EC22" s="504"/>
      <c r="ED22" s="753"/>
      <c r="EE22" s="753"/>
      <c r="EF22" s="504"/>
      <c r="EG22" s="504"/>
      <c r="EH22" s="504"/>
      <c r="EI22" s="504"/>
      <c r="EJ22" s="515"/>
      <c r="EK22" s="515"/>
      <c r="EL22" s="887" t="s">
        <v>1070</v>
      </c>
      <c r="EM22" s="922" t="str">
        <f>IF(ISBLANK(EM20),"",LP22)</f>
        <v/>
      </c>
      <c r="EN22" s="516"/>
      <c r="EO22" s="516"/>
      <c r="EP22" s="577"/>
      <c r="EQ22" s="562"/>
      <c r="ES22" s="543"/>
      <c r="ET22" s="500" t="s">
        <v>438</v>
      </c>
      <c r="EV22" s="580" t="s">
        <v>559</v>
      </c>
      <c r="EW22" s="580"/>
      <c r="FI22" s="543"/>
      <c r="FJ22" s="543"/>
      <c r="FL22" s="578" t="s">
        <v>418</v>
      </c>
      <c r="FM22" s="579">
        <f t="shared" ref="FM22:FX22" si="23">IF(ISBLANK(AI23),1,0)</f>
        <v>1</v>
      </c>
      <c r="FN22" s="579">
        <f t="shared" si="23"/>
        <v>1</v>
      </c>
      <c r="FO22" s="579">
        <f t="shared" si="23"/>
        <v>1</v>
      </c>
      <c r="FP22" s="579">
        <f t="shared" si="23"/>
        <v>1</v>
      </c>
      <c r="FQ22" s="579">
        <f t="shared" si="23"/>
        <v>1</v>
      </c>
      <c r="FR22" s="579">
        <f t="shared" si="23"/>
        <v>1</v>
      </c>
      <c r="FS22" s="579">
        <f t="shared" si="23"/>
        <v>1</v>
      </c>
      <c r="FT22" s="579">
        <f t="shared" si="23"/>
        <v>1</v>
      </c>
      <c r="FU22" s="579">
        <f t="shared" si="23"/>
        <v>1</v>
      </c>
      <c r="FV22" s="579">
        <f t="shared" si="23"/>
        <v>1</v>
      </c>
      <c r="FW22" s="579">
        <f t="shared" si="23"/>
        <v>1</v>
      </c>
      <c r="FX22" s="579">
        <f t="shared" si="23"/>
        <v>1</v>
      </c>
      <c r="FZ22" s="497" t="s">
        <v>414</v>
      </c>
      <c r="GE22" s="564" t="s">
        <v>705</v>
      </c>
      <c r="GF22" s="504" t="s">
        <v>703</v>
      </c>
      <c r="GG22" s="504">
        <v>0.04</v>
      </c>
      <c r="GH22" s="565">
        <v>0</v>
      </c>
      <c r="GI22" s="565">
        <v>0</v>
      </c>
      <c r="GJ22" s="504">
        <v>0.06</v>
      </c>
      <c r="GK22" s="504">
        <v>0.11</v>
      </c>
      <c r="GL22" s="566">
        <f t="shared" si="16"/>
        <v>0.21000000000000002</v>
      </c>
      <c r="GM22" s="526">
        <f>GM24-0.15</f>
        <v>0.21</v>
      </c>
      <c r="GN22" s="504">
        <f t="shared" si="17"/>
        <v>0.04</v>
      </c>
      <c r="GO22" s="504">
        <f t="shared" si="18"/>
        <v>0.16999999999999998</v>
      </c>
      <c r="GQ22" s="500" t="s">
        <v>846</v>
      </c>
      <c r="GR22" s="500"/>
      <c r="GS22" s="520" t="str">
        <f>BM58</f>
        <v/>
      </c>
      <c r="GT22" s="520">
        <f t="shared" si="3"/>
        <v>0</v>
      </c>
      <c r="GU22" s="563">
        <f>IF($GS22="",0,BN58)</f>
        <v>0</v>
      </c>
      <c r="GV22" s="563">
        <f>IF($GS22="",0,BO58)</f>
        <v>0</v>
      </c>
      <c r="GW22" s="563">
        <f>IF($GS22="",0,BP58)</f>
        <v>0</v>
      </c>
      <c r="GX22" s="563">
        <f>IF($GS22="",0,BQ58)</f>
        <v>0</v>
      </c>
      <c r="GY22" s="520">
        <f t="shared" si="4"/>
        <v>0</v>
      </c>
      <c r="GZ22" s="520">
        <f t="shared" si="5"/>
        <v>0</v>
      </c>
      <c r="HA22" s="520">
        <f t="shared" si="6"/>
        <v>0</v>
      </c>
      <c r="HB22" s="520">
        <f t="shared" si="7"/>
        <v>0</v>
      </c>
      <c r="HD22" s="901" t="s">
        <v>1026</v>
      </c>
      <c r="HE22" s="534"/>
      <c r="HF22" s="534"/>
      <c r="HG22" s="534"/>
      <c r="HH22" s="535"/>
      <c r="HI22" s="751" t="s">
        <v>1027</v>
      </c>
      <c r="HJ22" s="751"/>
      <c r="HK22" s="751"/>
      <c r="HL22" s="534"/>
      <c r="HM22" s="533"/>
      <c r="HN22" s="830"/>
      <c r="HO22" s="534"/>
      <c r="HP22" s="535"/>
      <c r="ID22" s="562"/>
      <c r="IF22" s="558" t="s">
        <v>472</v>
      </c>
      <c r="IG22" s="562"/>
      <c r="II22" s="714" t="s">
        <v>924</v>
      </c>
      <c r="IK22" s="562"/>
      <c r="IL22" s="716"/>
      <c r="IM22" s="673"/>
      <c r="IN22" s="673"/>
      <c r="IO22" s="673"/>
      <c r="IP22" s="673"/>
      <c r="IQ22" s="673"/>
      <c r="IR22" s="717"/>
      <c r="IU22" s="536" t="s">
        <v>860</v>
      </c>
      <c r="IV22" s="500"/>
      <c r="JG22" s="500" t="s">
        <v>846</v>
      </c>
      <c r="JH22" s="500"/>
      <c r="JI22" s="520" t="str">
        <f>CY53</f>
        <v/>
      </c>
      <c r="JJ22" s="520">
        <f t="shared" si="9"/>
        <v>0</v>
      </c>
      <c r="JK22" s="500">
        <f>IF($JI22="",0,CZ53)</f>
        <v>0</v>
      </c>
      <c r="JL22" s="500">
        <f>IF($JI22="",0,DA53)</f>
        <v>0</v>
      </c>
      <c r="JM22" s="500">
        <f>IF($JI22="",0,DB53)</f>
        <v>0</v>
      </c>
      <c r="JN22" s="500">
        <f>IF($JI22="",0,DC53)</f>
        <v>0</v>
      </c>
      <c r="JO22" s="520">
        <f t="shared" si="10"/>
        <v>0</v>
      </c>
      <c r="JP22" s="520">
        <f t="shared" si="11"/>
        <v>0</v>
      </c>
      <c r="JQ22" s="520">
        <f t="shared" si="12"/>
        <v>0</v>
      </c>
      <c r="JR22" s="520">
        <f t="shared" si="13"/>
        <v>0</v>
      </c>
      <c r="JT22" s="1101" t="s">
        <v>836</v>
      </c>
      <c r="JU22" s="1102"/>
      <c r="JV22" s="534" t="s">
        <v>848</v>
      </c>
      <c r="JW22" s="535" t="s">
        <v>418</v>
      </c>
      <c r="JX22" s="751" t="s">
        <v>989</v>
      </c>
      <c r="KB22" s="533"/>
      <c r="KC22" s="534"/>
      <c r="KD22" s="534"/>
      <c r="KE22" s="535"/>
      <c r="KG22" s="604" t="s">
        <v>945</v>
      </c>
      <c r="KH22" s="563">
        <v>0.76</v>
      </c>
      <c r="KI22" s="563">
        <v>0.72</v>
      </c>
      <c r="KJ22" s="563">
        <v>0.67</v>
      </c>
      <c r="KK22" s="563">
        <v>0.56999999999999995</v>
      </c>
      <c r="KL22" s="500" t="str">
        <f t="shared" si="22"/>
        <v>Data</v>
      </c>
      <c r="KQ22" s="502">
        <f>SUM(KQ17:KQ20)</f>
        <v>0</v>
      </c>
      <c r="KR22" s="502">
        <f t="shared" ref="KR22:KX22" si="24">SUM(KR17:KR20)</f>
        <v>0</v>
      </c>
      <c r="KS22" s="502">
        <f t="shared" si="24"/>
        <v>0</v>
      </c>
      <c r="KT22" s="502">
        <f t="shared" si="24"/>
        <v>0</v>
      </c>
      <c r="KU22" s="502">
        <f t="shared" si="24"/>
        <v>0</v>
      </c>
      <c r="KV22" s="502">
        <f t="shared" si="24"/>
        <v>0</v>
      </c>
      <c r="KW22" s="502">
        <f t="shared" si="24"/>
        <v>0</v>
      </c>
      <c r="KX22" s="502">
        <f t="shared" si="24"/>
        <v>0</v>
      </c>
      <c r="KZ22" s="593" t="b">
        <f>AND(ISBLANK(DG22),OR(ISTEXT(DK22),OR(ISTEXT(DO22),ISNUMBER(DS22))))</f>
        <v>0</v>
      </c>
      <c r="LA22" s="594" t="b">
        <f>AND(ISBLANK(DK22),OR(ISTEXT(DG22),OR(ISTEXT(DO22),ISNUMBER(DS22))))</f>
        <v>0</v>
      </c>
      <c r="LB22" s="594" t="b">
        <f>AND(ISBLANK(DO22),OR(ISTEXT(DK22),OR(ISTEXT(DG22),ISNUMBER(DS22))))</f>
        <v>0</v>
      </c>
      <c r="LC22" s="594" t="b">
        <f>AND(ISBLANK(DS22),OR(ISTEXT(DK22),OR(ISTEXT(DO22),ISTEXT(DG22))))</f>
        <v>0</v>
      </c>
      <c r="LD22" s="614" t="b">
        <f>AND(SUM(DV22:DY22)&gt;0,AND(ISBLANK(DG22),AND(ISBLANK(DK22),AND(ISBLANK(DO22),ISBLANK(DS22)))))</f>
        <v>0</v>
      </c>
      <c r="LE22" s="526">
        <f>IF(DV22&gt;0,1,0)</f>
        <v>0</v>
      </c>
      <c r="LF22" s="526">
        <f>IF(DW22&gt;0,1,0)</f>
        <v>0</v>
      </c>
      <c r="LG22" s="526">
        <f>IF(DX22&gt;0,1,0)</f>
        <v>0</v>
      </c>
      <c r="LH22" s="526">
        <f>IF(DY22&gt;0,1,0)</f>
        <v>0</v>
      </c>
      <c r="LI22" s="593" t="b">
        <f>AND(ISTEXT($DV$16),AND(DV22=0,$LE$50&lt;2))</f>
        <v>0</v>
      </c>
      <c r="LJ22" s="594" t="b">
        <f>AND(ISTEXT($DW$16),AND(DW22=0,$LF$50&lt;2))</f>
        <v>0</v>
      </c>
      <c r="LK22" s="594" t="b">
        <f>AND(ISTEXT($DX$16),AND(DX22=0,$LG$50&lt;2))</f>
        <v>0</v>
      </c>
      <c r="LL22" s="614" t="b">
        <f>AND(ISTEXT($DY$16),AND(DY22=0,$LH$50&lt;2))</f>
        <v>0</v>
      </c>
      <c r="LN22" s="584">
        <v>5</v>
      </c>
      <c r="LO22" s="500" t="s">
        <v>496</v>
      </c>
      <c r="LP22" s="500">
        <f>LP20*LN22</f>
        <v>0</v>
      </c>
      <c r="MM22" s="543"/>
    </row>
    <row r="23" spans="1:351" ht="11.25" customHeight="1" thickBot="1">
      <c r="A23" s="577"/>
      <c r="B23" s="516" t="s">
        <v>541</v>
      </c>
      <c r="C23" s="615"/>
      <c r="D23" s="615"/>
      <c r="E23" s="615"/>
      <c r="F23" s="615"/>
      <c r="G23" s="516" t="s">
        <v>508</v>
      </c>
      <c r="H23" s="504"/>
      <c r="I23" s="504"/>
      <c r="J23" s="615"/>
      <c r="K23" s="615"/>
      <c r="L23" s="615"/>
      <c r="M23" s="615"/>
      <c r="N23" s="615"/>
      <c r="O23" s="615"/>
      <c r="P23" s="615"/>
      <c r="Q23" s="615"/>
      <c r="R23" s="615"/>
      <c r="S23" s="615"/>
      <c r="T23" s="1078"/>
      <c r="U23" s="577"/>
      <c r="V23" s="562"/>
      <c r="W23" s="577"/>
      <c r="X23" s="1018"/>
      <c r="Y23" s="1018"/>
      <c r="Z23" s="1018"/>
      <c r="AA23" s="1018"/>
      <c r="AB23" s="1019"/>
      <c r="AC23" s="1111" t="s">
        <v>538</v>
      </c>
      <c r="AD23" s="1111" t="s">
        <v>539</v>
      </c>
      <c r="AE23" s="504"/>
      <c r="AF23" s="583" t="s">
        <v>534</v>
      </c>
      <c r="AG23" s="725">
        <v>0.02</v>
      </c>
      <c r="AH23" s="504" t="s">
        <v>394</v>
      </c>
      <c r="AI23" s="913"/>
      <c r="AJ23" s="913"/>
      <c r="AK23" s="913"/>
      <c r="AL23" s="913"/>
      <c r="AM23" s="913"/>
      <c r="AN23" s="913"/>
      <c r="AO23" s="913"/>
      <c r="AP23" s="913"/>
      <c r="AQ23" s="913"/>
      <c r="AR23" s="913"/>
      <c r="AS23" s="913"/>
      <c r="AT23" s="913"/>
      <c r="AU23" s="577"/>
      <c r="AV23" s="562"/>
      <c r="AW23" s="577"/>
      <c r="AX23" s="516"/>
      <c r="AY23" s="516"/>
      <c r="AZ23" s="516"/>
      <c r="BA23" s="516"/>
      <c r="BB23" s="516"/>
      <c r="BC23" s="516"/>
      <c r="BD23" s="516"/>
      <c r="BE23" s="561"/>
      <c r="BF23" s="516"/>
      <c r="BG23" s="516"/>
      <c r="BH23" s="516"/>
      <c r="BI23" s="516"/>
      <c r="BJ23" s="516"/>
      <c r="BK23" s="974" t="s">
        <v>643</v>
      </c>
      <c r="BL23" s="782"/>
      <c r="BM23" s="1016" t="s">
        <v>979</v>
      </c>
      <c r="BN23" s="1009"/>
      <c r="BO23" s="1012"/>
      <c r="BP23" s="1012"/>
      <c r="BQ23" s="1015"/>
      <c r="BR23" s="577"/>
      <c r="BT23" s="577"/>
      <c r="BU23" s="504"/>
      <c r="BV23" s="990" t="s">
        <v>1077</v>
      </c>
      <c r="BW23" s="990"/>
      <c r="BX23" s="519"/>
      <c r="BY23" s="990" t="s">
        <v>1078</v>
      </c>
      <c r="BZ23" s="519"/>
      <c r="CA23" s="990" t="s">
        <v>1079</v>
      </c>
      <c r="CB23" s="1005" t="s">
        <v>1080</v>
      </c>
      <c r="CC23" s="1033" t="s">
        <v>1099</v>
      </c>
      <c r="CD23" s="990"/>
      <c r="CE23" s="504"/>
      <c r="CF23" s="994" t="s">
        <v>987</v>
      </c>
      <c r="CG23" s="994" t="s">
        <v>1100</v>
      </c>
      <c r="CH23" s="577"/>
      <c r="CI23" s="562"/>
      <c r="CJ23" s="577"/>
      <c r="CK23" s="976"/>
      <c r="CL23" s="977"/>
      <c r="CM23" s="977"/>
      <c r="CN23" s="977"/>
      <c r="CO23" s="977"/>
      <c r="CP23" s="977"/>
      <c r="CQ23" s="977"/>
      <c r="CR23" s="977"/>
      <c r="CS23" s="977"/>
      <c r="CT23" s="977"/>
      <c r="CU23" s="978"/>
      <c r="CV23" s="505"/>
      <c r="CW23" s="735"/>
      <c r="CX23" s="505"/>
      <c r="CY23" s="904" t="str">
        <f>IF(JC104=2,"",IF(ISERROR(IW66),$ET$17,CW23+IW66))</f>
        <v/>
      </c>
      <c r="CZ23" s="866"/>
      <c r="DA23" s="725"/>
      <c r="DB23" s="725"/>
      <c r="DC23" s="867"/>
      <c r="DD23" s="577"/>
      <c r="DE23" s="562"/>
      <c r="DF23" s="577"/>
      <c r="DG23" s="504"/>
      <c r="DH23" s="504"/>
      <c r="DI23" s="504"/>
      <c r="DJ23" s="504"/>
      <c r="DK23" s="504"/>
      <c r="DL23" s="504"/>
      <c r="DM23" s="504"/>
      <c r="DN23" s="504"/>
      <c r="DO23" s="504"/>
      <c r="DP23" s="504"/>
      <c r="DQ23" s="504"/>
      <c r="DR23" s="504"/>
      <c r="DS23" s="504"/>
      <c r="DT23" s="504"/>
      <c r="DU23" s="515"/>
      <c r="DV23" s="797"/>
      <c r="DW23" s="779"/>
      <c r="DX23" s="779"/>
      <c r="DY23" s="799"/>
      <c r="DZ23" s="577"/>
      <c r="EA23" s="562"/>
      <c r="EB23" s="577"/>
      <c r="EC23" s="504"/>
      <c r="ED23" s="504"/>
      <c r="EE23" s="504"/>
      <c r="EF23" s="504"/>
      <c r="EG23" s="504"/>
      <c r="EH23" s="504"/>
      <c r="EI23" s="504"/>
      <c r="EJ23" s="504"/>
      <c r="EK23" s="504"/>
      <c r="EL23" s="504"/>
      <c r="EM23" s="865"/>
      <c r="EN23" s="516"/>
      <c r="EO23" s="516"/>
      <c r="EP23" s="577"/>
      <c r="EQ23" s="562"/>
      <c r="ES23" s="543"/>
      <c r="ET23" s="500" t="s">
        <v>459</v>
      </c>
      <c r="EV23" s="1120" t="str">
        <f>AC23</f>
        <v>Existing (incl altered) glazing</v>
      </c>
      <c r="EW23" s="996" t="str">
        <f>AD23</f>
        <v>Existing glazing AND part of building work</v>
      </c>
      <c r="EX23" s="997"/>
      <c r="EY23" s="998"/>
      <c r="EZ23" s="580" t="s">
        <v>1006</v>
      </c>
      <c r="FI23" s="543" t="s">
        <v>402</v>
      </c>
      <c r="FJ23" s="543"/>
      <c r="FL23" s="578" t="s">
        <v>419</v>
      </c>
      <c r="FM23" s="579">
        <f t="shared" ref="FM23:FX23" si="25">IF(ISBLANK(AI25),1,0)</f>
        <v>1</v>
      </c>
      <c r="FN23" s="579">
        <f t="shared" si="25"/>
        <v>1</v>
      </c>
      <c r="FO23" s="579">
        <f t="shared" si="25"/>
        <v>1</v>
      </c>
      <c r="FP23" s="579">
        <f t="shared" si="25"/>
        <v>1</v>
      </c>
      <c r="FQ23" s="579">
        <f t="shared" si="25"/>
        <v>1</v>
      </c>
      <c r="FR23" s="579">
        <f t="shared" si="25"/>
        <v>1</v>
      </c>
      <c r="FS23" s="579">
        <f t="shared" si="25"/>
        <v>1</v>
      </c>
      <c r="FT23" s="579">
        <f t="shared" si="25"/>
        <v>1</v>
      </c>
      <c r="FU23" s="579">
        <f t="shared" si="25"/>
        <v>1</v>
      </c>
      <c r="FV23" s="579">
        <f t="shared" si="25"/>
        <v>1</v>
      </c>
      <c r="FW23" s="579">
        <f t="shared" si="25"/>
        <v>1</v>
      </c>
      <c r="FX23" s="579">
        <f t="shared" si="25"/>
        <v>1</v>
      </c>
      <c r="GE23" s="564" t="s">
        <v>665</v>
      </c>
      <c r="GF23" s="499" t="s">
        <v>685</v>
      </c>
      <c r="GG23" s="500">
        <v>0.04</v>
      </c>
      <c r="GH23" s="563">
        <v>0</v>
      </c>
      <c r="GI23" s="563">
        <v>0.22</v>
      </c>
      <c r="GJ23" s="500">
        <v>0.06</v>
      </c>
      <c r="GK23" s="500">
        <v>0.16</v>
      </c>
      <c r="GL23" s="566">
        <f t="shared" si="16"/>
        <v>0.48</v>
      </c>
      <c r="GM23" s="500">
        <v>0.48</v>
      </c>
      <c r="GN23" s="500">
        <f t="shared" si="17"/>
        <v>0.26</v>
      </c>
      <c r="GO23" s="500">
        <f t="shared" si="18"/>
        <v>0.44000000000000006</v>
      </c>
      <c r="GQ23" s="500" t="s">
        <v>847</v>
      </c>
      <c r="GR23" s="500"/>
      <c r="GS23" s="520" t="str">
        <f>BM61</f>
        <v/>
      </c>
      <c r="GT23" s="520">
        <f t="shared" si="3"/>
        <v>0</v>
      </c>
      <c r="GU23" s="563">
        <f>IF($GS23="",0,BN61)</f>
        <v>0</v>
      </c>
      <c r="GV23" s="563">
        <f>IF($GS23="",0,BO61)</f>
        <v>0</v>
      </c>
      <c r="GW23" s="563">
        <f>IF($GS23="",0,BP61)</f>
        <v>0</v>
      </c>
      <c r="GX23" s="563">
        <f>IF($GS23="",0,BQ61)</f>
        <v>0</v>
      </c>
      <c r="GY23" s="520">
        <f t="shared" si="4"/>
        <v>0</v>
      </c>
      <c r="GZ23" s="520">
        <f t="shared" si="5"/>
        <v>0</v>
      </c>
      <c r="HA23" s="520">
        <f t="shared" si="6"/>
        <v>0</v>
      </c>
      <c r="HB23" s="520">
        <f t="shared" si="7"/>
        <v>0</v>
      </c>
      <c r="HD23" s="999" t="s">
        <v>731</v>
      </c>
      <c r="HE23" s="1000"/>
      <c r="HF23" s="1000" t="s">
        <v>732</v>
      </c>
      <c r="HG23" s="534"/>
      <c r="HH23" s="535"/>
      <c r="HI23" s="751" t="s">
        <v>988</v>
      </c>
      <c r="HJ23" s="751"/>
      <c r="HK23" s="751"/>
      <c r="HL23" s="534"/>
      <c r="HM23" s="533"/>
      <c r="HN23" s="830"/>
      <c r="HO23" s="534"/>
      <c r="HP23" s="535"/>
      <c r="ID23" s="624" t="s">
        <v>875</v>
      </c>
      <c r="IF23" s="562" t="s">
        <v>473</v>
      </c>
      <c r="IG23" s="562" t="s">
        <v>474</v>
      </c>
      <c r="IH23" s="497" t="s">
        <v>475</v>
      </c>
      <c r="II23" s="497" t="s">
        <v>878</v>
      </c>
      <c r="IJ23" s="497" t="s">
        <v>472</v>
      </c>
      <c r="IK23" s="562"/>
      <c r="IL23" s="716" t="s">
        <v>1088</v>
      </c>
      <c r="IM23" s="673" t="s">
        <v>8</v>
      </c>
      <c r="IN23" s="534"/>
      <c r="IO23" s="673" t="s">
        <v>926</v>
      </c>
      <c r="IP23" s="673"/>
      <c r="IQ23" s="673" t="s">
        <v>927</v>
      </c>
      <c r="IR23" s="717"/>
      <c r="IU23" s="536" t="s">
        <v>859</v>
      </c>
      <c r="IV23" s="499" t="s">
        <v>854</v>
      </c>
      <c r="JG23" s="500" t="s">
        <v>847</v>
      </c>
      <c r="JH23" s="500"/>
      <c r="JI23" s="520" t="str">
        <f>CY56</f>
        <v/>
      </c>
      <c r="JJ23" s="520">
        <f t="shared" si="9"/>
        <v>0</v>
      </c>
      <c r="JK23" s="500">
        <f>IF($JI23="",0,CZ56)</f>
        <v>0</v>
      </c>
      <c r="JL23" s="500">
        <f>IF($JI23="",0,DA56)</f>
        <v>0</v>
      </c>
      <c r="JM23" s="500">
        <f>IF($JI23="",0,DB56)</f>
        <v>0</v>
      </c>
      <c r="JN23" s="500">
        <f>IF($JI23="",0,DC56)</f>
        <v>0</v>
      </c>
      <c r="JO23" s="520">
        <f t="shared" si="10"/>
        <v>0</v>
      </c>
      <c r="JP23" s="520">
        <f t="shared" si="11"/>
        <v>0</v>
      </c>
      <c r="JQ23" s="520">
        <f t="shared" si="12"/>
        <v>0</v>
      </c>
      <c r="JR23" s="520">
        <f t="shared" si="13"/>
        <v>0</v>
      </c>
      <c r="JT23" s="593" t="b">
        <f>AND(ISBLANK(CK23),ISNUMBER(CW23))</f>
        <v>0</v>
      </c>
      <c r="JU23" s="594" t="b">
        <f>AND(ISBLANK(CK23),OR(ISTEXT(CL28),ISTEXT(CW28)))</f>
        <v>0</v>
      </c>
      <c r="JV23" s="594" t="b">
        <f>AND(ISBLANK(CW23),ISTEXT(CK23))</f>
        <v>0</v>
      </c>
      <c r="JW23" s="614" t="b">
        <f>AND(SUM(CZ23:DC23)&gt;0,AND(ISBLANK(CK23),ISBLANK(CW23)))</f>
        <v>0</v>
      </c>
      <c r="JX23" s="526">
        <f>IF(CZ23&gt;0,1,0)</f>
        <v>0</v>
      </c>
      <c r="JY23" s="526">
        <f t="shared" ref="JY23:KA23" si="26">IF(DA23&gt;0,1,0)</f>
        <v>0</v>
      </c>
      <c r="JZ23" s="526">
        <f t="shared" si="26"/>
        <v>0</v>
      </c>
      <c r="KA23" s="526">
        <f t="shared" si="26"/>
        <v>0</v>
      </c>
      <c r="KB23" s="593" t="b">
        <f>AND(ISTEXT($CZ$17),AND(CZ23=0,$JX$65&lt;2))</f>
        <v>0</v>
      </c>
      <c r="KC23" s="594" t="b">
        <f>AND(ISTEXT($DA$17),AND(DA23=0,$JY$65&lt;2))</f>
        <v>0</v>
      </c>
      <c r="KD23" s="594" t="b">
        <f>AND(ISTEXT($DB$17),AND(DB23=0,$JZ$65&lt;2))</f>
        <v>0</v>
      </c>
      <c r="KE23" s="614" t="b">
        <f>AND(ISTEXT($DC$17),AND(DC23=0,$KA$65&lt;2))</f>
        <v>0</v>
      </c>
      <c r="KG23" s="604" t="s">
        <v>942</v>
      </c>
      <c r="KH23" s="500">
        <v>0.39</v>
      </c>
      <c r="KI23" s="500">
        <v>0.39</v>
      </c>
      <c r="KJ23" s="500">
        <v>0.39</v>
      </c>
      <c r="KK23" s="500">
        <v>0.39</v>
      </c>
      <c r="KL23" s="500">
        <v>0.39</v>
      </c>
      <c r="KZ23" s="533"/>
      <c r="LA23" s="534"/>
      <c r="LB23" s="594" t="b">
        <f>AND(MID(DO22,1,3)="Not",MID(DK22,1,1)="E")</f>
        <v>0</v>
      </c>
      <c r="LC23" s="534"/>
      <c r="LD23" s="535"/>
      <c r="LE23" s="526"/>
      <c r="LF23" s="526"/>
      <c r="LG23" s="526"/>
      <c r="LH23" s="526"/>
      <c r="LI23" s="533"/>
      <c r="LJ23" s="534"/>
      <c r="LK23" s="534"/>
      <c r="LL23" s="535"/>
      <c r="LN23" s="500"/>
      <c r="LO23" s="500"/>
      <c r="LP23" s="500"/>
      <c r="ME23" s="586" t="s">
        <v>600</v>
      </c>
      <c r="MF23" s="586"/>
      <c r="MG23" s="587" t="s">
        <v>601</v>
      </c>
      <c r="MH23" s="586"/>
      <c r="MM23" s="543"/>
    </row>
    <row r="24" spans="1:351" ht="11.25" customHeight="1" thickBot="1">
      <c r="A24" s="577"/>
      <c r="B24" s="516" t="s">
        <v>1000</v>
      </c>
      <c r="C24" s="504"/>
      <c r="D24" s="516"/>
      <c r="E24" s="516"/>
      <c r="F24" s="516"/>
      <c r="G24" s="516" t="s">
        <v>517</v>
      </c>
      <c r="H24" s="504"/>
      <c r="I24" s="504"/>
      <c r="J24" s="516"/>
      <c r="K24" s="516"/>
      <c r="L24" s="516"/>
      <c r="M24" s="516"/>
      <c r="N24" s="516"/>
      <c r="O24" s="516"/>
      <c r="P24" s="516"/>
      <c r="Q24" s="516"/>
      <c r="R24" s="516"/>
      <c r="S24" s="516"/>
      <c r="T24" s="1079"/>
      <c r="U24" s="577"/>
      <c r="V24" s="562"/>
      <c r="W24" s="577"/>
      <c r="X24" s="779"/>
      <c r="Y24" s="779"/>
      <c r="Z24" s="779"/>
      <c r="AA24" s="779"/>
      <c r="AB24" s="779"/>
      <c r="AC24" s="1112"/>
      <c r="AD24" s="1112"/>
      <c r="AE24" s="504"/>
      <c r="AF24" s="517"/>
      <c r="AG24" s="516"/>
      <c r="AH24" s="504"/>
      <c r="AI24" s="1114" t="s">
        <v>533</v>
      </c>
      <c r="AJ24" s="1115"/>
      <c r="AK24" s="1115"/>
      <c r="AL24" s="1115"/>
      <c r="AM24" s="1115"/>
      <c r="AN24" s="1115"/>
      <c r="AO24" s="1115"/>
      <c r="AP24" s="1115"/>
      <c r="AQ24" s="1115"/>
      <c r="AR24" s="1115"/>
      <c r="AS24" s="1115"/>
      <c r="AT24" s="1115"/>
      <c r="AU24" s="577"/>
      <c r="AV24" s="562"/>
      <c r="AW24" s="577"/>
      <c r="AX24" s="516"/>
      <c r="AY24" s="516"/>
      <c r="AZ24" s="516"/>
      <c r="BA24" s="516"/>
      <c r="BB24" s="516"/>
      <c r="BC24" s="516"/>
      <c r="BD24" s="516"/>
      <c r="BE24" s="516"/>
      <c r="BF24" s="516"/>
      <c r="BG24" s="516"/>
      <c r="BH24" s="516"/>
      <c r="BI24" s="516"/>
      <c r="BJ24" s="529"/>
      <c r="BK24" s="974"/>
      <c r="BL24" s="782"/>
      <c r="BM24" s="1016"/>
      <c r="BN24" s="984" t="s">
        <v>738</v>
      </c>
      <c r="BO24" s="985"/>
      <c r="BP24" s="985"/>
      <c r="BQ24" s="986"/>
      <c r="BR24" s="577"/>
      <c r="BT24" s="577"/>
      <c r="BU24" s="505"/>
      <c r="BV24" s="975"/>
      <c r="BW24" s="975"/>
      <c r="BX24" s="786"/>
      <c r="BY24" s="975"/>
      <c r="BZ24" s="786"/>
      <c r="CA24" s="975"/>
      <c r="CB24" s="1006"/>
      <c r="CC24" s="1034"/>
      <c r="CD24" s="1035"/>
      <c r="CE24" s="505"/>
      <c r="CF24" s="994"/>
      <c r="CG24" s="995"/>
      <c r="CH24" s="577"/>
      <c r="CI24" s="562"/>
      <c r="CJ24" s="577"/>
      <c r="CK24" s="504"/>
      <c r="CL24" s="504"/>
      <c r="CM24" s="504"/>
      <c r="CN24" s="504"/>
      <c r="CO24" s="504"/>
      <c r="CP24" s="504"/>
      <c r="CQ24" s="504"/>
      <c r="CR24" s="504"/>
      <c r="CS24" s="504"/>
      <c r="CT24" s="504"/>
      <c r="CU24" s="504"/>
      <c r="CV24" s="504"/>
      <c r="CW24" s="504"/>
      <c r="CX24" s="504"/>
      <c r="CY24" s="599"/>
      <c r="CZ24" s="868"/>
      <c r="DA24" s="869"/>
      <c r="DB24" s="869"/>
      <c r="DC24" s="870"/>
      <c r="DD24" s="577"/>
      <c r="DE24" s="562"/>
      <c r="DF24" s="577"/>
      <c r="DG24" s="504"/>
      <c r="DH24" s="504"/>
      <c r="DI24" s="504"/>
      <c r="DJ24" s="504"/>
      <c r="DK24" s="504"/>
      <c r="DL24" s="504"/>
      <c r="DM24" s="504"/>
      <c r="DN24" s="504"/>
      <c r="DO24" s="599"/>
      <c r="DP24" s="504"/>
      <c r="DQ24" s="504"/>
      <c r="DR24" s="504"/>
      <c r="DS24" s="504"/>
      <c r="DT24" s="504"/>
      <c r="DU24" s="515"/>
      <c r="DV24" s="794"/>
      <c r="DW24" s="779"/>
      <c r="DX24" s="779"/>
      <c r="DY24" s="799"/>
      <c r="DZ24" s="577"/>
      <c r="EA24" s="562"/>
      <c r="EB24" s="577"/>
      <c r="EC24" s="504"/>
      <c r="ED24" s="504"/>
      <c r="EE24" s="504"/>
      <c r="EF24" s="504"/>
      <c r="EG24" s="504"/>
      <c r="EH24" s="504"/>
      <c r="EI24" s="504"/>
      <c r="EJ24" s="504"/>
      <c r="EK24" s="504"/>
      <c r="EL24" s="504"/>
      <c r="EM24" s="516"/>
      <c r="EN24" s="516"/>
      <c r="EO24" s="516"/>
      <c r="EP24" s="577"/>
      <c r="EQ24" s="562"/>
      <c r="ES24" s="543"/>
      <c r="ET24" s="500" t="s">
        <v>460</v>
      </c>
      <c r="EV24" s="1121"/>
      <c r="EW24" s="999"/>
      <c r="EX24" s="1000"/>
      <c r="EY24" s="1001"/>
      <c r="EZ24" s="580" t="s">
        <v>1007</v>
      </c>
      <c r="FI24" s="543"/>
      <c r="FJ24" s="899" t="e">
        <f>FJ14-FJ19</f>
        <v>#VALUE!</v>
      </c>
      <c r="FM24" s="591">
        <f t="shared" ref="FM24:FX24" si="27">SUM(FM21:FM23)</f>
        <v>3</v>
      </c>
      <c r="FN24" s="591">
        <f t="shared" si="27"/>
        <v>3</v>
      </c>
      <c r="FO24" s="591">
        <f t="shared" si="27"/>
        <v>3</v>
      </c>
      <c r="FP24" s="591">
        <f t="shared" si="27"/>
        <v>3</v>
      </c>
      <c r="FQ24" s="591">
        <f t="shared" si="27"/>
        <v>3</v>
      </c>
      <c r="FR24" s="591">
        <f t="shared" si="27"/>
        <v>3</v>
      </c>
      <c r="FS24" s="591">
        <f t="shared" si="27"/>
        <v>3</v>
      </c>
      <c r="FT24" s="591">
        <f t="shared" si="27"/>
        <v>3</v>
      </c>
      <c r="FU24" s="591">
        <f t="shared" si="27"/>
        <v>3</v>
      </c>
      <c r="FV24" s="591">
        <f t="shared" si="27"/>
        <v>3</v>
      </c>
      <c r="FW24" s="591">
        <f t="shared" si="27"/>
        <v>3</v>
      </c>
      <c r="FX24" s="591">
        <f t="shared" si="27"/>
        <v>3</v>
      </c>
      <c r="FZ24" s="497" t="s">
        <v>386</v>
      </c>
      <c r="GA24" s="497" t="s">
        <v>411</v>
      </c>
      <c r="GB24" s="497" t="s">
        <v>412</v>
      </c>
      <c r="GC24" s="497" t="s">
        <v>413</v>
      </c>
      <c r="GE24" s="564" t="s">
        <v>666</v>
      </c>
      <c r="GF24" s="499" t="s">
        <v>686</v>
      </c>
      <c r="GG24" s="500">
        <v>0.04</v>
      </c>
      <c r="GH24" s="563">
        <v>0</v>
      </c>
      <c r="GI24" s="563">
        <v>0.15</v>
      </c>
      <c r="GJ24" s="500">
        <v>0.06</v>
      </c>
      <c r="GK24" s="500">
        <v>0.11</v>
      </c>
      <c r="GL24" s="566">
        <f t="shared" si="16"/>
        <v>0.36</v>
      </c>
      <c r="GM24" s="500">
        <v>0.36</v>
      </c>
      <c r="GN24" s="500">
        <f t="shared" si="17"/>
        <v>0.19</v>
      </c>
      <c r="GO24" s="500">
        <f t="shared" si="18"/>
        <v>0.32</v>
      </c>
      <c r="GU24" s="592" t="s">
        <v>721</v>
      </c>
      <c r="GY24" s="592" t="s">
        <v>720</v>
      </c>
      <c r="HD24" s="999"/>
      <c r="HE24" s="1000"/>
      <c r="HF24" s="1000"/>
      <c r="HG24" s="534" t="s">
        <v>418</v>
      </c>
      <c r="HH24" s="535"/>
      <c r="HI24" s="751" t="s">
        <v>989</v>
      </c>
      <c r="HM24" s="533"/>
      <c r="HN24" s="830"/>
      <c r="HO24" s="534"/>
      <c r="HP24" s="535"/>
      <c r="ID24" s="500">
        <f>COUNTIF(BV25:BW25,"&gt;0")</f>
        <v>0</v>
      </c>
      <c r="IE24" s="500">
        <f>COUNTIF(BY25,"&gt;0")</f>
        <v>0</v>
      </c>
      <c r="IF24" s="563">
        <f>IF(IE24=1,0,(BV25/1000)*(BW25/1000))</f>
        <v>0</v>
      </c>
      <c r="IG24" s="563">
        <f>IF(OR(ID24=1,ID24=2),0,PI()*POWER(BY25/2000,2))</f>
        <v>0</v>
      </c>
      <c r="IH24" s="563">
        <f>IF(IF24=0,BY25/1000,AVERAGE(BV25:BW25)/1000)</f>
        <v>0</v>
      </c>
      <c r="II24" s="563">
        <f>IF(IH24=0,0,CA25/1000/IH24)</f>
        <v>0</v>
      </c>
      <c r="IJ24" s="563">
        <f>SUM($IF24:$IG24)</f>
        <v>0</v>
      </c>
      <c r="IK24" s="562"/>
      <c r="IL24" s="593" t="b">
        <f>AND(ISNUMBER(BY25),OR(ISNUMBER(BW25),ISNUMBER(BV25)))</f>
        <v>0</v>
      </c>
      <c r="IM24" s="594" t="b">
        <f>AND(ISBLANK(BV25),ISNUMBER(BW25))</f>
        <v>0</v>
      </c>
      <c r="IN24" s="594" t="b">
        <f>AND(ISNUMBER(BV25),ISNUMBER(BY25))</f>
        <v>0</v>
      </c>
      <c r="IO24" s="594" t="b">
        <f>AND(ISBLANK(BW25),ISNUMBER(BV25))</f>
        <v>0</v>
      </c>
      <c r="IP24" s="594" t="b">
        <f>AND(ISNUMBER(BW25),ISNUMBER(BY25))</f>
        <v>0</v>
      </c>
      <c r="IQ24" s="594" t="b">
        <f>AND(ISBLANK(CA25),SUM(BV25:BY25)&gt;0)</f>
        <v>0</v>
      </c>
      <c r="IR24" s="614" t="b">
        <f>AND(ISNUMBER(CA25),SUM(BV25:BY25)=0)</f>
        <v>0</v>
      </c>
      <c r="IV24" s="537" t="s">
        <v>863</v>
      </c>
      <c r="JK24" s="497" t="s">
        <v>721</v>
      </c>
      <c r="JO24" s="497" t="s">
        <v>720</v>
      </c>
      <c r="JT24" s="533"/>
      <c r="JU24" s="594" t="b">
        <f>AND(ISBLANK(CK23),OR(ISTEXT(CL32),ISTEXT(CW32)))</f>
        <v>0</v>
      </c>
      <c r="JV24" s="534"/>
      <c r="JW24" s="535"/>
      <c r="JX24" s="526"/>
      <c r="JY24" s="526"/>
      <c r="JZ24" s="526"/>
      <c r="KA24" s="526"/>
      <c r="KB24" s="533"/>
      <c r="KC24" s="534"/>
      <c r="KD24" s="534"/>
      <c r="KE24" s="535"/>
      <c r="KS24" s="497" t="s">
        <v>722</v>
      </c>
      <c r="KT24" s="502">
        <f>SUM(KQ22:KT22)</f>
        <v>0</v>
      </c>
      <c r="KW24" s="497" t="s">
        <v>723</v>
      </c>
      <c r="KX24" s="502">
        <f>SUM(KU22:KX22)</f>
        <v>0</v>
      </c>
      <c r="KZ24" s="533"/>
      <c r="LA24" s="534"/>
      <c r="LB24" s="594" t="b">
        <f>AND(DO22&lt;&gt;$ET$55,MID(DK22,1,1)="U")</f>
        <v>0</v>
      </c>
      <c r="LC24" s="534"/>
      <c r="LD24" s="535"/>
      <c r="LE24" s="526"/>
      <c r="LF24" s="526"/>
      <c r="LG24" s="526"/>
      <c r="LH24" s="526"/>
      <c r="LI24" s="533"/>
      <c r="LJ24" s="534"/>
      <c r="LK24" s="534"/>
      <c r="LL24" s="535"/>
      <c r="MB24" s="498" t="s">
        <v>423</v>
      </c>
      <c r="ME24" s="595" t="s">
        <v>585</v>
      </c>
      <c r="MF24" s="596" t="s">
        <v>228</v>
      </c>
      <c r="MG24" s="597" t="s">
        <v>585</v>
      </c>
      <c r="MH24" s="598" t="s">
        <v>228</v>
      </c>
      <c r="MM24" s="543"/>
    </row>
    <row r="25" spans="1:351" ht="11.25" customHeight="1" thickBot="1">
      <c r="A25" s="577"/>
      <c r="B25" s="516"/>
      <c r="C25" s="504"/>
      <c r="D25" s="516"/>
      <c r="E25" s="516"/>
      <c r="F25" s="516"/>
      <c r="G25" s="621" t="s">
        <v>1001</v>
      </c>
      <c r="H25" s="621"/>
      <c r="I25" s="621"/>
      <c r="J25" s="621"/>
      <c r="K25" s="621"/>
      <c r="L25" s="621"/>
      <c r="M25" s="621"/>
      <c r="N25" s="621"/>
      <c r="O25" s="621"/>
      <c r="P25" s="621"/>
      <c r="Q25" s="621"/>
      <c r="R25" s="621"/>
      <c r="S25" s="621"/>
      <c r="T25" s="1079"/>
      <c r="U25" s="577"/>
      <c r="V25" s="562"/>
      <c r="W25" s="577"/>
      <c r="X25" s="526"/>
      <c r="Y25" s="526"/>
      <c r="Z25" s="526"/>
      <c r="AA25" s="526"/>
      <c r="AB25" s="526"/>
      <c r="AC25" s="1112"/>
      <c r="AD25" s="1112"/>
      <c r="AE25" s="504"/>
      <c r="AF25" s="517" t="s">
        <v>975</v>
      </c>
      <c r="AG25" s="516"/>
      <c r="AH25" s="504"/>
      <c r="AI25" s="723"/>
      <c r="AJ25" s="723"/>
      <c r="AK25" s="723"/>
      <c r="AL25" s="723"/>
      <c r="AM25" s="723"/>
      <c r="AN25" s="723"/>
      <c r="AO25" s="723"/>
      <c r="AP25" s="723"/>
      <c r="AQ25" s="723"/>
      <c r="AR25" s="723"/>
      <c r="AS25" s="723"/>
      <c r="AT25" s="723"/>
      <c r="AU25" s="577"/>
      <c r="AV25" s="562"/>
      <c r="AW25" s="577"/>
      <c r="AX25" s="532" t="str">
        <f>CONCATENATE("Roof 1:"," ",$ET$34)</f>
        <v>Roof 1: Existing roof construction</v>
      </c>
      <c r="AY25" s="585"/>
      <c r="AZ25" s="585"/>
      <c r="BA25" s="585"/>
      <c r="BB25" s="585"/>
      <c r="BC25" s="585"/>
      <c r="BD25" s="585"/>
      <c r="BE25" s="585"/>
      <c r="BF25" s="585"/>
      <c r="BG25" s="585"/>
      <c r="BH25" s="585"/>
      <c r="BI25" s="585"/>
      <c r="BJ25" s="529"/>
      <c r="BK25" s="975"/>
      <c r="BL25" s="781"/>
      <c r="BM25" s="1017"/>
      <c r="BN25" s="987"/>
      <c r="BO25" s="988"/>
      <c r="BP25" s="988"/>
      <c r="BQ25" s="989"/>
      <c r="BR25" s="577"/>
      <c r="BT25" s="577"/>
      <c r="BU25" s="560" t="s">
        <v>471</v>
      </c>
      <c r="BV25" s="913"/>
      <c r="BW25" s="913"/>
      <c r="BX25" s="528"/>
      <c r="BY25" s="913"/>
      <c r="BZ25" s="528"/>
      <c r="CA25" s="913"/>
      <c r="CB25" s="710" t="str">
        <f>IF(II24=0,"",II24)</f>
        <v/>
      </c>
      <c r="CC25" s="707" t="str">
        <f>IF(OR(ISERROR(IJ29),IR27&gt;0),$ET$17,IF(IJ29=0,"",IJ29))</f>
        <v/>
      </c>
      <c r="CD25" s="708" t="str">
        <f>IF(OR(CC25=$ET$17,CC25=""),"",IF(CC25&gt;5%,$ET$16,$ET$15))</f>
        <v/>
      </c>
      <c r="CE25" s="504"/>
      <c r="CF25" s="709" t="str">
        <f>IF(OR(ISERROR($IJ$29),$IR$27&gt;0),$ET$17,IF($CC$25="","",IF($CC$25&gt;5%,$ET$39,IF(SUM(BV25:BY25)=0,"",INDEX(BC_RLight_U,MATCH(CB25,BC_RLight_Shaft,-1),MATCH($CC$25,BC_RLight_Percent,-1))))))</f>
        <v/>
      </c>
      <c r="CG25" s="709" t="str">
        <f>IF(OR(ISERROR($IJ$29),$IR$27&gt;0),$ET$17,IF($CC$25="","",IF($CC$25&gt;5%,$ET$39,IF(SUM(BV25:BY25)=0,"",INDEX(BC_RLight_SHGC,MATCH(CB25,BC_RLight_Shaft,-1),MATCH($CC$25,BC_RLight_Percent,-1))))))</f>
        <v/>
      </c>
      <c r="CH25" s="577"/>
      <c r="CI25" s="562"/>
      <c r="CJ25" s="577"/>
      <c r="CK25" s="504"/>
      <c r="CL25" s="504"/>
      <c r="CM25" s="504"/>
      <c r="CN25" s="504"/>
      <c r="CO25" s="504"/>
      <c r="CP25" s="504"/>
      <c r="CQ25" s="504"/>
      <c r="CR25" s="504"/>
      <c r="CS25" s="504"/>
      <c r="CT25" s="504"/>
      <c r="CU25" s="504"/>
      <c r="CV25" s="504"/>
      <c r="CW25" s="990" t="s">
        <v>799</v>
      </c>
      <c r="CX25" s="782"/>
      <c r="CY25" s="1016" t="s">
        <v>646</v>
      </c>
      <c r="CZ25" s="868"/>
      <c r="DA25" s="869"/>
      <c r="DB25" s="869"/>
      <c r="DC25" s="870"/>
      <c r="DD25" s="577"/>
      <c r="DE25" s="562"/>
      <c r="DF25" s="577"/>
      <c r="DG25" s="504"/>
      <c r="DH25" s="504"/>
      <c r="DI25" s="504"/>
      <c r="DJ25" s="504"/>
      <c r="DK25" s="504"/>
      <c r="DL25" s="504"/>
      <c r="DM25" s="504"/>
      <c r="DN25" s="504"/>
      <c r="DO25" s="504"/>
      <c r="DP25" s="504"/>
      <c r="DQ25" s="504"/>
      <c r="DR25" s="504"/>
      <c r="DS25" s="974" t="s">
        <v>643</v>
      </c>
      <c r="DT25" s="519"/>
      <c r="DU25" s="1016"/>
      <c r="DV25" s="794"/>
      <c r="DW25" s="779"/>
      <c r="DX25" s="779"/>
      <c r="DY25" s="799"/>
      <c r="DZ25" s="577"/>
      <c r="EA25" s="562"/>
      <c r="EB25" s="577"/>
      <c r="EC25" s="504"/>
      <c r="ED25" s="504"/>
      <c r="EE25" s="504"/>
      <c r="EF25" s="504"/>
      <c r="EG25" s="504"/>
      <c r="EH25" s="504"/>
      <c r="EI25" s="504"/>
      <c r="EJ25" s="504"/>
      <c r="EK25" s="504"/>
      <c r="EL25" s="504"/>
      <c r="EM25" s="516"/>
      <c r="EN25" s="516"/>
      <c r="EO25" s="516"/>
      <c r="EP25" s="577"/>
      <c r="EQ25" s="562"/>
      <c r="ES25" s="543"/>
      <c r="ET25" s="500" t="s">
        <v>518</v>
      </c>
      <c r="EV25" s="1121"/>
      <c r="EW25" s="999"/>
      <c r="EX25" s="1000"/>
      <c r="EY25" s="1001"/>
      <c r="FW25" s="578" t="s">
        <v>562</v>
      </c>
      <c r="FX25" s="600">
        <f>SUM(FM24:FX24)</f>
        <v>36</v>
      </c>
      <c r="GA25" s="536" t="s">
        <v>404</v>
      </c>
      <c r="GE25" s="564" t="s">
        <v>706</v>
      </c>
      <c r="GF25" s="504" t="s">
        <v>708</v>
      </c>
      <c r="GG25" s="504">
        <v>0.04</v>
      </c>
      <c r="GH25" s="565">
        <v>0.02</v>
      </c>
      <c r="GI25" s="504">
        <v>0.19</v>
      </c>
      <c r="GJ25" s="504">
        <v>0.06</v>
      </c>
      <c r="GK25" s="504">
        <v>0.14000000000000001</v>
      </c>
      <c r="GL25" s="566">
        <f t="shared" si="16"/>
        <v>0.45</v>
      </c>
      <c r="GM25" s="526">
        <v>0.45</v>
      </c>
      <c r="GN25" s="504">
        <f t="shared" si="17"/>
        <v>0.25</v>
      </c>
      <c r="GO25" s="504">
        <f t="shared" si="18"/>
        <v>0.39</v>
      </c>
      <c r="GU25" s="502">
        <f>SUM(GU16:GU23)</f>
        <v>0</v>
      </c>
      <c r="GV25" s="502">
        <f t="shared" ref="GV25:HB25" si="28">SUM(GV16:GV23)</f>
        <v>0</v>
      </c>
      <c r="GW25" s="502">
        <f>SUM(GW16:GW23)</f>
        <v>0</v>
      </c>
      <c r="GX25" s="502">
        <f t="shared" si="28"/>
        <v>0</v>
      </c>
      <c r="GY25" s="502">
        <f t="shared" si="28"/>
        <v>0</v>
      </c>
      <c r="GZ25" s="502">
        <f t="shared" si="28"/>
        <v>0</v>
      </c>
      <c r="HA25" s="502">
        <f t="shared" si="28"/>
        <v>0</v>
      </c>
      <c r="HB25" s="502">
        <f t="shared" si="28"/>
        <v>0</v>
      </c>
      <c r="HD25" s="593" t="b">
        <f>AND(ISBLANK(AX26),ISNUMBER(BK26))</f>
        <v>0</v>
      </c>
      <c r="HE25" s="594" t="b">
        <f>AND(ISBLANK(AX26),OR(ISTEXT(AY31),ISTEXT(BB31)))</f>
        <v>0</v>
      </c>
      <c r="HF25" s="594" t="b">
        <f>AND(ISBLANK(BK26),ISTEXT(AX26))</f>
        <v>0</v>
      </c>
      <c r="HG25" s="594" t="b">
        <f>AND(SUM(BN26:BQ26)&gt;0,AND(ISBLANK(AX26),ISBLANK(BK26)))</f>
        <v>0</v>
      </c>
      <c r="HH25" s="614"/>
      <c r="HI25" s="863">
        <f>IF(BN26&gt;0,1,0)</f>
        <v>0</v>
      </c>
      <c r="HJ25" s="779">
        <f t="shared" ref="HJ25" si="29">IF(BO26&gt;0,1,0)</f>
        <v>0</v>
      </c>
      <c r="HK25" s="779">
        <f t="shared" ref="HK25" si="30">IF(BP26&gt;0,1,0)</f>
        <v>0</v>
      </c>
      <c r="HL25" s="779">
        <f>IF(BQ26&gt;0,1,0)</f>
        <v>0</v>
      </c>
      <c r="HM25" s="593" t="b">
        <f>AND(ISTEXT($BN$20),AND(BN26=0,$HI$66&lt;2))</f>
        <v>0</v>
      </c>
      <c r="HN25" s="594" t="b">
        <f>AND(ISTEXT($BO$20),AND(BO26=0,$HJ$66&lt;2))</f>
        <v>0</v>
      </c>
      <c r="HO25" s="594" t="b">
        <f>AND(ISTEXT($BP$20),AND(BP26=0,$HK$66&lt;2))</f>
        <v>0</v>
      </c>
      <c r="HP25" s="614" t="b">
        <f>AND(ISTEXT($BQ$20),AND(BQ26=0,$HL$66&lt;2))</f>
        <v>0</v>
      </c>
      <c r="ID25" s="500">
        <f>COUNTIF(BV26:BW26,"&gt;0")</f>
        <v>0</v>
      </c>
      <c r="IE25" s="500">
        <f>COUNTIF(BY26,"&gt;0")</f>
        <v>0</v>
      </c>
      <c r="IF25" s="563">
        <f>IF(IE25=1,0,(BV26/1000)*(BW26/1000))</f>
        <v>0</v>
      </c>
      <c r="IG25" s="563">
        <f>IF(OR(ID25=1,ID25=2),0,PI()*POWER(BY26/2000,2))</f>
        <v>0</v>
      </c>
      <c r="IH25" s="563">
        <f>IF(IF25=0,BY26/1000,AVERAGE(BV26:BW26)/1000)</f>
        <v>0</v>
      </c>
      <c r="II25" s="563">
        <f>IF(IH25=0,0,CA26/1000/IH25)</f>
        <v>0</v>
      </c>
      <c r="IJ25" s="563">
        <f t="shared" ref="IJ25:IJ26" si="31">SUM($IF25:$IG25)</f>
        <v>0</v>
      </c>
      <c r="IK25" s="562"/>
      <c r="IL25" s="593" t="b">
        <f>AND(ISNUMBER(BY26),OR(ISNUMBER(BW26),ISNUMBER(BV26)))</f>
        <v>0</v>
      </c>
      <c r="IM25" s="594" t="b">
        <f>AND(ISBLANK(BV26),ISNUMBER(BW26))</f>
        <v>0</v>
      </c>
      <c r="IN25" s="594" t="b">
        <f>AND(ISNUMBER(BV26),ISNUMBER(BY26))</f>
        <v>0</v>
      </c>
      <c r="IO25" s="594" t="b">
        <f>AND(ISBLANK(BW26),ISNUMBER(BV26))</f>
        <v>0</v>
      </c>
      <c r="IP25" s="594" t="b">
        <f>AND(ISNUMBER(BW26),ISNUMBER(BY26))</f>
        <v>0</v>
      </c>
      <c r="IQ25" s="594" t="b">
        <f>AND(ISBLANK(CA26),SUM(BV26:BY26)&gt;0)</f>
        <v>0</v>
      </c>
      <c r="IR25" s="614" t="b">
        <f>AND(ISNUMBER(CA26),SUM(BV26:BY26)=0)</f>
        <v>0</v>
      </c>
      <c r="IV25" s="537" t="s">
        <v>864</v>
      </c>
      <c r="JK25" s="502">
        <f>SUM(JK16:JK23)</f>
        <v>0</v>
      </c>
      <c r="JL25" s="502">
        <f t="shared" ref="JL25:JR25" si="32">SUM(JL16:JL23)</f>
        <v>0</v>
      </c>
      <c r="JM25" s="502">
        <f t="shared" si="32"/>
        <v>0</v>
      </c>
      <c r="JN25" s="502">
        <f t="shared" si="32"/>
        <v>0</v>
      </c>
      <c r="JO25" s="502">
        <f t="shared" si="32"/>
        <v>0</v>
      </c>
      <c r="JP25" s="502">
        <f t="shared" si="32"/>
        <v>0</v>
      </c>
      <c r="JQ25" s="502">
        <f t="shared" si="32"/>
        <v>0</v>
      </c>
      <c r="JR25" s="502">
        <f t="shared" si="32"/>
        <v>0</v>
      </c>
      <c r="JT25" s="533"/>
      <c r="JU25" s="534"/>
      <c r="JV25" s="534"/>
      <c r="JW25" s="535"/>
      <c r="JX25" s="526"/>
      <c r="JY25" s="526"/>
      <c r="JZ25" s="526"/>
      <c r="KA25" s="526"/>
      <c r="KB25" s="533"/>
      <c r="KC25" s="534"/>
      <c r="KD25" s="534"/>
      <c r="KE25" s="535"/>
      <c r="KH25" s="536" t="s">
        <v>952</v>
      </c>
      <c r="KZ25" s="533"/>
      <c r="LA25" s="534"/>
      <c r="LB25" s="534"/>
      <c r="LC25" s="534"/>
      <c r="LD25" s="535"/>
      <c r="LE25" s="526"/>
      <c r="LF25" s="526"/>
      <c r="LG25" s="526"/>
      <c r="LH25" s="526"/>
      <c r="LI25" s="533"/>
      <c r="LJ25" s="534"/>
      <c r="LK25" s="534"/>
      <c r="LL25" s="535"/>
      <c r="LY25" s="509" t="s">
        <v>597</v>
      </c>
      <c r="MB25" s="536" t="s">
        <v>605</v>
      </c>
      <c r="ME25" s="536" t="s">
        <v>606</v>
      </c>
      <c r="MM25" s="543"/>
    </row>
    <row r="26" spans="1:351" ht="11.25" customHeight="1" thickBot="1">
      <c r="A26" s="577"/>
      <c r="B26" s="504"/>
      <c r="C26" s="504"/>
      <c r="D26" s="504"/>
      <c r="E26" s="504"/>
      <c r="F26" s="504"/>
      <c r="G26" s="516" t="s">
        <v>511</v>
      </c>
      <c r="H26" s="504"/>
      <c r="I26" s="504"/>
      <c r="J26" s="504"/>
      <c r="K26" s="504"/>
      <c r="L26" s="504"/>
      <c r="M26" s="504"/>
      <c r="N26" s="516"/>
      <c r="O26" s="516"/>
      <c r="P26" s="516"/>
      <c r="Q26" s="516"/>
      <c r="R26" s="516"/>
      <c r="S26" s="516"/>
      <c r="T26" s="1079"/>
      <c r="U26" s="577"/>
      <c r="V26" s="562"/>
      <c r="W26" s="577"/>
      <c r="X26" s="1103" t="s">
        <v>537</v>
      </c>
      <c r="Y26" s="1103"/>
      <c r="Z26" s="1103"/>
      <c r="AA26" s="1103"/>
      <c r="AB26" s="526"/>
      <c r="AC26" s="1112"/>
      <c r="AD26" s="1112"/>
      <c r="AE26" s="504"/>
      <c r="AF26" s="1092" t="s">
        <v>497</v>
      </c>
      <c r="AG26" s="1092" t="s">
        <v>498</v>
      </c>
      <c r="AH26" s="1090" t="s">
        <v>466</v>
      </c>
      <c r="AI26" s="1107" t="s">
        <v>1105</v>
      </c>
      <c r="AJ26" s="1108"/>
      <c r="AK26" s="1108"/>
      <c r="AL26" s="1108"/>
      <c r="AM26" s="1108"/>
      <c r="AN26" s="1108"/>
      <c r="AO26" s="1108"/>
      <c r="AP26" s="1108"/>
      <c r="AQ26" s="1108"/>
      <c r="AR26" s="1108"/>
      <c r="AS26" s="1108"/>
      <c r="AT26" s="1108"/>
      <c r="AU26" s="577"/>
      <c r="AV26" s="562"/>
      <c r="AW26" s="577"/>
      <c r="AX26" s="1027"/>
      <c r="AY26" s="1028"/>
      <c r="AZ26" s="1028"/>
      <c r="BA26" s="1028"/>
      <c r="BB26" s="1028"/>
      <c r="BC26" s="1028"/>
      <c r="BD26" s="1028"/>
      <c r="BE26" s="1028"/>
      <c r="BF26" s="1028"/>
      <c r="BG26" s="1028"/>
      <c r="BH26" s="1028"/>
      <c r="BI26" s="1029"/>
      <c r="BJ26" s="588"/>
      <c r="BK26" s="727"/>
      <c r="BL26" s="589"/>
      <c r="BM26" s="787" t="str">
        <f>IF(GN97=2,"",IF(ISERROR(GG96+BK26),$ET$17,GG96+BK26))</f>
        <v/>
      </c>
      <c r="BN26" s="793"/>
      <c r="BO26" s="728"/>
      <c r="BP26" s="728"/>
      <c r="BQ26" s="798"/>
      <c r="BR26" s="577"/>
      <c r="BT26" s="577"/>
      <c r="BU26" s="560">
        <v>2</v>
      </c>
      <c r="BV26" s="913"/>
      <c r="BW26" s="913"/>
      <c r="BX26" s="528"/>
      <c r="BY26" s="913"/>
      <c r="BZ26" s="528"/>
      <c r="CA26" s="913"/>
      <c r="CB26" s="710" t="str">
        <f>IF(II25=0,"",II25)</f>
        <v/>
      </c>
      <c r="CC26" s="504"/>
      <c r="CD26" s="504"/>
      <c r="CE26" s="504"/>
      <c r="CF26" s="709" t="str">
        <f>IF(OR(ISERROR($IJ$29),$IR$27&gt;0),$ET$17,IF($CC$25="","",IF($CC$25&gt;5%,$ET$39,IF(SUM(BV26:BY26)=0,"",INDEX(BC_RLight_U,MATCH(CB26,BC_RLight_Shaft,-1),MATCH($CC$25,BC_RLight_Percent,-1))))))</f>
        <v/>
      </c>
      <c r="CG26" s="709" t="str">
        <f>IF(OR(ISERROR($IJ$29),$IR$27&gt;0),$ET$17,IF($CC$25="","",IF($CC$25&gt;5%,$ET$39,IF(SUM(BV26:BY26)=0,"",INDEX(BC_RLight_SHGC,MATCH(CB26,BC_RLight_Shaft,-1),MATCH($CC$25,BC_RLight_Percent,-1))))))</f>
        <v/>
      </c>
      <c r="CH26" s="577"/>
      <c r="CI26" s="562"/>
      <c r="CJ26" s="577"/>
      <c r="CK26" s="504"/>
      <c r="CL26" s="603" t="s">
        <v>798</v>
      </c>
      <c r="CM26" s="515"/>
      <c r="CN26" s="515"/>
      <c r="CO26" s="515"/>
      <c r="CP26" s="515"/>
      <c r="CQ26" s="515"/>
      <c r="CR26" s="515"/>
      <c r="CS26" s="515"/>
      <c r="CT26" s="515"/>
      <c r="CU26" s="515"/>
      <c r="CV26" s="504"/>
      <c r="CW26" s="990"/>
      <c r="CX26" s="782"/>
      <c r="CY26" s="1016"/>
      <c r="CZ26" s="868"/>
      <c r="DA26" s="869"/>
      <c r="DB26" s="869"/>
      <c r="DC26" s="870"/>
      <c r="DD26" s="577"/>
      <c r="DE26" s="562"/>
      <c r="DF26" s="577"/>
      <c r="DG26" s="634" t="str">
        <f>CONCATENATE("Floor 2:"," ",$ET$40," ",$ET$30)</f>
        <v>Floor 2: Existing floor construction (second option)</v>
      </c>
      <c r="DH26" s="629"/>
      <c r="DI26" s="629"/>
      <c r="DJ26" s="629"/>
      <c r="DK26" s="629"/>
      <c r="DL26" s="629"/>
      <c r="DM26" s="629"/>
      <c r="DN26" s="629"/>
      <c r="DO26" s="718"/>
      <c r="DP26" s="718"/>
      <c r="DQ26" s="718"/>
      <c r="DR26" s="504"/>
      <c r="DS26" s="974"/>
      <c r="DT26" s="790"/>
      <c r="DU26" s="1016"/>
      <c r="DV26" s="794"/>
      <c r="DW26" s="779"/>
      <c r="DX26" s="779"/>
      <c r="DY26" s="799"/>
      <c r="DZ26" s="577"/>
      <c r="EA26" s="562"/>
      <c r="EB26" s="577"/>
      <c r="EC26" s="884" t="s">
        <v>1071</v>
      </c>
      <c r="ED26" s="885"/>
      <c r="EE26" s="885"/>
      <c r="EF26" s="885"/>
      <c r="EG26" s="885"/>
      <c r="EH26" s="885"/>
      <c r="EI26" s="886"/>
      <c r="EJ26" s="886"/>
      <c r="EK26" s="886"/>
      <c r="EL26" s="886"/>
      <c r="EM26" s="517"/>
      <c r="EN26" s="516"/>
      <c r="EO26" s="516"/>
      <c r="EP26" s="577"/>
      <c r="EQ26" s="562"/>
      <c r="ES26" s="507" t="s">
        <v>552</v>
      </c>
      <c r="ET26" s="508"/>
      <c r="EV26" s="1121"/>
      <c r="EW26" s="999"/>
      <c r="EX26" s="1000"/>
      <c r="EY26" s="1001"/>
      <c r="EZ26" s="997" t="str">
        <f>AF26</f>
        <v>Height (m)</v>
      </c>
      <c r="FA26" s="997"/>
      <c r="FB26" s="998"/>
      <c r="FC26" s="999" t="str">
        <f>AG26</f>
        <v>Width (%)</v>
      </c>
      <c r="FD26" s="1000"/>
      <c r="FE26" s="1000"/>
      <c r="FF26" s="1000"/>
      <c r="FG26" s="1119" t="s">
        <v>558</v>
      </c>
      <c r="GA26" s="499" t="s">
        <v>405</v>
      </c>
      <c r="GB26" s="499" t="s">
        <v>406</v>
      </c>
      <c r="GC26" s="499" t="s">
        <v>407</v>
      </c>
      <c r="GE26" s="564" t="s">
        <v>707</v>
      </c>
      <c r="GF26" s="504" t="s">
        <v>709</v>
      </c>
      <c r="GG26" s="504">
        <v>0.04</v>
      </c>
      <c r="GH26" s="565">
        <v>0.02</v>
      </c>
      <c r="GI26" s="565">
        <v>0</v>
      </c>
      <c r="GJ26" s="504">
        <v>0.06</v>
      </c>
      <c r="GK26" s="504">
        <v>0.11</v>
      </c>
      <c r="GL26" s="566">
        <f t="shared" si="16"/>
        <v>0.22999999999999998</v>
      </c>
      <c r="GM26" s="526">
        <v>0.23</v>
      </c>
      <c r="GN26" s="504">
        <f t="shared" si="17"/>
        <v>0.06</v>
      </c>
      <c r="GO26" s="504">
        <f t="shared" si="18"/>
        <v>0.16999999999999998</v>
      </c>
      <c r="HD26" s="533"/>
      <c r="HE26" s="594" t="b">
        <f>AND(ISBLANK(AX26),OR(ISTEXT(AY36),ISTEXT(BB36)))</f>
        <v>0</v>
      </c>
      <c r="HF26" s="534"/>
      <c r="HG26" s="751" t="s">
        <v>985</v>
      </c>
      <c r="HH26" s="535"/>
      <c r="HI26" s="863"/>
      <c r="HJ26" s="779"/>
      <c r="HK26" s="779"/>
      <c r="HL26" s="779"/>
      <c r="HM26" s="533"/>
      <c r="HN26" s="830"/>
      <c r="HO26" s="534"/>
      <c r="HP26" s="535"/>
      <c r="ID26" s="500">
        <f>COUNTIF(BV27:BW27,"&gt;0")</f>
        <v>0</v>
      </c>
      <c r="IE26" s="500">
        <f>COUNTIF(BY27,"&gt;0")</f>
        <v>0</v>
      </c>
      <c r="IF26" s="563">
        <f>IF(IE26=1,0,(BV27/1000)*(BW27/1000))</f>
        <v>0</v>
      </c>
      <c r="IG26" s="563">
        <f>IF(OR(ID26=1,ID26=2),0,PI()*POWER(BY27/2000,2))</f>
        <v>0</v>
      </c>
      <c r="IH26" s="563">
        <f>IF(IF26=0,BY27/1000,AVERAGE(BV27:BW27)/1000)</f>
        <v>0</v>
      </c>
      <c r="II26" s="563">
        <f>IF(IH26=0,0,CA27/1000/IH26)</f>
        <v>0</v>
      </c>
      <c r="IJ26" s="563">
        <f t="shared" si="31"/>
        <v>0</v>
      </c>
      <c r="IK26" s="562"/>
      <c r="IL26" s="625" t="b">
        <f>AND(ISNUMBER(BY27),OR(ISNUMBER(BW27),ISNUMBER(BV27)))</f>
        <v>0</v>
      </c>
      <c r="IM26" s="559" t="b">
        <f>AND(ISBLANK(BV27),ISNUMBER(BW27))</f>
        <v>0</v>
      </c>
      <c r="IN26" s="559" t="b">
        <f>AND(ISNUMBER(BV27),ISNUMBER(BY27))</f>
        <v>0</v>
      </c>
      <c r="IO26" s="559" t="b">
        <f>AND(ISBLANK(BW27),ISNUMBER(BV27))</f>
        <v>0</v>
      </c>
      <c r="IP26" s="559" t="b">
        <f>AND(ISNUMBER(BW27),ISNUMBER(BY27))</f>
        <v>0</v>
      </c>
      <c r="IQ26" s="559" t="b">
        <f>AND(ISBLANK(CA27),SUM(BV27:BY27)&gt;0)</f>
        <v>0</v>
      </c>
      <c r="IR26" s="698" t="b">
        <f>AND(ISNUMBER(CA27),SUM(BV27:BY27)=0)</f>
        <v>0</v>
      </c>
      <c r="IV26" s="537" t="s">
        <v>865</v>
      </c>
      <c r="JT26" s="533"/>
      <c r="JU26" s="534"/>
      <c r="JV26" s="534"/>
      <c r="JW26" s="535"/>
      <c r="JX26" s="526"/>
      <c r="JY26" s="526"/>
      <c r="JZ26" s="526"/>
      <c r="KA26" s="526"/>
      <c r="KB26" s="533"/>
      <c r="KC26" s="534"/>
      <c r="KD26" s="534"/>
      <c r="KE26" s="535"/>
      <c r="KG26" s="514" t="str">
        <f>$KG$20</f>
        <v>Enclosed - Not more than 0.6m</v>
      </c>
      <c r="KH26" s="563">
        <v>1.1100000000000001</v>
      </c>
      <c r="KI26" s="563">
        <v>1.06</v>
      </c>
      <c r="KJ26" s="563">
        <v>1.01</v>
      </c>
      <c r="KK26" s="563">
        <v>0.9</v>
      </c>
      <c r="KL26" s="500" t="str">
        <f>$ET$17</f>
        <v>Data</v>
      </c>
      <c r="KT26" s="524" t="s">
        <v>724</v>
      </c>
      <c r="KU26" s="525">
        <f>IF(KQ22=0,0,KU22/KQ22)</f>
        <v>0</v>
      </c>
      <c r="KV26" s="525">
        <f>IF(KR22=0,0,KV22/KR22)</f>
        <v>0</v>
      </c>
      <c r="KW26" s="525">
        <f>IF(KS22=0,0,KW22/KS22)</f>
        <v>0</v>
      </c>
      <c r="KX26" s="525">
        <f>IF(KT22=0,0,KX22/KT22)</f>
        <v>0</v>
      </c>
      <c r="KZ26" s="533"/>
      <c r="LA26" s="534"/>
      <c r="LB26" s="534"/>
      <c r="LC26" s="534"/>
      <c r="LD26" s="535"/>
      <c r="LE26" s="526"/>
      <c r="LF26" s="526"/>
      <c r="LG26" s="526"/>
      <c r="LH26" s="526"/>
      <c r="LI26" s="533"/>
      <c r="LJ26" s="534"/>
      <c r="LK26" s="534"/>
      <c r="LL26" s="535"/>
      <c r="LR26" s="509" t="s">
        <v>925</v>
      </c>
      <c r="LX26" s="501" t="s">
        <v>386</v>
      </c>
      <c r="LY26" s="500">
        <v>1</v>
      </c>
      <c r="LZ26" s="543" t="s">
        <v>598</v>
      </c>
      <c r="MA26" s="500" t="str">
        <f>$ET$51</f>
        <v>No</v>
      </c>
      <c r="MB26" s="500" t="str">
        <f>CONCATENATE(LY26,LZ26,MA26)</f>
        <v>1DirectNo</v>
      </c>
      <c r="MC26" s="500"/>
      <c r="MD26" s="500"/>
      <c r="ME26" s="510">
        <v>1.0900000000000001</v>
      </c>
      <c r="MF26" s="511">
        <v>2.94</v>
      </c>
      <c r="MG26" s="512">
        <v>1</v>
      </c>
      <c r="MH26" s="513">
        <v>1</v>
      </c>
      <c r="MM26" s="543"/>
    </row>
    <row r="27" spans="1:351" ht="11.25" customHeight="1" thickBot="1">
      <c r="A27" s="577"/>
      <c r="B27" s="505"/>
      <c r="C27" s="505"/>
      <c r="D27" s="505"/>
      <c r="E27" s="505"/>
      <c r="F27" s="505"/>
      <c r="G27" s="588" t="s">
        <v>1004</v>
      </c>
      <c r="H27" s="588"/>
      <c r="I27" s="588"/>
      <c r="J27" s="588"/>
      <c r="K27" s="588"/>
      <c r="L27" s="588"/>
      <c r="M27" s="588"/>
      <c r="N27" s="588"/>
      <c r="O27" s="588"/>
      <c r="P27" s="588"/>
      <c r="Q27" s="588"/>
      <c r="R27" s="588"/>
      <c r="S27" s="588"/>
      <c r="T27" s="1080"/>
      <c r="U27" s="577"/>
      <c r="V27" s="562"/>
      <c r="W27" s="577"/>
      <c r="X27" s="1103"/>
      <c r="Y27" s="1103"/>
      <c r="Z27" s="1103"/>
      <c r="AA27" s="1103"/>
      <c r="AB27" s="526"/>
      <c r="AC27" s="1112"/>
      <c r="AD27" s="1112"/>
      <c r="AE27" s="504"/>
      <c r="AF27" s="1093"/>
      <c r="AG27" s="1093"/>
      <c r="AH27" s="1090"/>
      <c r="AI27" s="907" t="str">
        <f>IF(OR($D$65="Do not use",$D$65=$ET$17),"",IF(AND(FM24=0,OR($T$52=$ET$50,$T$53=$ET$55)),5%,IF(FM24=0,INDEX(BC_AirMove,MATCH($D$65,BC_WAZones,0),MATCH(AI25,BC_FanEvap,0)),"")))</f>
        <v/>
      </c>
      <c r="AJ27" s="908" t="str">
        <f t="shared" ref="AJ27:AT27" si="33">IF(OR($D$65=$ET$55,$D$65=$ET$17),"",IF(AND(FN24=0,OR($T$52=$ET$50,$T$53=$ET$55)),5%,IF(FN24=0,INDEX(BC_AirMove,MATCH($D$65,BC_WAZones,0),MATCH(AJ25,BC_FanEvap,0)),"")))</f>
        <v/>
      </c>
      <c r="AK27" s="908" t="str">
        <f t="shared" si="33"/>
        <v/>
      </c>
      <c r="AL27" s="908" t="str">
        <f t="shared" si="33"/>
        <v/>
      </c>
      <c r="AM27" s="908" t="str">
        <f t="shared" si="33"/>
        <v/>
      </c>
      <c r="AN27" s="908" t="str">
        <f t="shared" si="33"/>
        <v/>
      </c>
      <c r="AO27" s="908" t="str">
        <f t="shared" si="33"/>
        <v/>
      </c>
      <c r="AP27" s="908" t="str">
        <f t="shared" si="33"/>
        <v/>
      </c>
      <c r="AQ27" s="908" t="str">
        <f t="shared" si="33"/>
        <v/>
      </c>
      <c r="AR27" s="908" t="str">
        <f t="shared" si="33"/>
        <v/>
      </c>
      <c r="AS27" s="908" t="str">
        <f t="shared" si="33"/>
        <v/>
      </c>
      <c r="AT27" s="908" t="str">
        <f t="shared" si="33"/>
        <v/>
      </c>
      <c r="AU27" s="577"/>
      <c r="AV27" s="562"/>
      <c r="AW27" s="577"/>
      <c r="AX27" s="504"/>
      <c r="AY27" s="504"/>
      <c r="AZ27" s="504"/>
      <c r="BA27" s="504"/>
      <c r="BB27" s="504"/>
      <c r="BC27" s="504"/>
      <c r="BD27" s="504"/>
      <c r="BE27" s="504"/>
      <c r="BF27" s="504"/>
      <c r="BG27" s="504"/>
      <c r="BH27" s="504"/>
      <c r="BI27" s="504"/>
      <c r="BJ27" s="541"/>
      <c r="BK27" s="504"/>
      <c r="BL27" s="504"/>
      <c r="BM27" s="504"/>
      <c r="BN27" s="794"/>
      <c r="BO27" s="779"/>
      <c r="BP27" s="779"/>
      <c r="BQ27" s="799"/>
      <c r="BR27" s="577"/>
      <c r="BT27" s="577"/>
      <c r="BU27" s="560">
        <v>3</v>
      </c>
      <c r="BV27" s="913"/>
      <c r="BW27" s="913"/>
      <c r="BX27" s="528"/>
      <c r="BY27" s="913"/>
      <c r="BZ27" s="528"/>
      <c r="CA27" s="913"/>
      <c r="CB27" s="710" t="str">
        <f>IF(II26=0,"",II26)</f>
        <v/>
      </c>
      <c r="CC27" s="504"/>
      <c r="CD27" s="504"/>
      <c r="CE27" s="504"/>
      <c r="CF27" s="709" t="str">
        <f>IF(OR(ISERROR($IJ$29),$IR$27&gt;0),$ET$17,IF($CC$25="","",IF($CC$25&gt;5%,$ET$39,IF(SUM(BV27:BY27)=0,"",INDEX(BC_RLight_U,MATCH(CB27,BC_RLight_Shaft,-1),MATCH($CC$25,BC_RLight_Percent,-1))))))</f>
        <v/>
      </c>
      <c r="CG27" s="709" t="str">
        <f>IF(OR(ISERROR($IJ$29),$IR$27&gt;0),$ET$17,IF($CC$25="","",IF($CC$25&gt;5%,$ET$39,IF(SUM(BV27:BY27)=0,"",INDEX(BC_RLight_SHGC,MATCH(CB27,BC_RLight_Shaft,-1),MATCH($CC$25,BC_RLight_Percent,-1))))))</f>
        <v/>
      </c>
      <c r="CH27" s="577"/>
      <c r="CI27" s="562"/>
      <c r="CJ27" s="577"/>
      <c r="CK27" s="504"/>
      <c r="CL27" s="504" t="str">
        <f>CONCATENATE("Wall 1A:"," ",$ET$36)</f>
        <v>Wall 1A: Alteration to existing wall</v>
      </c>
      <c r="CM27" s="504"/>
      <c r="CN27" s="504"/>
      <c r="CO27" s="504"/>
      <c r="CP27" s="504"/>
      <c r="CQ27" s="504"/>
      <c r="CR27" s="504"/>
      <c r="CS27" s="504"/>
      <c r="CT27" s="504"/>
      <c r="CU27" s="504"/>
      <c r="CV27" s="504"/>
      <c r="CW27" s="975"/>
      <c r="CX27" s="782"/>
      <c r="CY27" s="1016"/>
      <c r="CZ27" s="868"/>
      <c r="DA27" s="869"/>
      <c r="DB27" s="869"/>
      <c r="DC27" s="870"/>
      <c r="DD27" s="577"/>
      <c r="DE27" s="562"/>
      <c r="DF27" s="577"/>
      <c r="DG27" s="504" t="str">
        <f>$DG$21</f>
        <v>Floor type</v>
      </c>
      <c r="DH27" s="504"/>
      <c r="DI27" s="504"/>
      <c r="DJ27" s="504"/>
      <c r="DK27" s="504" t="str">
        <f>$DK$21</f>
        <v>Enclosure and height</v>
      </c>
      <c r="DL27" s="504"/>
      <c r="DM27" s="504"/>
      <c r="DN27" s="504"/>
      <c r="DO27" s="504" t="str">
        <f>$DO$21</f>
        <v>Enclosing material</v>
      </c>
      <c r="DP27" s="504"/>
      <c r="DQ27" s="504"/>
      <c r="DR27" s="504"/>
      <c r="DS27" s="975"/>
      <c r="DT27" s="790"/>
      <c r="DU27" s="1017"/>
      <c r="DV27" s="794"/>
      <c r="DW27" s="779"/>
      <c r="DX27" s="779"/>
      <c r="DY27" s="799"/>
      <c r="DZ27" s="577"/>
      <c r="EA27" s="562"/>
      <c r="EB27" s="577"/>
      <c r="EC27" s="504"/>
      <c r="ED27" s="504"/>
      <c r="EE27" s="504"/>
      <c r="EF27" s="504"/>
      <c r="EG27" s="504"/>
      <c r="EH27" s="504"/>
      <c r="EI27" s="504"/>
      <c r="EJ27" s="504"/>
      <c r="EK27" s="504"/>
      <c r="EL27" s="560" t="s">
        <v>383</v>
      </c>
      <c r="EM27" s="969"/>
      <c r="EN27" s="970"/>
      <c r="EO27" s="971"/>
      <c r="EP27" s="577"/>
      <c r="EQ27" s="562"/>
      <c r="ES27" s="543"/>
      <c r="ET27" s="500" t="s">
        <v>555</v>
      </c>
      <c r="EV27" s="1121"/>
      <c r="EW27" s="999"/>
      <c r="EX27" s="1000"/>
      <c r="EY27" s="1001"/>
      <c r="EZ27" s="1000"/>
      <c r="FA27" s="1000"/>
      <c r="FB27" s="1001"/>
      <c r="FC27" s="999"/>
      <c r="FD27" s="1000"/>
      <c r="FE27" s="1000"/>
      <c r="FF27" s="1000"/>
      <c r="FG27" s="1119"/>
      <c r="FI27" s="498" t="s">
        <v>395</v>
      </c>
      <c r="FM27" s="497" t="s">
        <v>408</v>
      </c>
      <c r="FZ27" s="536" t="s">
        <v>409</v>
      </c>
      <c r="GA27" s="536" t="s">
        <v>410</v>
      </c>
      <c r="GE27" s="564" t="s">
        <v>667</v>
      </c>
      <c r="GF27" s="604" t="s">
        <v>687</v>
      </c>
      <c r="GG27" s="514">
        <v>0.04</v>
      </c>
      <c r="GH27" s="520">
        <v>0.02</v>
      </c>
      <c r="GI27" s="520">
        <v>0.18</v>
      </c>
      <c r="GJ27" s="514">
        <v>0.06</v>
      </c>
      <c r="GK27" s="514">
        <v>0.14000000000000001</v>
      </c>
      <c r="GL27" s="566">
        <f t="shared" si="16"/>
        <v>0.44</v>
      </c>
      <c r="GM27" s="514">
        <v>0.44</v>
      </c>
      <c r="GN27" s="514">
        <f t="shared" si="17"/>
        <v>0.24</v>
      </c>
      <c r="GO27" s="514">
        <f t="shared" si="18"/>
        <v>0.38</v>
      </c>
      <c r="GW27" s="524" t="s">
        <v>722</v>
      </c>
      <c r="GX27" s="502">
        <f>SUM(GU25:GX25)</f>
        <v>0</v>
      </c>
      <c r="HA27" s="524" t="s">
        <v>723</v>
      </c>
      <c r="HB27" s="502">
        <f>SUM(GY25:HB25)</f>
        <v>0</v>
      </c>
      <c r="HD27" s="533"/>
      <c r="HF27" s="534"/>
      <c r="HG27" s="534"/>
      <c r="HH27" s="535"/>
      <c r="HI27" s="863"/>
      <c r="HJ27" s="779"/>
      <c r="HK27" s="779"/>
      <c r="HL27" s="779"/>
      <c r="HM27" s="533"/>
      <c r="HN27" s="830"/>
      <c r="HO27" s="534"/>
      <c r="HP27" s="535"/>
      <c r="IF27" s="502">
        <f>SUM(IF24:IF26)</f>
        <v>0</v>
      </c>
      <c r="IG27" s="502">
        <f>SUM(IG24:IG26)</f>
        <v>0</v>
      </c>
      <c r="II27" s="715">
        <f>SUM(II24:II26)</f>
        <v>0</v>
      </c>
      <c r="IJ27" s="502">
        <f>SUM(IJ24:IJ26)</f>
        <v>0</v>
      </c>
      <c r="IK27" s="562"/>
      <c r="IL27" s="673"/>
      <c r="IM27" s="673"/>
      <c r="IN27" s="673"/>
      <c r="IO27" s="673"/>
      <c r="IP27" s="673"/>
      <c r="IQ27" s="578" t="s">
        <v>928</v>
      </c>
      <c r="IR27" s="514">
        <f>COUNTIF(IL14:IR26,TRUE())</f>
        <v>0</v>
      </c>
      <c r="IT27" s="498" t="s">
        <v>855</v>
      </c>
      <c r="IU27" s="498" t="s">
        <v>856</v>
      </c>
      <c r="IV27" s="537" t="s">
        <v>866</v>
      </c>
      <c r="JM27" s="497" t="s">
        <v>722</v>
      </c>
      <c r="JN27" s="502">
        <f>SUM(JK25:JN25)</f>
        <v>0</v>
      </c>
      <c r="JQ27" s="497" t="s">
        <v>723</v>
      </c>
      <c r="JR27" s="502">
        <f>SUM(JO25:JR25)</f>
        <v>0</v>
      </c>
      <c r="JT27" s="533" t="s">
        <v>825</v>
      </c>
      <c r="JU27" s="534"/>
      <c r="JV27" s="534" t="s">
        <v>849</v>
      </c>
      <c r="JW27" s="535"/>
      <c r="JX27" s="526"/>
      <c r="JY27" s="526"/>
      <c r="JZ27" s="526"/>
      <c r="KA27" s="526"/>
      <c r="KB27" s="533"/>
      <c r="KC27" s="534"/>
      <c r="KD27" s="534"/>
      <c r="KE27" s="535"/>
      <c r="KG27" s="514" t="str">
        <f>$KG$21</f>
        <v>Enclosed - &gt;0.6m and ≤1.2m</v>
      </c>
      <c r="KH27" s="563">
        <v>1</v>
      </c>
      <c r="KI27" s="563">
        <v>0.94</v>
      </c>
      <c r="KJ27" s="563">
        <v>0.89</v>
      </c>
      <c r="KK27" s="563">
        <v>0.77</v>
      </c>
      <c r="KL27" s="500" t="str">
        <f t="shared" ref="KL27:KL28" si="34">$ET$17</f>
        <v>Data</v>
      </c>
      <c r="KZ27" s="533"/>
      <c r="LA27" s="534"/>
      <c r="LB27" s="534"/>
      <c r="LC27" s="534"/>
      <c r="LD27" s="535"/>
      <c r="LE27" s="526"/>
      <c r="LF27" s="526"/>
      <c r="LG27" s="526"/>
      <c r="LH27" s="526"/>
      <c r="LI27" s="533"/>
      <c r="LJ27" s="534"/>
      <c r="LK27" s="534"/>
      <c r="LL27" s="535"/>
      <c r="LR27" s="500" t="b">
        <f>AND(ISBLANK(EM27),ISNUMBER(EM29))</f>
        <v>0</v>
      </c>
      <c r="LV27" s="509" t="s">
        <v>589</v>
      </c>
      <c r="LY27" s="500">
        <v>1</v>
      </c>
      <c r="LZ27" s="500" t="str">
        <f>$LZ$26</f>
        <v>Direct</v>
      </c>
      <c r="MA27" s="500" t="str">
        <f>$ET$50</f>
        <v>Yes</v>
      </c>
      <c r="MB27" s="500" t="str">
        <f t="shared" ref="MB27:MB45" si="35">CONCATENATE(LY27,LZ27,MA27)</f>
        <v>1DirectYes</v>
      </c>
      <c r="MC27" s="500"/>
      <c r="MD27" s="500"/>
      <c r="ME27" s="510">
        <v>1.0900000000000001</v>
      </c>
      <c r="MF27" s="511">
        <v>2.99</v>
      </c>
      <c r="MG27" s="512"/>
      <c r="MH27" s="513"/>
      <c r="MM27" s="543"/>
    </row>
    <row r="28" spans="1:351" ht="11.25" customHeight="1" thickBot="1">
      <c r="A28" s="577"/>
      <c r="B28" s="504"/>
      <c r="C28" s="504"/>
      <c r="D28" s="504"/>
      <c r="E28" s="504"/>
      <c r="F28" s="504"/>
      <c r="G28" s="504"/>
      <c r="H28" s="504"/>
      <c r="I28" s="504"/>
      <c r="J28" s="504"/>
      <c r="K28" s="504"/>
      <c r="L28" s="504"/>
      <c r="M28" s="504"/>
      <c r="N28" s="504"/>
      <c r="O28" s="504"/>
      <c r="P28" s="504"/>
      <c r="Q28" s="504"/>
      <c r="R28" s="504"/>
      <c r="S28" s="504"/>
      <c r="T28" s="504"/>
      <c r="U28" s="577"/>
      <c r="V28" s="562"/>
      <c r="W28" s="577"/>
      <c r="X28" s="843" t="s">
        <v>390</v>
      </c>
      <c r="Y28" s="843"/>
      <c r="Z28" s="843" t="s">
        <v>383</v>
      </c>
      <c r="AA28" s="843" t="s">
        <v>391</v>
      </c>
      <c r="AB28" s="843" t="s">
        <v>392</v>
      </c>
      <c r="AC28" s="1113"/>
      <c r="AD28" s="1113"/>
      <c r="AE28" s="606"/>
      <c r="AF28" s="1094"/>
      <c r="AG28" s="1094"/>
      <c r="AH28" s="1091"/>
      <c r="AI28" s="1105" t="s">
        <v>1054</v>
      </c>
      <c r="AJ28" s="1106"/>
      <c r="AK28" s="1106"/>
      <c r="AL28" s="1106"/>
      <c r="AM28" s="1106"/>
      <c r="AN28" s="1106"/>
      <c r="AO28" s="1106"/>
      <c r="AP28" s="1106"/>
      <c r="AQ28" s="1106"/>
      <c r="AR28" s="1106"/>
      <c r="AS28" s="1106"/>
      <c r="AT28" s="1106"/>
      <c r="AU28" s="577"/>
      <c r="AV28" s="562"/>
      <c r="AW28" s="577"/>
      <c r="AX28" s="516"/>
      <c r="AY28" s="602" t="s">
        <v>640</v>
      </c>
      <c r="AZ28" s="602"/>
      <c r="BA28" s="602"/>
      <c r="BB28" s="602"/>
      <c r="BC28" s="602"/>
      <c r="BD28" s="602"/>
      <c r="BE28" s="602"/>
      <c r="BF28" s="602"/>
      <c r="BG28" s="602"/>
      <c r="BH28" s="602"/>
      <c r="BI28" s="974" t="s">
        <v>682</v>
      </c>
      <c r="BJ28" s="541"/>
      <c r="BK28" s="990" t="s">
        <v>642</v>
      </c>
      <c r="BL28" s="781"/>
      <c r="BM28" s="1016" t="s">
        <v>646</v>
      </c>
      <c r="BN28" s="795"/>
      <c r="BO28" s="779"/>
      <c r="BP28" s="779"/>
      <c r="BQ28" s="799"/>
      <c r="BR28" s="577"/>
      <c r="BT28" s="577"/>
      <c r="BU28" s="504"/>
      <c r="BV28" s="504"/>
      <c r="BW28" s="504"/>
      <c r="BX28" s="504"/>
      <c r="BY28" s="504"/>
      <c r="BZ28" s="504"/>
      <c r="CA28" s="504"/>
      <c r="CB28" s="504"/>
      <c r="CC28" s="504"/>
      <c r="CD28" s="504"/>
      <c r="CE28" s="504"/>
      <c r="CF28" s="504"/>
      <c r="CG28" s="504"/>
      <c r="CH28" s="577"/>
      <c r="CI28" s="562"/>
      <c r="CJ28" s="577"/>
      <c r="CK28" s="504"/>
      <c r="CL28" s="969"/>
      <c r="CM28" s="970"/>
      <c r="CN28" s="970"/>
      <c r="CO28" s="970"/>
      <c r="CP28" s="970"/>
      <c r="CQ28" s="970"/>
      <c r="CR28" s="970"/>
      <c r="CS28" s="970"/>
      <c r="CT28" s="970"/>
      <c r="CU28" s="971"/>
      <c r="CV28" s="609"/>
      <c r="CW28" s="725"/>
      <c r="CX28" s="610"/>
      <c r="CY28" s="904" t="str">
        <f>IF(JC106=2,"",IF(OR(ISERROR(IV138),ISERROR(JU28)),$ET$17,IV138))</f>
        <v/>
      </c>
      <c r="CZ28" s="866"/>
      <c r="DA28" s="725"/>
      <c r="DB28" s="725"/>
      <c r="DC28" s="867"/>
      <c r="DD28" s="577"/>
      <c r="DE28" s="562"/>
      <c r="DF28" s="577"/>
      <c r="DG28" s="969"/>
      <c r="DH28" s="970"/>
      <c r="DI28" s="971"/>
      <c r="DJ28" s="505"/>
      <c r="DK28" s="969"/>
      <c r="DL28" s="970"/>
      <c r="DM28" s="971"/>
      <c r="DN28" s="505"/>
      <c r="DO28" s="976"/>
      <c r="DP28" s="977"/>
      <c r="DQ28" s="978"/>
      <c r="DR28" s="505"/>
      <c r="DS28" s="735"/>
      <c r="DT28" s="719"/>
      <c r="DU28" s="909" t="str">
        <f>IF(KL69=4,"",IF(ISERROR(KH46),$ET$17,IF(KH46=$ET$17,$ET$17,KH46+DS28)))</f>
        <v/>
      </c>
      <c r="DV28" s="866"/>
      <c r="DW28" s="725"/>
      <c r="DX28" s="725"/>
      <c r="DY28" s="867"/>
      <c r="DZ28" s="577"/>
      <c r="EA28" s="562"/>
      <c r="EB28" s="577"/>
      <c r="EC28" s="504"/>
      <c r="ED28" s="504"/>
      <c r="EE28" s="504"/>
      <c r="EF28" s="504"/>
      <c r="EG28" s="504"/>
      <c r="EH28" s="504"/>
      <c r="EI28" s="516"/>
      <c r="EJ28" s="516"/>
      <c r="EK28" s="516"/>
      <c r="EL28" s="516"/>
      <c r="EM28" s="788"/>
      <c r="EN28" s="516"/>
      <c r="EO28" s="516"/>
      <c r="EP28" s="577"/>
      <c r="EQ28" s="562"/>
      <c r="ES28" s="543"/>
      <c r="ET28" s="500" t="s">
        <v>567</v>
      </c>
      <c r="EV28" s="1122"/>
      <c r="EW28" s="1002"/>
      <c r="EX28" s="1003"/>
      <c r="EY28" s="1004"/>
      <c r="EZ28" s="1003"/>
      <c r="FA28" s="1003"/>
      <c r="FB28" s="1004"/>
      <c r="FC28" s="999"/>
      <c r="FD28" s="1000"/>
      <c r="FE28" s="1000"/>
      <c r="FF28" s="1000"/>
      <c r="FG28" s="1119"/>
      <c r="FI28" s="497" t="s">
        <v>398</v>
      </c>
      <c r="FJ28" s="497" t="s">
        <v>396</v>
      </c>
      <c r="FK28" s="497" t="s">
        <v>397</v>
      </c>
      <c r="FM28" s="497">
        <v>1</v>
      </c>
      <c r="FN28" s="497">
        <v>2</v>
      </c>
      <c r="FO28" s="497">
        <v>3</v>
      </c>
      <c r="FP28" s="497">
        <v>4</v>
      </c>
      <c r="FQ28" s="497">
        <v>5</v>
      </c>
      <c r="FR28" s="497">
        <v>6</v>
      </c>
      <c r="FS28" s="497">
        <v>7</v>
      </c>
      <c r="FT28" s="497">
        <v>8</v>
      </c>
      <c r="FU28" s="497">
        <v>9</v>
      </c>
      <c r="FV28" s="497">
        <v>10</v>
      </c>
      <c r="FW28" s="497">
        <v>11</v>
      </c>
      <c r="FX28" s="497">
        <v>12</v>
      </c>
      <c r="FZ28" s="500">
        <v>1</v>
      </c>
      <c r="GA28" s="607">
        <v>0.1</v>
      </c>
      <c r="GB28" s="607">
        <v>7.4999999999999997E-2</v>
      </c>
      <c r="GC28" s="607">
        <v>0.1</v>
      </c>
      <c r="GE28" s="564" t="s">
        <v>668</v>
      </c>
      <c r="GF28" s="604" t="s">
        <v>688</v>
      </c>
      <c r="GG28" s="514">
        <v>0.04</v>
      </c>
      <c r="GH28" s="520">
        <v>0.02</v>
      </c>
      <c r="GI28" s="520">
        <v>0.15</v>
      </c>
      <c r="GJ28" s="514">
        <v>0.06</v>
      </c>
      <c r="GK28" s="514">
        <v>0.11</v>
      </c>
      <c r="GL28" s="566">
        <f t="shared" si="16"/>
        <v>0.38</v>
      </c>
      <c r="GM28" s="514">
        <v>0.38</v>
      </c>
      <c r="GN28" s="514">
        <f t="shared" si="17"/>
        <v>0.21</v>
      </c>
      <c r="GO28" s="514">
        <f t="shared" si="18"/>
        <v>0.32</v>
      </c>
      <c r="HD28" s="533"/>
      <c r="HF28" s="534"/>
      <c r="HG28" s="534"/>
      <c r="HH28" s="535"/>
      <c r="HI28" s="863"/>
      <c r="HJ28" s="779"/>
      <c r="HK28" s="779"/>
      <c r="HL28" s="779"/>
      <c r="HM28" s="533"/>
      <c r="HN28" s="830"/>
      <c r="HO28" s="534"/>
      <c r="HP28" s="535"/>
      <c r="IK28" s="562"/>
      <c r="IL28" s="673"/>
      <c r="IM28" s="673"/>
      <c r="IN28" s="673"/>
      <c r="IO28" s="673"/>
      <c r="IP28" s="673"/>
      <c r="IQ28" s="673"/>
      <c r="IR28" s="673"/>
      <c r="IU28" s="536" t="s">
        <v>811</v>
      </c>
      <c r="IV28" s="537" t="s">
        <v>867</v>
      </c>
      <c r="JT28" s="593" t="b">
        <f>AND(ISBLANK(CL28),ISNUMBER(CW28))</f>
        <v>0</v>
      </c>
      <c r="JU28" s="702" t="str">
        <f>IF(ISBLANK(CK23),"",IF(AND(ISTEXT(CK23),ISBLANK(CL28)),"",IF($CK$23=$IT$29,MATCH(CL28,BC_WallAlt_WB,0),IF($CK$23=$IT$35,MATCH(CL28,BC_WallAlt_FC,0),IF($CK$23=$IT$41,MATCH(CL28,BC_WallAlt_BV,0),IF($CK$23=$IT$47,MATCH(CL28,BC_WallAlt_C,0),MATCH(CL28,BC_WallAlt_RBV,0)))))))</f>
        <v/>
      </c>
      <c r="JV28" s="594" t="b">
        <f>AND(ISBLANK(CW28),ISTEXT(CL28))</f>
        <v>0</v>
      </c>
      <c r="JW28" s="614" t="b">
        <f>AND(SUM(CZ28:DC28)&gt;0,AND(ISBLANK(CL28),ISBLANK(CW28)))</f>
        <v>0</v>
      </c>
      <c r="JX28" s="526">
        <f>IF(CZ28&gt;0,1,0)</f>
        <v>0</v>
      </c>
      <c r="JY28" s="526">
        <f t="shared" ref="JY28" si="36">IF(DA28&gt;0,1,0)</f>
        <v>0</v>
      </c>
      <c r="JZ28" s="526">
        <f t="shared" ref="JZ28" si="37">IF(DB28&gt;0,1,0)</f>
        <v>0</v>
      </c>
      <c r="KA28" s="526">
        <f t="shared" ref="KA28" si="38">IF(DC28&gt;0,1,0)</f>
        <v>0</v>
      </c>
      <c r="KB28" s="593" t="b">
        <f>AND(ISTEXT($CZ$17),AND(CZ28=0,$JX$65&lt;2))</f>
        <v>0</v>
      </c>
      <c r="KC28" s="594" t="b">
        <f>AND(ISTEXT($DA$17),AND(DA28=0,$JY$65&lt;2))</f>
        <v>0</v>
      </c>
      <c r="KD28" s="594" t="b">
        <f>AND(ISTEXT($DB$17),AND(DB28=0,$JZ$65&lt;2))</f>
        <v>0</v>
      </c>
      <c r="KE28" s="614" t="b">
        <f>AND(ISTEXT($DC$17),AND(DC28=0,$KA$65&lt;2))</f>
        <v>0</v>
      </c>
      <c r="KG28" s="514" t="str">
        <f>$KG$22</f>
        <v>Enclosed - &gt;1.2m and ≤2.4m</v>
      </c>
      <c r="KH28" s="563">
        <v>0.89</v>
      </c>
      <c r="KI28" s="563">
        <v>0.84</v>
      </c>
      <c r="KJ28" s="563">
        <v>0.79</v>
      </c>
      <c r="KK28" s="563">
        <v>0.69</v>
      </c>
      <c r="KL28" s="500" t="str">
        <f t="shared" si="34"/>
        <v>Data</v>
      </c>
      <c r="KT28" s="524" t="s">
        <v>726</v>
      </c>
      <c r="KU28" s="525">
        <f>IF(KU26=0,0,1/KU26)</f>
        <v>0</v>
      </c>
      <c r="KV28" s="525">
        <f t="shared" ref="KV28:KX28" si="39">IF(KV26=0,0,1/KV26)</f>
        <v>0</v>
      </c>
      <c r="KW28" s="525">
        <f t="shared" si="39"/>
        <v>0</v>
      </c>
      <c r="KX28" s="525">
        <f t="shared" si="39"/>
        <v>0</v>
      </c>
      <c r="KZ28" s="593" t="b">
        <f>AND(ISBLANK(DG28),OR(ISTEXT(DK28),OR(ISTEXT(DO28),ISNUMBER(DS28))))</f>
        <v>0</v>
      </c>
      <c r="LA28" s="594" t="b">
        <f>AND(ISBLANK(DK28),OR(ISTEXT(DG28),OR(ISTEXT(DO28),ISNUMBER(DS28))))</f>
        <v>0</v>
      </c>
      <c r="LB28" s="594" t="b">
        <f>AND(ISBLANK(DO28),OR(ISTEXT(DK28),OR(ISTEXT(DG28),ISNUMBER(DS28))))</f>
        <v>0</v>
      </c>
      <c r="LC28" s="594" t="b">
        <f>AND(ISBLANK(DS28),OR(ISTEXT(DK28),OR(ISTEXT(DO28),ISTEXT(DG28))))</f>
        <v>0</v>
      </c>
      <c r="LD28" s="614" t="b">
        <f>AND(SUM(DV28:DY28)&gt;0,AND(ISBLANK(DG28),AND(ISBLANK(DK28),AND(ISBLANK(DO28),ISBLANK(DS28)))))</f>
        <v>0</v>
      </c>
      <c r="LE28" s="526">
        <f>IF(DV28&gt;0,1,0)</f>
        <v>0</v>
      </c>
      <c r="LF28" s="526">
        <f>IF(DW28&gt;0,1,0)</f>
        <v>0</v>
      </c>
      <c r="LG28" s="526">
        <f>IF(DX28&gt;0,1,0)</f>
        <v>0</v>
      </c>
      <c r="LH28" s="526">
        <f>IF(DY28&gt;0,1,0)</f>
        <v>0</v>
      </c>
      <c r="LI28" s="593" t="b">
        <f>AND(ISTEXT($DV$16),AND(DV28=0,$LE$50&lt;2))</f>
        <v>0</v>
      </c>
      <c r="LJ28" s="594" t="b">
        <f>AND(ISTEXT($DW$16),AND(DW28=0,$LF$50&lt;2))</f>
        <v>0</v>
      </c>
      <c r="LK28" s="594" t="b">
        <f>AND(ISTEXT($DX$16),AND(DX28=0,$LG$50&lt;2))</f>
        <v>0</v>
      </c>
      <c r="LL28" s="614" t="b">
        <f>AND(ISTEXT($DY$16),AND(DY28=0,$LH$50&lt;2))</f>
        <v>0</v>
      </c>
      <c r="LV28" s="509" t="s">
        <v>596</v>
      </c>
      <c r="LW28" s="509" t="s">
        <v>393</v>
      </c>
      <c r="LY28" s="500">
        <v>1</v>
      </c>
      <c r="LZ28" s="543" t="s">
        <v>599</v>
      </c>
      <c r="MA28" s="500" t="str">
        <f>$ET$51</f>
        <v>No</v>
      </c>
      <c r="MB28" s="500" t="str">
        <f t="shared" si="35"/>
        <v>1SuspendedNo</v>
      </c>
      <c r="MC28" s="500"/>
      <c r="MD28" s="500"/>
      <c r="ME28" s="510">
        <v>1.21</v>
      </c>
      <c r="MF28" s="511">
        <v>2.64</v>
      </c>
      <c r="MG28" s="512"/>
      <c r="MH28" s="513"/>
      <c r="MM28" s="543"/>
    </row>
    <row r="29" spans="1:351" ht="11.25" customHeight="1">
      <c r="A29" s="577"/>
      <c r="B29" s="516" t="s">
        <v>542</v>
      </c>
      <c r="C29" s="615"/>
      <c r="D29" s="615"/>
      <c r="E29" s="615"/>
      <c r="F29" s="615"/>
      <c r="G29" s="516" t="s">
        <v>993</v>
      </c>
      <c r="H29" s="504"/>
      <c r="I29" s="504"/>
      <c r="J29" s="615"/>
      <c r="K29" s="615"/>
      <c r="L29" s="615"/>
      <c r="M29" s="615"/>
      <c r="N29" s="615"/>
      <c r="O29" s="615"/>
      <c r="P29" s="615"/>
      <c r="Q29" s="615"/>
      <c r="R29" s="615"/>
      <c r="S29" s="615"/>
      <c r="T29" s="1021"/>
      <c r="U29" s="577"/>
      <c r="V29" s="562"/>
      <c r="W29" s="577"/>
      <c r="X29" s="844">
        <f>IF(ISBLANK(Calculator!C37),"",Calculator!C37)</f>
        <v>1</v>
      </c>
      <c r="Y29" s="1095" t="str">
        <f>IF(ISBLANK(Calculator!D37),"",Calculator!D37)</f>
        <v/>
      </c>
      <c r="Z29" s="1096"/>
      <c r="AA29" s="845" t="str">
        <f>IF(ISBLANK(Calculator!G37),"",Calculator!G37)</f>
        <v/>
      </c>
      <c r="AB29" s="846" t="str">
        <f>IF(ISBLANK(Calculator!H37),"",Calculator!H37)</f>
        <v/>
      </c>
      <c r="AC29" s="724"/>
      <c r="AD29" s="724"/>
      <c r="AE29" s="504"/>
      <c r="AF29" s="736"/>
      <c r="AG29" s="896"/>
      <c r="AH29" s="608" t="str">
        <f t="shared" ref="AH29:AH68" si="40">IF(OR(AA29="",AB29=""),"",FK29)</f>
        <v/>
      </c>
      <c r="AI29" s="726"/>
      <c r="AJ29" s="726"/>
      <c r="AK29" s="726"/>
      <c r="AL29" s="726"/>
      <c r="AM29" s="726"/>
      <c r="AN29" s="726"/>
      <c r="AO29" s="726"/>
      <c r="AP29" s="726"/>
      <c r="AQ29" s="726"/>
      <c r="AR29" s="726"/>
      <c r="AS29" s="726"/>
      <c r="AT29" s="726"/>
      <c r="AU29" s="577"/>
      <c r="AV29" s="562"/>
      <c r="AW29" s="577"/>
      <c r="AX29" s="504"/>
      <c r="AY29" s="504" t="str">
        <f>CONCATENATE("Roof 1A:"," ",$ET$33)</f>
        <v>Roof 1A: Alteration to existing roof</v>
      </c>
      <c r="AZ29" s="504"/>
      <c r="BA29" s="504"/>
      <c r="BB29" s="504"/>
      <c r="BC29" s="504"/>
      <c r="BD29" s="504"/>
      <c r="BE29" s="504"/>
      <c r="BF29" s="504"/>
      <c r="BG29" s="504"/>
      <c r="BH29" s="504"/>
      <c r="BI29" s="974"/>
      <c r="BJ29" s="541"/>
      <c r="BK29" s="990"/>
      <c r="BL29" s="781"/>
      <c r="BM29" s="1016"/>
      <c r="BN29" s="795"/>
      <c r="BO29" s="779"/>
      <c r="BP29" s="779"/>
      <c r="BQ29" s="799"/>
      <c r="BR29" s="577"/>
      <c r="BT29" s="577"/>
      <c r="BU29" s="504"/>
      <c r="BV29" s="504"/>
      <c r="BW29" s="504"/>
      <c r="BX29" s="504"/>
      <c r="BY29" s="504"/>
      <c r="BZ29" s="504"/>
      <c r="CA29" s="504"/>
      <c r="CB29" s="504"/>
      <c r="CC29" s="504"/>
      <c r="CD29" s="504"/>
      <c r="CE29" s="504"/>
      <c r="CF29" s="504"/>
      <c r="CG29" s="504"/>
      <c r="CH29" s="577"/>
      <c r="CI29" s="562"/>
      <c r="CJ29" s="577"/>
      <c r="CK29" s="504"/>
      <c r="CL29" s="538" t="str">
        <f>IF(CL28=$IU$59,$IU$60,IV68)</f>
        <v/>
      </c>
      <c r="CM29" s="515"/>
      <c r="CN29" s="515"/>
      <c r="CO29" s="515"/>
      <c r="CP29" s="515"/>
      <c r="CQ29" s="515"/>
      <c r="CR29" s="515"/>
      <c r="CS29" s="515"/>
      <c r="CT29" s="515"/>
      <c r="CU29" s="515"/>
      <c r="CV29" s="515"/>
      <c r="CW29" s="515"/>
      <c r="CX29" s="504"/>
      <c r="CY29" s="515"/>
      <c r="CZ29" s="868"/>
      <c r="DA29" s="869"/>
      <c r="DB29" s="869"/>
      <c r="DC29" s="870"/>
      <c r="DD29" s="577"/>
      <c r="DE29" s="562"/>
      <c r="DF29" s="577"/>
      <c r="DG29" s="504"/>
      <c r="DH29" s="504"/>
      <c r="DI29" s="504"/>
      <c r="DJ29" s="504"/>
      <c r="DK29" s="504"/>
      <c r="DL29" s="504"/>
      <c r="DM29" s="504"/>
      <c r="DN29" s="504"/>
      <c r="DO29" s="504"/>
      <c r="DP29" s="504"/>
      <c r="DQ29" s="504"/>
      <c r="DR29" s="504"/>
      <c r="DS29" s="504"/>
      <c r="DT29" s="504"/>
      <c r="DU29" s="504"/>
      <c r="DV29" s="794"/>
      <c r="DW29" s="779"/>
      <c r="DX29" s="779"/>
      <c r="DY29" s="799"/>
      <c r="DZ29" s="577"/>
      <c r="EA29" s="562"/>
      <c r="EB29" s="577"/>
      <c r="EC29" s="504"/>
      <c r="ED29" s="504"/>
      <c r="EE29" s="504"/>
      <c r="EF29" s="504"/>
      <c r="EG29" s="504"/>
      <c r="EH29" s="504"/>
      <c r="EI29" s="504"/>
      <c r="EJ29" s="504"/>
      <c r="EK29" s="504"/>
      <c r="EL29" s="573" t="s">
        <v>1089</v>
      </c>
      <c r="EM29" s="739"/>
      <c r="EN29" s="516" t="s">
        <v>436</v>
      </c>
      <c r="EO29" s="516"/>
      <c r="EP29" s="577"/>
      <c r="EQ29" s="562"/>
      <c r="ES29" s="543"/>
      <c r="ET29" s="500" t="s">
        <v>566</v>
      </c>
      <c r="EV29" s="500" t="b">
        <f t="shared" ref="EV29:EV68" si="41">AND(ISERROR(AA29*AB29),AC29=$ET$13)</f>
        <v>0</v>
      </c>
      <c r="EW29" s="500" t="b">
        <f>AND(ISBLANK(AD29),AC29=$ET$13)</f>
        <v>0</v>
      </c>
      <c r="EX29" s="500" t="b">
        <f>AND(AD29=$ET$51,ISBLANK(AC29))</f>
        <v>0</v>
      </c>
      <c r="EY29" s="500" t="b">
        <f t="shared" ref="EY29:EY68" si="42">AND(AD29=$ET$50,ISBLANK(AC29))</f>
        <v>0</v>
      </c>
      <c r="EZ29" s="500" t="b">
        <f t="shared" ref="EZ29:EZ68" si="43">AF29&gt;AA29</f>
        <v>0</v>
      </c>
      <c r="FA29" s="500" t="b">
        <f t="shared" ref="FA29:FA68" si="44">AND(ISNUMBER(AF29),AA29="")</f>
        <v>0</v>
      </c>
      <c r="FB29" s="500" t="b">
        <f t="shared" ref="FB29:FB68" si="45">AND(ISNUMBER(AF29),AD29=$ET$51)</f>
        <v>0</v>
      </c>
      <c r="FC29" s="500" t="b">
        <f>AND(ISNUMBER(AG29),AB29="")</f>
        <v>0</v>
      </c>
      <c r="FD29" s="500" t="b">
        <f>AND(ISNUMBER(AG29),AD29=$ET$51)</f>
        <v>0</v>
      </c>
      <c r="FE29" s="500" t="b">
        <f t="shared" ref="FE29:FE68" si="46">AND(ISBLANK(AG29),COUNTIF(AI29:AT29,$ET$14)&gt;0)</f>
        <v>0</v>
      </c>
      <c r="FF29" s="500" t="b">
        <f t="shared" ref="FF29:FF68" si="47">AND(ISNUMBER(AG29),COUNTIF(AI29:AT29,$ET$14)=0)</f>
        <v>0</v>
      </c>
      <c r="FG29" s="500" t="b">
        <f t="shared" ref="FG29:FG68" si="48">COUNTIF(AI29:AT29,$ET$14)&gt;1</f>
        <v>0</v>
      </c>
      <c r="FI29" s="611">
        <f t="shared" ref="FI29:FI68" si="49">IF(OR(AA29="",AB29=""),0,IF(AD29=$ET$51,0,IF(OR(AA29="",ISBLANK(AG29)),0,IF(ISNUMBER(AF29),AF29*AG29*AB29,AA29*AG29*AB29))))</f>
        <v>0</v>
      </c>
      <c r="FJ29" s="611">
        <f t="shared" ref="FJ29:FJ68" si="50">IF(OR(AA29="",AB29=""),0,IF(AD29=$ET$51,0,IF(OR(AA29="",OR(ISBLANK(AG29),AG29=0)),0,IF(ISNUMBER(AF29),$AG$23*((AF29*2)+(AG29*AB29*2)),$AG$23*((AA29*2)+(AG29*AB29*2))))))</f>
        <v>0</v>
      </c>
      <c r="FK29" s="611">
        <f>FI29-FJ29</f>
        <v>0</v>
      </c>
      <c r="FL29" s="612"/>
      <c r="FM29" s="613">
        <f t="shared" ref="FM29:FM68" si="51">IF(AI29=$ET$14,$FK29,0)</f>
        <v>0</v>
      </c>
      <c r="FN29" s="613">
        <f t="shared" ref="FN29:FN68" si="52">IF(AJ29=$ET$14,$FK29,0)</f>
        <v>0</v>
      </c>
      <c r="FO29" s="613">
        <f t="shared" ref="FO29:FO68" si="53">IF(AK29=$ET$14,$FK29,0)</f>
        <v>0</v>
      </c>
      <c r="FP29" s="613">
        <f t="shared" ref="FP29:FP68" si="54">IF(AL29=$ET$14,$FK29,0)</f>
        <v>0</v>
      </c>
      <c r="FQ29" s="613">
        <f t="shared" ref="FQ29:FQ68" si="55">IF(AM29=$ET$14,$FK29,0)</f>
        <v>0</v>
      </c>
      <c r="FR29" s="613">
        <f t="shared" ref="FR29:FR68" si="56">IF(AN29=$ET$14,$FK29,0)</f>
        <v>0</v>
      </c>
      <c r="FS29" s="613">
        <f t="shared" ref="FS29:FS68" si="57">IF(AO29=$ET$14,$FK29,0)</f>
        <v>0</v>
      </c>
      <c r="FT29" s="613">
        <f t="shared" ref="FT29:FT68" si="58">IF(AP29=$ET$14,$FK29,0)</f>
        <v>0</v>
      </c>
      <c r="FU29" s="613">
        <f t="shared" ref="FU29:FU68" si="59">IF(AQ29=$ET$14,$FK29,0)</f>
        <v>0</v>
      </c>
      <c r="FV29" s="613">
        <f t="shared" ref="FV29:FV68" si="60">IF(AR29=$ET$14,$FK29,0)</f>
        <v>0</v>
      </c>
      <c r="FW29" s="613">
        <f t="shared" ref="FW29:FW68" si="61">IF(AS29=$ET$14,$FK29,0)</f>
        <v>0</v>
      </c>
      <c r="FX29" s="613">
        <f t="shared" ref="FX29:FX68" si="62">IF(AT29=$ET$14,$FK29,0)</f>
        <v>0</v>
      </c>
      <c r="FZ29" s="500">
        <v>3</v>
      </c>
      <c r="GA29" s="607">
        <v>0.1</v>
      </c>
      <c r="GB29" s="607">
        <v>7.4999999999999997E-2</v>
      </c>
      <c r="GC29" s="607">
        <v>7.4999999999999997E-2</v>
      </c>
      <c r="GE29" s="564" t="s">
        <v>710</v>
      </c>
      <c r="GF29" s="504" t="s">
        <v>712</v>
      </c>
      <c r="GG29" s="504">
        <v>0.04</v>
      </c>
      <c r="GH29" s="565">
        <v>0</v>
      </c>
      <c r="GI29" s="504">
        <v>0.19</v>
      </c>
      <c r="GJ29" s="504">
        <v>0.06</v>
      </c>
      <c r="GK29" s="504">
        <v>0.14000000000000001</v>
      </c>
      <c r="GL29" s="566">
        <f t="shared" si="16"/>
        <v>0.43000000000000005</v>
      </c>
      <c r="GM29" s="504">
        <v>0.43</v>
      </c>
      <c r="GN29" s="504">
        <f t="shared" si="17"/>
        <v>0.23</v>
      </c>
      <c r="GO29" s="504">
        <f t="shared" si="18"/>
        <v>0.39</v>
      </c>
      <c r="GX29" s="524" t="s">
        <v>724</v>
      </c>
      <c r="GY29" s="525">
        <f>IF(GU25=0,0,GY25/GU25)</f>
        <v>0</v>
      </c>
      <c r="GZ29" s="525">
        <f>IF(GV25=0,0,GZ25/GV25)</f>
        <v>0</v>
      </c>
      <c r="HA29" s="525">
        <f>IF(GW25=0,0,HA25/GW25)</f>
        <v>0</v>
      </c>
      <c r="HB29" s="525">
        <f>IF(GX25=0,0,HB25/GX25)</f>
        <v>0</v>
      </c>
      <c r="HD29" s="533" t="s">
        <v>651</v>
      </c>
      <c r="HE29" s="534" t="s">
        <v>652</v>
      </c>
      <c r="HF29" s="534" t="s">
        <v>733</v>
      </c>
      <c r="HG29" s="534" t="s">
        <v>734</v>
      </c>
      <c r="HH29" s="535" t="s">
        <v>418</v>
      </c>
      <c r="HI29" s="863"/>
      <c r="HJ29" s="779"/>
      <c r="HK29" s="779"/>
      <c r="HL29" s="779"/>
      <c r="HM29" s="533"/>
      <c r="HN29" s="830"/>
      <c r="HO29" s="534"/>
      <c r="HP29" s="535"/>
      <c r="II29" s="501" t="s">
        <v>877</v>
      </c>
      <c r="IJ29" s="705">
        <f>IF(IJ27=0,0,IJ27/CC20)</f>
        <v>0</v>
      </c>
      <c r="IK29" s="562"/>
      <c r="IL29" s="694" t="s">
        <v>907</v>
      </c>
      <c r="IM29" s="581"/>
      <c r="IN29" s="581"/>
      <c r="IO29" s="581"/>
      <c r="IP29" s="581"/>
      <c r="IQ29" s="581"/>
      <c r="IR29" s="569"/>
      <c r="IT29" s="695" t="s">
        <v>814</v>
      </c>
      <c r="IU29" s="695" t="s">
        <v>813</v>
      </c>
      <c r="IV29" s="500" t="str">
        <f>$IT$29</f>
        <v>Framed, Weatherboard external cladding, P/board internal lining: BCA Fig 3.12.1.3(a)</v>
      </c>
      <c r="JN29" s="524" t="s">
        <v>724</v>
      </c>
      <c r="JO29" s="525">
        <f>IF(JK25=0,0,JO25/JK25)</f>
        <v>0</v>
      </c>
      <c r="JP29" s="525">
        <f>IF(JL25=0,0,JP25/JL25)</f>
        <v>0</v>
      </c>
      <c r="JQ29" s="525">
        <f>IF(JM25=0,0,JQ25/JM25)</f>
        <v>0</v>
      </c>
      <c r="JR29" s="525">
        <f>IF(JN25=0,0,JR25/JN25)</f>
        <v>0</v>
      </c>
      <c r="JT29" s="533"/>
      <c r="JU29" s="534"/>
      <c r="JV29" s="594" t="b">
        <f>AND($T$52=$ET$50,CW28=$IY$56)</f>
        <v>0</v>
      </c>
      <c r="JW29" s="535"/>
      <c r="JX29" s="526"/>
      <c r="JY29" s="526"/>
      <c r="JZ29" s="526"/>
      <c r="KA29" s="526"/>
      <c r="KB29" s="533"/>
      <c r="KC29" s="534"/>
      <c r="KD29" s="534"/>
      <c r="KE29" s="535"/>
      <c r="KG29" s="514" t="str">
        <f>$KG$23</f>
        <v>Unenclosed</v>
      </c>
      <c r="KH29" s="500">
        <v>0.51</v>
      </c>
      <c r="KI29" s="500">
        <v>0.51</v>
      </c>
      <c r="KJ29" s="500">
        <v>0.51</v>
      </c>
      <c r="KK29" s="500">
        <v>0.51</v>
      </c>
      <c r="KL29" s="500">
        <v>0.51</v>
      </c>
      <c r="KZ29" s="533"/>
      <c r="LA29" s="534"/>
      <c r="LB29" s="594" t="b">
        <f>AND(MID(DO28,1,3)="Not",MID(DK28,1,1)="E")</f>
        <v>0</v>
      </c>
      <c r="LC29" s="534"/>
      <c r="LD29" s="535"/>
      <c r="LE29" s="526"/>
      <c r="LF29" s="526"/>
      <c r="LG29" s="526"/>
      <c r="LH29" s="526"/>
      <c r="LI29" s="533"/>
      <c r="LJ29" s="534"/>
      <c r="LK29" s="534"/>
      <c r="LL29" s="535"/>
      <c r="LN29" s="500" t="s">
        <v>1074</v>
      </c>
      <c r="LO29" s="500"/>
      <c r="LP29" s="500">
        <f>EM29</f>
        <v>0</v>
      </c>
      <c r="LR29" s="500" t="b">
        <f>AND(ISBLANK(EM29),ISTEXT(EM27))</f>
        <v>0</v>
      </c>
      <c r="LV29" s="563">
        <f t="shared" ref="LV29:LV68" si="63">IF(OR(AA29="",AB29=""),0,AA29*AB29)</f>
        <v>0</v>
      </c>
      <c r="LW29" s="563">
        <f t="shared" ref="LW29:LW68" si="64">IF(OR(AA29="",AB29=""),0,IF(ISBLANK(AC29),0,AA29*AB29))</f>
        <v>0</v>
      </c>
      <c r="LY29" s="500">
        <v>1</v>
      </c>
      <c r="LZ29" s="500" t="str">
        <f>$LZ$28</f>
        <v>Suspended</v>
      </c>
      <c r="MA29" s="500" t="str">
        <f>$ET$50</f>
        <v>Yes</v>
      </c>
      <c r="MB29" s="500" t="str">
        <f t="shared" si="35"/>
        <v>1SuspendedYes</v>
      </c>
      <c r="MC29" s="500"/>
      <c r="MD29" s="500"/>
      <c r="ME29" s="510">
        <v>1.21</v>
      </c>
      <c r="MF29" s="511">
        <v>3.3</v>
      </c>
      <c r="MG29" s="512"/>
      <c r="MH29" s="513"/>
      <c r="MM29" s="543"/>
    </row>
    <row r="30" spans="1:351" ht="11.25" customHeight="1" thickBot="1">
      <c r="A30" s="577"/>
      <c r="B30" s="505" t="s">
        <v>1000</v>
      </c>
      <c r="C30" s="505"/>
      <c r="D30" s="505"/>
      <c r="E30" s="505"/>
      <c r="F30" s="505"/>
      <c r="G30" s="588" t="s">
        <v>1055</v>
      </c>
      <c r="H30" s="588"/>
      <c r="I30" s="588"/>
      <c r="J30" s="588"/>
      <c r="K30" s="588"/>
      <c r="L30" s="588"/>
      <c r="M30" s="588"/>
      <c r="N30" s="588"/>
      <c r="O30" s="588"/>
      <c r="P30" s="588"/>
      <c r="Q30" s="588"/>
      <c r="R30" s="588"/>
      <c r="S30" s="588"/>
      <c r="T30" s="1022"/>
      <c r="U30" s="577"/>
      <c r="V30" s="562"/>
      <c r="W30" s="577"/>
      <c r="X30" s="847">
        <f>IF(ISBLANK(Calculator!C38),"",Calculator!C38)</f>
        <v>2</v>
      </c>
      <c r="Y30" s="972" t="str">
        <f>IF(ISBLANK(Calculator!D38),"",Calculator!D38)</f>
        <v/>
      </c>
      <c r="Z30" s="973"/>
      <c r="AA30" s="845" t="str">
        <f>IF(ISBLANK(Calculator!G38),"",Calculator!G38)</f>
        <v/>
      </c>
      <c r="AB30" s="846" t="str">
        <f>IF(ISBLANK(Calculator!H38),"",Calculator!H38)</f>
        <v/>
      </c>
      <c r="AC30" s="724"/>
      <c r="AD30" s="725"/>
      <c r="AE30" s="504"/>
      <c r="AF30" s="735"/>
      <c r="AG30" s="895"/>
      <c r="AH30" s="608" t="str">
        <f t="shared" si="40"/>
        <v/>
      </c>
      <c r="AI30" s="726"/>
      <c r="AJ30" s="726"/>
      <c r="AK30" s="726"/>
      <c r="AL30" s="726"/>
      <c r="AM30" s="726"/>
      <c r="AN30" s="726"/>
      <c r="AO30" s="726"/>
      <c r="AP30" s="726"/>
      <c r="AQ30" s="726"/>
      <c r="AR30" s="726"/>
      <c r="AS30" s="726"/>
      <c r="AT30" s="726"/>
      <c r="AU30" s="577"/>
      <c r="AV30" s="562"/>
      <c r="AW30" s="577"/>
      <c r="AX30" s="504"/>
      <c r="AY30" s="504" t="s">
        <v>651</v>
      </c>
      <c r="AZ30" s="504"/>
      <c r="BA30" s="504"/>
      <c r="BB30" s="519" t="s">
        <v>652</v>
      </c>
      <c r="BC30" s="504"/>
      <c r="BD30" s="504"/>
      <c r="BE30" s="504"/>
      <c r="BF30" s="504"/>
      <c r="BG30" s="504"/>
      <c r="BH30" s="504"/>
      <c r="BI30" s="975"/>
      <c r="BJ30" s="516"/>
      <c r="BK30" s="975"/>
      <c r="BL30" s="781"/>
      <c r="BM30" s="1016"/>
      <c r="BN30" s="794"/>
      <c r="BO30" s="779"/>
      <c r="BP30" s="779"/>
      <c r="BQ30" s="799"/>
      <c r="BR30" s="577"/>
      <c r="BT30" s="577"/>
      <c r="BU30" s="504"/>
      <c r="BV30" s="504"/>
      <c r="BW30" s="504"/>
      <c r="BX30" s="504"/>
      <c r="BY30" s="504"/>
      <c r="BZ30" s="504"/>
      <c r="CA30" s="504"/>
      <c r="CB30" s="504"/>
      <c r="CC30" s="504"/>
      <c r="CD30" s="504"/>
      <c r="CE30" s="504"/>
      <c r="CF30" s="504"/>
      <c r="CG30" s="504"/>
      <c r="CH30" s="577"/>
      <c r="CI30" s="562"/>
      <c r="CJ30" s="577"/>
      <c r="CK30" s="504"/>
      <c r="CL30" s="599"/>
      <c r="CM30" s="504"/>
      <c r="CN30" s="504"/>
      <c r="CO30" s="504"/>
      <c r="CP30" s="504"/>
      <c r="CQ30" s="504"/>
      <c r="CR30" s="504"/>
      <c r="CS30" s="504"/>
      <c r="CT30" s="504"/>
      <c r="CU30" s="504"/>
      <c r="CV30" s="504"/>
      <c r="CW30" s="599"/>
      <c r="CX30" s="504"/>
      <c r="CY30" s="515"/>
      <c r="CZ30" s="868"/>
      <c r="DA30" s="869"/>
      <c r="DB30" s="869"/>
      <c r="DC30" s="870"/>
      <c r="DD30" s="577"/>
      <c r="DE30" s="562"/>
      <c r="DF30" s="577"/>
      <c r="DG30" s="504"/>
      <c r="DH30" s="504"/>
      <c r="DI30" s="504"/>
      <c r="DJ30" s="504"/>
      <c r="DK30" s="504"/>
      <c r="DL30" s="504"/>
      <c r="DM30" s="504"/>
      <c r="DN30" s="504"/>
      <c r="DO30" s="504"/>
      <c r="DP30" s="504"/>
      <c r="DQ30" s="504"/>
      <c r="DR30" s="504"/>
      <c r="DS30" s="504"/>
      <c r="DT30" s="504"/>
      <c r="DU30" s="504"/>
      <c r="DV30" s="794"/>
      <c r="DW30" s="779"/>
      <c r="DX30" s="779"/>
      <c r="DY30" s="799"/>
      <c r="DZ30" s="577"/>
      <c r="EA30" s="562"/>
      <c r="EB30" s="577"/>
      <c r="EC30" s="504"/>
      <c r="ED30" s="504"/>
      <c r="EE30" s="504"/>
      <c r="EF30" s="504"/>
      <c r="EG30" s="504"/>
      <c r="EH30" s="504"/>
      <c r="EI30" s="504"/>
      <c r="EJ30" s="504"/>
      <c r="EK30" s="504"/>
      <c r="EL30" s="504"/>
      <c r="EM30" s="752"/>
      <c r="EN30" s="516"/>
      <c r="EO30" s="516"/>
      <c r="EP30" s="577"/>
      <c r="EQ30" s="562"/>
      <c r="ES30" s="543"/>
      <c r="ET30" s="699" t="s">
        <v>742</v>
      </c>
      <c r="EV30" s="500" t="b">
        <f t="shared" si="41"/>
        <v>0</v>
      </c>
      <c r="EW30" s="500" t="b">
        <f t="shared" ref="EW30:EW67" si="65">AND(ISBLANK(AD30),AC30=$ET$13)</f>
        <v>0</v>
      </c>
      <c r="EX30" s="500" t="b">
        <f t="shared" ref="EX30:EX68" si="66">AND(AD30=$ET$51,ISBLANK(AC30))</f>
        <v>0</v>
      </c>
      <c r="EY30" s="500" t="b">
        <f t="shared" si="42"/>
        <v>0</v>
      </c>
      <c r="EZ30" s="500" t="b">
        <f t="shared" si="43"/>
        <v>0</v>
      </c>
      <c r="FA30" s="500" t="b">
        <f t="shared" si="44"/>
        <v>0</v>
      </c>
      <c r="FB30" s="500" t="b">
        <f t="shared" si="45"/>
        <v>0</v>
      </c>
      <c r="FC30" s="500" t="b">
        <f t="shared" ref="FC30:FC68" si="67">AND(ISNUMBER(AG30),AB30="")</f>
        <v>0</v>
      </c>
      <c r="FD30" s="500" t="b">
        <f t="shared" ref="FD30:FD68" si="68">AND(ISNUMBER(AG30),AD30=$ET$51)</f>
        <v>0</v>
      </c>
      <c r="FE30" s="500" t="b">
        <f t="shared" si="46"/>
        <v>0</v>
      </c>
      <c r="FF30" s="500" t="b">
        <f t="shared" si="47"/>
        <v>0</v>
      </c>
      <c r="FG30" s="500" t="b">
        <f t="shared" si="48"/>
        <v>0</v>
      </c>
      <c r="FI30" s="611">
        <f t="shared" si="49"/>
        <v>0</v>
      </c>
      <c r="FJ30" s="611">
        <f t="shared" si="50"/>
        <v>0</v>
      </c>
      <c r="FK30" s="611">
        <f t="shared" ref="FK30:FK80" si="69">FI30-FJ30</f>
        <v>0</v>
      </c>
      <c r="FL30" s="612"/>
      <c r="FM30" s="613">
        <f t="shared" si="51"/>
        <v>0</v>
      </c>
      <c r="FN30" s="613">
        <f t="shared" si="52"/>
        <v>0</v>
      </c>
      <c r="FO30" s="613">
        <f t="shared" si="53"/>
        <v>0</v>
      </c>
      <c r="FP30" s="613">
        <f t="shared" si="54"/>
        <v>0</v>
      </c>
      <c r="FQ30" s="613">
        <f t="shared" si="55"/>
        <v>0</v>
      </c>
      <c r="FR30" s="613">
        <f t="shared" si="56"/>
        <v>0</v>
      </c>
      <c r="FS30" s="613">
        <f t="shared" si="57"/>
        <v>0</v>
      </c>
      <c r="FT30" s="613">
        <f t="shared" si="58"/>
        <v>0</v>
      </c>
      <c r="FU30" s="613">
        <f t="shared" si="59"/>
        <v>0</v>
      </c>
      <c r="FV30" s="613">
        <f t="shared" si="60"/>
        <v>0</v>
      </c>
      <c r="FW30" s="613">
        <f t="shared" si="61"/>
        <v>0</v>
      </c>
      <c r="FX30" s="613">
        <f t="shared" si="62"/>
        <v>0</v>
      </c>
      <c r="FZ30" s="500">
        <v>4</v>
      </c>
      <c r="GA30" s="607">
        <v>0.1</v>
      </c>
      <c r="GB30" s="607">
        <v>0.05</v>
      </c>
      <c r="GC30" s="607">
        <v>0.05</v>
      </c>
      <c r="GE30" s="564" t="s">
        <v>711</v>
      </c>
      <c r="GF30" s="504" t="s">
        <v>713</v>
      </c>
      <c r="GG30" s="504">
        <v>0.04</v>
      </c>
      <c r="GH30" s="565">
        <v>0</v>
      </c>
      <c r="GI30" s="565">
        <v>0</v>
      </c>
      <c r="GJ30" s="504">
        <v>0.06</v>
      </c>
      <c r="GK30" s="504">
        <v>0.11</v>
      </c>
      <c r="GL30" s="566">
        <f t="shared" si="16"/>
        <v>0.21000000000000002</v>
      </c>
      <c r="GM30" s="504">
        <v>0.21</v>
      </c>
      <c r="GN30" s="504">
        <f t="shared" si="17"/>
        <v>0.04</v>
      </c>
      <c r="GO30" s="504">
        <f t="shared" si="18"/>
        <v>0.16999999999999998</v>
      </c>
      <c r="HD30" s="593" t="b">
        <f>AND(ISBLANK(AY31),OR(ISTEXT(BB31),OR(ISTEXT(BI31),ISTEXT(BK31))))</f>
        <v>0</v>
      </c>
      <c r="HE30" s="594" t="b">
        <f>AND(ISBLANK(BB31),OR(ISTEXT(AY31),OR(ISTEXT(BI31),ISTEXT(BK31))))</f>
        <v>0</v>
      </c>
      <c r="HF30" s="594" t="b">
        <f>AND(ISBLANK(BI31),OR(ISTEXT(BB31),OR(ISTEXT(AY31),ISTEXT(BK31))))</f>
        <v>0</v>
      </c>
      <c r="HG30" s="594" t="b">
        <f>AND(ISBLANK(BK31),OR(ISTEXT(BB31),OR(ISTEXT(BI31),ISTEXT(AY31))))</f>
        <v>0</v>
      </c>
      <c r="HH30" s="614" t="b">
        <f>AND(SUM(BN31:BQ31)&gt;0,AND(ISBLANK(AY31),AND(ISBLANK(BB31),AND(ISBLANK(BI31),ISBLANK(BK31)))))</f>
        <v>0</v>
      </c>
      <c r="HI30" s="863">
        <f>IF(BN31&gt;0,1,0)</f>
        <v>0</v>
      </c>
      <c r="HJ30" s="779">
        <f t="shared" ref="HJ30" si="70">IF(BO31&gt;0,1,0)</f>
        <v>0</v>
      </c>
      <c r="HK30" s="779">
        <f t="shared" ref="HK30" si="71">IF(BP31&gt;0,1,0)</f>
        <v>0</v>
      </c>
      <c r="HL30" s="779">
        <f>IF(BQ31&gt;0,1,0)</f>
        <v>0</v>
      </c>
      <c r="HM30" s="593" t="b">
        <f>AND(ISTEXT($BN$20),AND(BN31=0,$HI$66&lt;2))</f>
        <v>0</v>
      </c>
      <c r="HN30" s="594" t="b">
        <f>AND(ISTEXT($BO$20),AND(BO31=0,$HJ$66&lt;2))</f>
        <v>0</v>
      </c>
      <c r="HO30" s="594" t="b">
        <f>AND(ISTEXT($BP$20),AND(BP31=0,$HK$66&lt;2))</f>
        <v>0</v>
      </c>
      <c r="HP30" s="614" t="b">
        <f>AND(ISTEXT($BQ$20),AND(BQ31=0,$HL$66&lt;2))</f>
        <v>0</v>
      </c>
      <c r="IL30" s="593" t="b">
        <f>AND(ISBLANK(CC31),OR(ISTEXT(CC33),ISNUMBER(CC36)))</f>
        <v>0</v>
      </c>
      <c r="IM30" s="534"/>
      <c r="IN30" s="534"/>
      <c r="IO30" s="534"/>
      <c r="IP30" s="534"/>
      <c r="IQ30" s="534"/>
      <c r="IR30" s="535"/>
      <c r="IT30" s="500"/>
      <c r="IU30" s="695" t="s">
        <v>816</v>
      </c>
      <c r="IV30" s="500" t="str">
        <f>$IT$35</f>
        <v>Framed, Fibre cement external cladding, P/board internal lining: BCA Fig 3.12.1.3(b)</v>
      </c>
      <c r="JT30" s="533"/>
      <c r="JU30" s="534"/>
      <c r="JV30" s="534"/>
      <c r="JW30" s="535"/>
      <c r="JX30" s="526"/>
      <c r="JY30" s="526"/>
      <c r="JZ30" s="526"/>
      <c r="KA30" s="526"/>
      <c r="KB30" s="533"/>
      <c r="KC30" s="534"/>
      <c r="KD30" s="534"/>
      <c r="KE30" s="535"/>
      <c r="KT30" s="501" t="s">
        <v>725</v>
      </c>
      <c r="KU30" s="502">
        <f>IF(KT24=0,0,KX24/KT24)</f>
        <v>0</v>
      </c>
      <c r="KZ30" s="533"/>
      <c r="LA30" s="534"/>
      <c r="LB30" s="594" t="b">
        <f>AND(DO28&lt;&gt;$ET$55,MID(DK28,1,1)="U")</f>
        <v>0</v>
      </c>
      <c r="LC30" s="534"/>
      <c r="LD30" s="535"/>
      <c r="LE30" s="526"/>
      <c r="LF30" s="526"/>
      <c r="LG30" s="526"/>
      <c r="LH30" s="526"/>
      <c r="LI30" s="533"/>
      <c r="LJ30" s="534"/>
      <c r="LK30" s="534"/>
      <c r="LL30" s="535"/>
      <c r="LN30" s="500"/>
      <c r="LO30" s="500"/>
      <c r="LP30" s="500"/>
      <c r="LV30" s="563">
        <f t="shared" si="63"/>
        <v>0</v>
      </c>
      <c r="LW30" s="563">
        <f t="shared" si="64"/>
        <v>0</v>
      </c>
      <c r="LY30" s="514">
        <v>3</v>
      </c>
      <c r="LZ30" s="514" t="str">
        <f>$LZ$26</f>
        <v>Direct</v>
      </c>
      <c r="MA30" s="514" t="str">
        <f>$ET$51</f>
        <v>No</v>
      </c>
      <c r="MB30" s="514" t="str">
        <f t="shared" si="35"/>
        <v>3DirectNo</v>
      </c>
      <c r="MC30" s="514"/>
      <c r="MD30" s="514"/>
      <c r="ME30" s="617">
        <v>1.53</v>
      </c>
      <c r="MF30" s="618">
        <v>2.59</v>
      </c>
      <c r="MG30" s="619"/>
      <c r="MH30" s="620"/>
      <c r="MM30" s="543"/>
    </row>
    <row r="31" spans="1:351" ht="11.25" customHeight="1" thickBot="1">
      <c r="A31" s="577"/>
      <c r="B31" s="504"/>
      <c r="C31" s="504"/>
      <c r="D31" s="504"/>
      <c r="E31" s="504"/>
      <c r="F31" s="504"/>
      <c r="G31" s="504"/>
      <c r="H31" s="504"/>
      <c r="I31" s="504"/>
      <c r="J31" s="504"/>
      <c r="K31" s="504"/>
      <c r="L31" s="504"/>
      <c r="M31" s="504"/>
      <c r="N31" s="504"/>
      <c r="O31" s="504"/>
      <c r="P31" s="504"/>
      <c r="Q31" s="504"/>
      <c r="R31" s="504"/>
      <c r="S31" s="504"/>
      <c r="T31" s="504"/>
      <c r="U31" s="577"/>
      <c r="V31" s="562"/>
      <c r="W31" s="577"/>
      <c r="X31" s="847">
        <f>IF(ISBLANK(Calculator!C39),"",Calculator!C39)</f>
        <v>3</v>
      </c>
      <c r="Y31" s="972" t="str">
        <f>IF(ISBLANK(Calculator!D39),"",Calculator!D39)</f>
        <v/>
      </c>
      <c r="Z31" s="973"/>
      <c r="AA31" s="845" t="str">
        <f>IF(ISBLANK(Calculator!G39),"",Calculator!G39)</f>
        <v/>
      </c>
      <c r="AB31" s="846" t="str">
        <f>IF(ISBLANK(Calculator!H39),"",Calculator!H39)</f>
        <v/>
      </c>
      <c r="AC31" s="724"/>
      <c r="AD31" s="725"/>
      <c r="AE31" s="504"/>
      <c r="AF31" s="735"/>
      <c r="AG31" s="895"/>
      <c r="AH31" s="608" t="str">
        <f t="shared" si="40"/>
        <v/>
      </c>
      <c r="AI31" s="726"/>
      <c r="AJ31" s="726"/>
      <c r="AK31" s="726"/>
      <c r="AL31" s="726"/>
      <c r="AM31" s="726"/>
      <c r="AN31" s="726"/>
      <c r="AO31" s="726"/>
      <c r="AP31" s="726"/>
      <c r="AQ31" s="726"/>
      <c r="AR31" s="726"/>
      <c r="AS31" s="726"/>
      <c r="AT31" s="726"/>
      <c r="AU31" s="577"/>
      <c r="AV31" s="562"/>
      <c r="AW31" s="577"/>
      <c r="AX31" s="504"/>
      <c r="AY31" s="976"/>
      <c r="AZ31" s="978"/>
      <c r="BA31" s="518"/>
      <c r="BB31" s="976"/>
      <c r="BC31" s="977"/>
      <c r="BD31" s="977"/>
      <c r="BE31" s="977"/>
      <c r="BF31" s="977"/>
      <c r="BG31" s="978"/>
      <c r="BH31" s="518"/>
      <c r="BI31" s="729"/>
      <c r="BJ31" s="518"/>
      <c r="BK31" s="730"/>
      <c r="BL31" s="589"/>
      <c r="BM31" s="787" t="str">
        <f>IF(GN99=4,"",IF(ISERROR(GF173),$ET$17,GF173))</f>
        <v/>
      </c>
      <c r="BN31" s="793"/>
      <c r="BO31" s="728"/>
      <c r="BP31" s="728"/>
      <c r="BQ31" s="798"/>
      <c r="BR31" s="577"/>
      <c r="BT31" s="577"/>
      <c r="BU31" s="504"/>
      <c r="BV31" s="504"/>
      <c r="BW31" s="979" t="s">
        <v>908</v>
      </c>
      <c r="BX31" s="979"/>
      <c r="BY31" s="979"/>
      <c r="BZ31" s="979"/>
      <c r="CA31" s="979"/>
      <c r="CB31" s="980"/>
      <c r="CC31" s="912"/>
      <c r="CD31" s="516"/>
      <c r="CE31" s="504"/>
      <c r="CF31" s="504"/>
      <c r="CG31" s="504"/>
      <c r="CH31" s="577"/>
      <c r="CI31" s="562"/>
      <c r="CJ31" s="577"/>
      <c r="CK31" s="504"/>
      <c r="CL31" s="504" t="str">
        <f>CONCATENATE("Wall 1B:"," ",$ET$36," ",$ET$30)</f>
        <v>Wall 1B: Alteration to existing wall (second option)</v>
      </c>
      <c r="CM31" s="504"/>
      <c r="CN31" s="504"/>
      <c r="CO31" s="504"/>
      <c r="CP31" s="504"/>
      <c r="CQ31" s="504"/>
      <c r="CR31" s="504"/>
      <c r="CS31" s="504"/>
      <c r="CT31" s="504"/>
      <c r="CU31" s="504"/>
      <c r="CV31" s="504"/>
      <c r="CW31" s="504"/>
      <c r="CX31" s="504"/>
      <c r="CY31" s="515"/>
      <c r="CZ31" s="868"/>
      <c r="DA31" s="869"/>
      <c r="DB31" s="869"/>
      <c r="DC31" s="870"/>
      <c r="DD31" s="577"/>
      <c r="DE31" s="562"/>
      <c r="DF31" s="577"/>
      <c r="DG31" s="504"/>
      <c r="DH31" s="504"/>
      <c r="DI31" s="504"/>
      <c r="DJ31" s="504"/>
      <c r="DK31" s="504"/>
      <c r="DL31" s="504"/>
      <c r="DM31" s="504"/>
      <c r="DN31" s="504"/>
      <c r="DO31" s="504"/>
      <c r="DP31" s="504"/>
      <c r="DQ31" s="504"/>
      <c r="DR31" s="504"/>
      <c r="DS31" s="504"/>
      <c r="DT31" s="504"/>
      <c r="DU31" s="504"/>
      <c r="DV31" s="794"/>
      <c r="DW31" s="779"/>
      <c r="DX31" s="779"/>
      <c r="DY31" s="799"/>
      <c r="DZ31" s="577"/>
      <c r="EA31" s="562"/>
      <c r="EB31" s="577"/>
      <c r="EC31" s="504"/>
      <c r="ED31" s="504"/>
      <c r="EE31" s="504"/>
      <c r="EF31" s="504"/>
      <c r="EG31" s="504"/>
      <c r="EH31" s="504"/>
      <c r="EI31" s="504"/>
      <c r="EJ31" s="628"/>
      <c r="EK31" s="628"/>
      <c r="EL31" s="789" t="str">
        <f>$EL$22</f>
        <v>MAXIMUM total wattage</v>
      </c>
      <c r="EM31" s="783" t="str">
        <f>IF(OR(ISBLANK(EM27),ISBLANK(EM29)),"",LP31)</f>
        <v/>
      </c>
      <c r="EN31" s="516"/>
      <c r="EO31" s="516"/>
      <c r="EP31" s="577"/>
      <c r="EQ31" s="562"/>
      <c r="ES31" s="543"/>
      <c r="ET31" s="500" t="s">
        <v>662</v>
      </c>
      <c r="EV31" s="500" t="b">
        <f t="shared" si="41"/>
        <v>0</v>
      </c>
      <c r="EW31" s="500" t="b">
        <f t="shared" si="65"/>
        <v>0</v>
      </c>
      <c r="EX31" s="500" t="b">
        <f t="shared" si="66"/>
        <v>0</v>
      </c>
      <c r="EY31" s="500" t="b">
        <f t="shared" si="42"/>
        <v>0</v>
      </c>
      <c r="EZ31" s="500" t="b">
        <f t="shared" si="43"/>
        <v>0</v>
      </c>
      <c r="FA31" s="500" t="b">
        <f t="shared" si="44"/>
        <v>0</v>
      </c>
      <c r="FB31" s="500" t="b">
        <f t="shared" si="45"/>
        <v>0</v>
      </c>
      <c r="FC31" s="500" t="b">
        <f t="shared" si="67"/>
        <v>0</v>
      </c>
      <c r="FD31" s="500" t="b">
        <f t="shared" si="68"/>
        <v>0</v>
      </c>
      <c r="FE31" s="500" t="b">
        <f t="shared" si="46"/>
        <v>0</v>
      </c>
      <c r="FF31" s="500" t="b">
        <f t="shared" si="47"/>
        <v>0</v>
      </c>
      <c r="FG31" s="500" t="b">
        <f t="shared" si="48"/>
        <v>0</v>
      </c>
      <c r="FI31" s="611">
        <f t="shared" si="49"/>
        <v>0</v>
      </c>
      <c r="FJ31" s="611">
        <f t="shared" si="50"/>
        <v>0</v>
      </c>
      <c r="FK31" s="611">
        <f t="shared" si="69"/>
        <v>0</v>
      </c>
      <c r="FL31" s="612"/>
      <c r="FM31" s="613">
        <f t="shared" si="51"/>
        <v>0</v>
      </c>
      <c r="FN31" s="613">
        <f t="shared" si="52"/>
        <v>0</v>
      </c>
      <c r="FO31" s="613">
        <f t="shared" si="53"/>
        <v>0</v>
      </c>
      <c r="FP31" s="613">
        <f t="shared" si="54"/>
        <v>0</v>
      </c>
      <c r="FQ31" s="613">
        <f t="shared" si="55"/>
        <v>0</v>
      </c>
      <c r="FR31" s="613">
        <f t="shared" si="56"/>
        <v>0</v>
      </c>
      <c r="FS31" s="613">
        <f t="shared" si="57"/>
        <v>0</v>
      </c>
      <c r="FT31" s="613">
        <f t="shared" si="58"/>
        <v>0</v>
      </c>
      <c r="FU31" s="613">
        <f t="shared" si="59"/>
        <v>0</v>
      </c>
      <c r="FV31" s="613">
        <f t="shared" si="60"/>
        <v>0</v>
      </c>
      <c r="FW31" s="613">
        <f t="shared" si="61"/>
        <v>0</v>
      </c>
      <c r="FX31" s="613">
        <f t="shared" si="62"/>
        <v>0</v>
      </c>
      <c r="FZ31" s="500">
        <v>5</v>
      </c>
      <c r="GA31" s="607">
        <v>7.4999999999999997E-2</v>
      </c>
      <c r="GB31" s="607">
        <v>0.05</v>
      </c>
      <c r="GC31" s="607">
        <v>7.4999999999999997E-2</v>
      </c>
      <c r="GE31" s="564" t="s">
        <v>669</v>
      </c>
      <c r="GF31" s="499" t="s">
        <v>689</v>
      </c>
      <c r="GG31" s="500">
        <v>0.04</v>
      </c>
      <c r="GH31" s="563">
        <v>0</v>
      </c>
      <c r="GI31" s="563">
        <v>0.18</v>
      </c>
      <c r="GJ31" s="500">
        <v>0.06</v>
      </c>
      <c r="GK31" s="500">
        <v>0.14000000000000001</v>
      </c>
      <c r="GL31" s="566">
        <f t="shared" si="16"/>
        <v>0.42000000000000004</v>
      </c>
      <c r="GM31" s="500">
        <v>0.42</v>
      </c>
      <c r="GN31" s="500">
        <f t="shared" si="17"/>
        <v>0.22</v>
      </c>
      <c r="GO31" s="500">
        <f t="shared" si="18"/>
        <v>0.38</v>
      </c>
      <c r="GX31" s="524" t="s">
        <v>726</v>
      </c>
      <c r="GY31" s="525">
        <f>IF(GY29=0,0,1/GY29)</f>
        <v>0</v>
      </c>
      <c r="GZ31" s="525">
        <f t="shared" ref="GZ31:HB31" si="72">IF(GZ29=0,0,1/GZ29)</f>
        <v>0</v>
      </c>
      <c r="HA31" s="525">
        <f t="shared" si="72"/>
        <v>0</v>
      </c>
      <c r="HB31" s="525">
        <f t="shared" si="72"/>
        <v>0</v>
      </c>
      <c r="HD31" s="533"/>
      <c r="HE31" s="534"/>
      <c r="HF31" s="594" t="b">
        <f>AND(ISTEXT(BI31),OR(MID(BI31,9,1)&lt;&gt;MID($GF$89,9,1),MID(BI31,9,1)&lt;&gt;MID($GF$90,9,1)))</f>
        <v>0</v>
      </c>
      <c r="HG31" s="616" t="b">
        <f>AND(BK31=$ET$13,OR(MID(AY31,1,3)=$ET$31,MID(BB31,1,3)=$ET$31))</f>
        <v>0</v>
      </c>
      <c r="HH31" s="535"/>
      <c r="HI31" s="863"/>
      <c r="HJ31" s="779"/>
      <c r="HK31" s="779"/>
      <c r="HL31" s="779"/>
      <c r="HM31" s="533"/>
      <c r="HN31" s="830"/>
      <c r="HO31" s="534"/>
      <c r="HP31" s="535"/>
      <c r="IL31" s="533"/>
      <c r="IM31" s="534"/>
      <c r="IN31" s="534"/>
      <c r="IO31" s="534"/>
      <c r="IP31" s="534"/>
      <c r="IQ31" s="534"/>
      <c r="IR31" s="535"/>
      <c r="IT31" s="500"/>
      <c r="IU31" s="695" t="s">
        <v>819</v>
      </c>
      <c r="IV31" s="500" t="str">
        <f>$IT$41</f>
        <v>Brick veneer, Ext clay masonry, Int frame with p/board internal lining: BCA Fig 3.12.1.3(c)</v>
      </c>
      <c r="JN31" s="524" t="s">
        <v>726</v>
      </c>
      <c r="JO31" s="525">
        <f>IF(JO29=0,0,1/JO29)</f>
        <v>0</v>
      </c>
      <c r="JP31" s="525">
        <f t="shared" ref="JP31:JR31" si="73">IF(JP29=0,0,1/JP29)</f>
        <v>0</v>
      </c>
      <c r="JQ31" s="525">
        <f t="shared" si="73"/>
        <v>0</v>
      </c>
      <c r="JR31" s="525">
        <f t="shared" si="73"/>
        <v>0</v>
      </c>
      <c r="JT31" s="533" t="s">
        <v>832</v>
      </c>
      <c r="JU31" s="534"/>
      <c r="JV31" s="534"/>
      <c r="JW31" s="535"/>
      <c r="JX31" s="526"/>
      <c r="JY31" s="526"/>
      <c r="JZ31" s="526"/>
      <c r="KA31" s="526"/>
      <c r="KB31" s="533"/>
      <c r="KC31" s="534"/>
      <c r="KD31" s="534"/>
      <c r="KE31" s="535"/>
      <c r="KH31" s="536" t="s">
        <v>954</v>
      </c>
      <c r="KZ31" s="533"/>
      <c r="LA31" s="534"/>
      <c r="LB31" s="534"/>
      <c r="LC31" s="534"/>
      <c r="LD31" s="535"/>
      <c r="LE31" s="526"/>
      <c r="LF31" s="526"/>
      <c r="LG31" s="526"/>
      <c r="LH31" s="526"/>
      <c r="LI31" s="533"/>
      <c r="LJ31" s="534"/>
      <c r="LK31" s="534"/>
      <c r="LL31" s="535"/>
      <c r="LN31" s="584">
        <v>4</v>
      </c>
      <c r="LO31" s="500" t="s">
        <v>496</v>
      </c>
      <c r="LP31" s="500">
        <f>LP29*$LN$31</f>
        <v>0</v>
      </c>
      <c r="LV31" s="563">
        <f t="shared" si="63"/>
        <v>0</v>
      </c>
      <c r="LW31" s="563">
        <f t="shared" si="64"/>
        <v>0</v>
      </c>
      <c r="LY31" s="514">
        <v>3</v>
      </c>
      <c r="LZ31" s="514" t="str">
        <f>$LZ$26</f>
        <v>Direct</v>
      </c>
      <c r="MA31" s="514" t="str">
        <f>$ET$50</f>
        <v>Yes</v>
      </c>
      <c r="MB31" s="514" t="str">
        <f t="shared" si="35"/>
        <v>3DirectYes</v>
      </c>
      <c r="MC31" s="514"/>
      <c r="MD31" s="514"/>
      <c r="ME31" s="617">
        <v>1.53</v>
      </c>
      <c r="MF31" s="618">
        <v>3.24</v>
      </c>
      <c r="MG31" s="619"/>
      <c r="MH31" s="620"/>
      <c r="MM31" s="543"/>
    </row>
    <row r="32" spans="1:351" ht="11.25" customHeight="1" thickBot="1">
      <c r="A32" s="577"/>
      <c r="B32" s="516" t="s">
        <v>543</v>
      </c>
      <c r="C32" s="615"/>
      <c r="D32" s="615"/>
      <c r="E32" s="568"/>
      <c r="F32" s="568"/>
      <c r="G32" s="516" t="s">
        <v>509</v>
      </c>
      <c r="H32" s="504"/>
      <c r="I32" s="504"/>
      <c r="J32" s="568"/>
      <c r="K32" s="568"/>
      <c r="L32" s="568"/>
      <c r="M32" s="568"/>
      <c r="N32" s="568"/>
      <c r="O32" s="568"/>
      <c r="P32" s="568"/>
      <c r="Q32" s="568"/>
      <c r="R32" s="568"/>
      <c r="S32" s="568"/>
      <c r="T32" s="1021"/>
      <c r="U32" s="577"/>
      <c r="V32" s="562"/>
      <c r="W32" s="577"/>
      <c r="X32" s="847">
        <f>IF(ISBLANK(Calculator!C40),"",Calculator!C40)</f>
        <v>4</v>
      </c>
      <c r="Y32" s="972" t="str">
        <f>IF(ISBLANK(Calculator!D40),"",Calculator!D40)</f>
        <v/>
      </c>
      <c r="Z32" s="973"/>
      <c r="AA32" s="845" t="str">
        <f>IF(ISBLANK(Calculator!G40),"",Calculator!G40)</f>
        <v/>
      </c>
      <c r="AB32" s="846" t="str">
        <f>IF(ISBLANK(Calculator!H40),"",Calculator!H40)</f>
        <v/>
      </c>
      <c r="AC32" s="724"/>
      <c r="AD32" s="725"/>
      <c r="AE32" s="504"/>
      <c r="AF32" s="735"/>
      <c r="AG32" s="895"/>
      <c r="AH32" s="608" t="str">
        <f t="shared" si="40"/>
        <v/>
      </c>
      <c r="AI32" s="726"/>
      <c r="AJ32" s="726"/>
      <c r="AK32" s="726"/>
      <c r="AL32" s="726"/>
      <c r="AM32" s="726"/>
      <c r="AN32" s="726"/>
      <c r="AO32" s="726"/>
      <c r="AP32" s="726"/>
      <c r="AQ32" s="726"/>
      <c r="AR32" s="726"/>
      <c r="AS32" s="726"/>
      <c r="AT32" s="726"/>
      <c r="AU32" s="577"/>
      <c r="AV32" s="562"/>
      <c r="AW32" s="577"/>
      <c r="AX32" s="504"/>
      <c r="AY32" s="521" t="str">
        <f>IF(OR(ISBLANK(AX26),ISBLANK(AY31)),"",IF(AND(AY31=$ET$13,BB31=$ET$13),CONCATENATE($AX$26," R",INDEX(BC_RoofValues,MATCH($AX$26,BC_RoofConst,0),8)),IF(AND(AY31=$ET$13,MID(BB31,1,3)=$ET$31),GF97,IF(AND(MID(AY31,1,3)=$ET$31,BB31=$ET$13),GF98,IF(AND(MID(AY31,1,3)=$ET$31,MID(BB31,1,3)=$ET$31),GF99,$ET$17)))))</f>
        <v/>
      </c>
      <c r="AZ32" s="515"/>
      <c r="BA32" s="515"/>
      <c r="BB32" s="515"/>
      <c r="BC32" s="515"/>
      <c r="BD32" s="515"/>
      <c r="BE32" s="515"/>
      <c r="BF32" s="515"/>
      <c r="BG32" s="515"/>
      <c r="BH32" s="515"/>
      <c r="BI32" s="522"/>
      <c r="BJ32" s="515"/>
      <c r="BK32" s="522"/>
      <c r="BL32" s="599"/>
      <c r="BM32" s="523"/>
      <c r="BN32" s="794"/>
      <c r="BO32" s="779"/>
      <c r="BP32" s="779"/>
      <c r="BQ32" s="799"/>
      <c r="BR32" s="577"/>
      <c r="BT32" s="577"/>
      <c r="BU32" s="504"/>
      <c r="BV32" s="504"/>
      <c r="BW32" s="504"/>
      <c r="BX32" s="504"/>
      <c r="BY32" s="504"/>
      <c r="BZ32" s="504"/>
      <c r="CA32" s="504"/>
      <c r="CB32" s="504"/>
      <c r="CC32" s="575"/>
      <c r="CD32" s="504"/>
      <c r="CE32" s="504"/>
      <c r="CF32" s="504"/>
      <c r="CG32" s="504"/>
      <c r="CH32" s="577"/>
      <c r="CI32" s="562"/>
      <c r="CJ32" s="577"/>
      <c r="CK32" s="504"/>
      <c r="CL32" s="969"/>
      <c r="CM32" s="970"/>
      <c r="CN32" s="970"/>
      <c r="CO32" s="970"/>
      <c r="CP32" s="970"/>
      <c r="CQ32" s="970"/>
      <c r="CR32" s="970"/>
      <c r="CS32" s="970"/>
      <c r="CT32" s="970"/>
      <c r="CU32" s="971"/>
      <c r="CV32" s="609"/>
      <c r="CW32" s="725"/>
      <c r="CX32" s="610"/>
      <c r="CY32" s="904" t="str">
        <f>IF(JC108=2,"",IF(OR(ISERROR(IV139),ISERROR(JU32)),$ET$17,IV139))</f>
        <v/>
      </c>
      <c r="CZ32" s="866"/>
      <c r="DA32" s="725"/>
      <c r="DB32" s="725"/>
      <c r="DC32" s="867"/>
      <c r="DD32" s="577"/>
      <c r="DE32" s="562"/>
      <c r="DF32" s="577"/>
      <c r="DG32" s="504"/>
      <c r="DH32" s="504"/>
      <c r="DI32" s="504"/>
      <c r="DJ32" s="504"/>
      <c r="DK32" s="504"/>
      <c r="DL32" s="504"/>
      <c r="DM32" s="504"/>
      <c r="DN32" s="504"/>
      <c r="DO32" s="504"/>
      <c r="DP32" s="504"/>
      <c r="DQ32" s="504"/>
      <c r="DR32" s="504"/>
      <c r="DS32" s="504"/>
      <c r="DT32" s="504"/>
      <c r="DU32" s="504"/>
      <c r="DV32" s="794"/>
      <c r="DW32" s="779"/>
      <c r="DX32" s="779"/>
      <c r="DY32" s="799"/>
      <c r="DZ32" s="577"/>
      <c r="EA32" s="562"/>
      <c r="EB32" s="577"/>
      <c r="EC32" s="504"/>
      <c r="ED32" s="504"/>
      <c r="EE32" s="504"/>
      <c r="EF32" s="504"/>
      <c r="EG32" s="504"/>
      <c r="EH32" s="504"/>
      <c r="EI32" s="504"/>
      <c r="EJ32" s="504"/>
      <c r="EK32" s="504"/>
      <c r="EL32" s="504"/>
      <c r="EM32" s="517"/>
      <c r="EN32" s="516"/>
      <c r="EO32" s="516"/>
      <c r="EP32" s="577"/>
      <c r="EQ32" s="562"/>
      <c r="ES32" s="543"/>
      <c r="ET32" s="500" t="s">
        <v>1032</v>
      </c>
      <c r="EV32" s="500" t="b">
        <f t="shared" si="41"/>
        <v>0</v>
      </c>
      <c r="EW32" s="500" t="b">
        <f t="shared" si="65"/>
        <v>0</v>
      </c>
      <c r="EX32" s="500" t="b">
        <f t="shared" si="66"/>
        <v>0</v>
      </c>
      <c r="EY32" s="500" t="b">
        <f t="shared" si="42"/>
        <v>0</v>
      </c>
      <c r="EZ32" s="500" t="b">
        <f t="shared" si="43"/>
        <v>0</v>
      </c>
      <c r="FA32" s="500" t="b">
        <f t="shared" si="44"/>
        <v>0</v>
      </c>
      <c r="FB32" s="500" t="b">
        <f t="shared" si="45"/>
        <v>0</v>
      </c>
      <c r="FC32" s="500" t="b">
        <f t="shared" si="67"/>
        <v>0</v>
      </c>
      <c r="FD32" s="500" t="b">
        <f t="shared" si="68"/>
        <v>0</v>
      </c>
      <c r="FE32" s="500" t="b">
        <f t="shared" si="46"/>
        <v>0</v>
      </c>
      <c r="FF32" s="500" t="b">
        <f t="shared" si="47"/>
        <v>0</v>
      </c>
      <c r="FG32" s="500" t="b">
        <f t="shared" si="48"/>
        <v>0</v>
      </c>
      <c r="FI32" s="611">
        <f t="shared" si="49"/>
        <v>0</v>
      </c>
      <c r="FJ32" s="611">
        <f t="shared" si="50"/>
        <v>0</v>
      </c>
      <c r="FK32" s="611">
        <f t="shared" si="69"/>
        <v>0</v>
      </c>
      <c r="FL32" s="612"/>
      <c r="FM32" s="613">
        <f t="shared" si="51"/>
        <v>0</v>
      </c>
      <c r="FN32" s="613">
        <f t="shared" si="52"/>
        <v>0</v>
      </c>
      <c r="FO32" s="613">
        <f t="shared" si="53"/>
        <v>0</v>
      </c>
      <c r="FP32" s="613">
        <f t="shared" si="54"/>
        <v>0</v>
      </c>
      <c r="FQ32" s="613">
        <f t="shared" si="55"/>
        <v>0</v>
      </c>
      <c r="FR32" s="613">
        <f t="shared" si="56"/>
        <v>0</v>
      </c>
      <c r="FS32" s="613">
        <f t="shared" si="57"/>
        <v>0</v>
      </c>
      <c r="FT32" s="613">
        <f t="shared" si="58"/>
        <v>0</v>
      </c>
      <c r="FU32" s="613">
        <f t="shared" si="59"/>
        <v>0</v>
      </c>
      <c r="FV32" s="613">
        <f t="shared" si="60"/>
        <v>0</v>
      </c>
      <c r="FW32" s="613">
        <f t="shared" si="61"/>
        <v>0</v>
      </c>
      <c r="FX32" s="613">
        <f t="shared" si="62"/>
        <v>0</v>
      </c>
      <c r="FZ32" s="500">
        <v>6</v>
      </c>
      <c r="GA32" s="607">
        <v>0.05</v>
      </c>
      <c r="GB32" s="607">
        <v>0.05</v>
      </c>
      <c r="GC32" s="607">
        <v>0.05</v>
      </c>
      <c r="GE32" s="564" t="s">
        <v>670</v>
      </c>
      <c r="GF32" s="499" t="s">
        <v>690</v>
      </c>
      <c r="GG32" s="500">
        <v>0.04</v>
      </c>
      <c r="GH32" s="563">
        <v>0</v>
      </c>
      <c r="GI32" s="563">
        <v>0.15</v>
      </c>
      <c r="GJ32" s="500">
        <v>0.06</v>
      </c>
      <c r="GK32" s="500">
        <v>0.11</v>
      </c>
      <c r="GL32" s="566">
        <f t="shared" si="16"/>
        <v>0.36</v>
      </c>
      <c r="GM32" s="500">
        <v>0.36</v>
      </c>
      <c r="GN32" s="500">
        <f t="shared" si="17"/>
        <v>0.19</v>
      </c>
      <c r="GO32" s="500">
        <f t="shared" si="18"/>
        <v>0.32</v>
      </c>
      <c r="HD32" s="533"/>
      <c r="HE32" s="534"/>
      <c r="HF32" s="616" t="b">
        <f>IF(ISBLANK(BI31),FALSE(),MID(AX26,FIND(":",AX26,1)-2,1)&lt;&gt;MID(BI31,9,1))</f>
        <v>0</v>
      </c>
      <c r="HG32" s="616" t="b">
        <f>AND(BK31&lt;&gt;$GG$72,AND(AY31=$ET$13,MID(BB31,1,3)=$ET$31))</f>
        <v>0</v>
      </c>
      <c r="HH32" s="535"/>
      <c r="HI32" s="863"/>
      <c r="HJ32" s="779"/>
      <c r="HK32" s="779"/>
      <c r="HL32" s="779"/>
      <c r="HM32" s="533"/>
      <c r="HN32" s="830"/>
      <c r="HO32" s="534"/>
      <c r="HP32" s="535"/>
      <c r="IL32" s="593" t="b">
        <f>AND(ISBLANK(CC33),OR(ISTEXT(CC31),ISNUMBER(CC36)))</f>
        <v>0</v>
      </c>
      <c r="IM32" s="534"/>
      <c r="IN32" s="534"/>
      <c r="IO32" s="534"/>
      <c r="IP32" s="534"/>
      <c r="IQ32" s="534"/>
      <c r="IR32" s="535"/>
      <c r="IT32" s="500"/>
      <c r="IU32" s="695" t="s">
        <v>828</v>
      </c>
      <c r="IV32" s="500" t="str">
        <f>$IT$29</f>
        <v>Framed, Weatherboard external cladding, P/board internal lining: BCA Fig 3.12.1.3(a)</v>
      </c>
      <c r="JT32" s="593" t="b">
        <f>AND(ISBLANK(CL32),ISNUMBER(CW32))</f>
        <v>0</v>
      </c>
      <c r="JU32" s="702" t="str">
        <f>IF(ISBLANK(CK23),"",IF(AND(ISTEXT(CK23),ISBLANK(CL32)),"",IF($CK$23=$IT$29,MATCH(CL32,BC_WallAlt_WB,0),IF($CK$23=$IT$35,MATCH(CL32,BC_WallAlt_FC,0),IF($CK$23=$IT$41,MATCH(CL32,BC_WallAlt_BV,0),IF($CK$23=$IT$47,MATCH(CL32,BC_WallAlt_C,0),MATCH(CL32,BC_WallAlt_RBV,0)))))))</f>
        <v/>
      </c>
      <c r="JV32" s="594" t="b">
        <f>AND(ISBLANK(CW32),ISTEXT(CL32))</f>
        <v>0</v>
      </c>
      <c r="JW32" s="614" t="b">
        <f>AND(SUM(CZ32:DC32)&gt;0,AND(ISBLANK(CL32),ISBLANK(CW32)))</f>
        <v>0</v>
      </c>
      <c r="JX32" s="526">
        <f>IF(CZ32&gt;0,1,0)</f>
        <v>0</v>
      </c>
      <c r="JY32" s="526">
        <f t="shared" ref="JY32" si="74">IF(DA32&gt;0,1,0)</f>
        <v>0</v>
      </c>
      <c r="JZ32" s="526">
        <f t="shared" ref="JZ32" si="75">IF(DB32&gt;0,1,0)</f>
        <v>0</v>
      </c>
      <c r="KA32" s="526">
        <f t="shared" ref="KA32" si="76">IF(DC32&gt;0,1,0)</f>
        <v>0</v>
      </c>
      <c r="KB32" s="593" t="b">
        <f>AND(ISTEXT($CZ$17),AND(CZ32=0,$JX$65&lt;2))</f>
        <v>0</v>
      </c>
      <c r="KC32" s="594" t="b">
        <f>AND(ISTEXT($DA$17),AND(DA32=0,$JY$65&lt;2))</f>
        <v>0</v>
      </c>
      <c r="KD32" s="594" t="b">
        <f>AND(ISTEXT($DB$17),AND(DB32=0,$JZ$65&lt;2))</f>
        <v>0</v>
      </c>
      <c r="KE32" s="614" t="b">
        <f>AND(ISTEXT($DC$17),AND(DC32=0,$KA$65&lt;2))</f>
        <v>0</v>
      </c>
      <c r="KG32" s="514" t="str">
        <f>$KG$20</f>
        <v>Enclosed - Not more than 0.6m</v>
      </c>
      <c r="KH32" s="563">
        <v>0.93</v>
      </c>
      <c r="KI32" s="563">
        <v>0.88</v>
      </c>
      <c r="KJ32" s="563">
        <v>0.83</v>
      </c>
      <c r="KK32" s="563">
        <v>0.72</v>
      </c>
      <c r="KL32" s="500" t="str">
        <f>$ET$17</f>
        <v>Data</v>
      </c>
      <c r="KT32" s="501" t="s">
        <v>727</v>
      </c>
      <c r="KU32" s="502">
        <f>IF(KU30=0,0,1/KU30)</f>
        <v>0</v>
      </c>
      <c r="KZ32" s="533"/>
      <c r="LA32" s="534"/>
      <c r="LB32" s="534"/>
      <c r="LC32" s="534"/>
      <c r="LD32" s="535"/>
      <c r="LE32" s="526"/>
      <c r="LF32" s="526"/>
      <c r="LG32" s="526"/>
      <c r="LH32" s="526"/>
      <c r="LI32" s="533"/>
      <c r="LJ32" s="534"/>
      <c r="LK32" s="534"/>
      <c r="LL32" s="535"/>
      <c r="LN32" s="500"/>
      <c r="LO32" s="500"/>
      <c r="LP32" s="500"/>
      <c r="LV32" s="563">
        <f t="shared" si="63"/>
        <v>0</v>
      </c>
      <c r="LW32" s="563">
        <f t="shared" si="64"/>
        <v>0</v>
      </c>
      <c r="LY32" s="514">
        <v>3</v>
      </c>
      <c r="LZ32" s="514" t="str">
        <f>$LZ$28</f>
        <v>Suspended</v>
      </c>
      <c r="MA32" s="514" t="str">
        <f>$ET$51</f>
        <v>No</v>
      </c>
      <c r="MB32" s="514" t="str">
        <f t="shared" si="35"/>
        <v>3SuspendedNo</v>
      </c>
      <c r="MC32" s="514"/>
      <c r="MD32" s="514"/>
      <c r="ME32" s="617">
        <v>1.7</v>
      </c>
      <c r="MF32" s="618">
        <v>2.87</v>
      </c>
      <c r="MG32" s="619"/>
      <c r="MH32" s="620"/>
      <c r="MM32" s="543"/>
    </row>
    <row r="33" spans="1:351" ht="11.25" customHeight="1">
      <c r="A33" s="577"/>
      <c r="B33" s="516" t="s">
        <v>1000</v>
      </c>
      <c r="C33" s="504"/>
      <c r="D33" s="516"/>
      <c r="E33" s="516"/>
      <c r="F33" s="516"/>
      <c r="G33" s="516" t="s">
        <v>540</v>
      </c>
      <c r="H33" s="504"/>
      <c r="I33" s="504"/>
      <c r="J33" s="516"/>
      <c r="K33" s="516"/>
      <c r="L33" s="516"/>
      <c r="M33" s="516"/>
      <c r="N33" s="516"/>
      <c r="O33" s="516"/>
      <c r="P33" s="516"/>
      <c r="Q33" s="516"/>
      <c r="R33" s="516"/>
      <c r="S33" s="516"/>
      <c r="T33" s="1082"/>
      <c r="U33" s="577"/>
      <c r="V33" s="562"/>
      <c r="W33" s="577"/>
      <c r="X33" s="847">
        <f>IF(ISBLANK(Calculator!C41),"",Calculator!C41)</f>
        <v>5</v>
      </c>
      <c r="Y33" s="972" t="str">
        <f>IF(ISBLANK(Calculator!D41),"",Calculator!D41)</f>
        <v/>
      </c>
      <c r="Z33" s="973"/>
      <c r="AA33" s="845" t="str">
        <f>IF(ISBLANK(Calculator!G41),"",Calculator!G41)</f>
        <v/>
      </c>
      <c r="AB33" s="846" t="str">
        <f>IF(ISBLANK(Calculator!H41),"",Calculator!H41)</f>
        <v/>
      </c>
      <c r="AC33" s="724"/>
      <c r="AD33" s="725"/>
      <c r="AE33" s="504"/>
      <c r="AF33" s="735"/>
      <c r="AG33" s="895"/>
      <c r="AH33" s="608" t="str">
        <f t="shared" si="40"/>
        <v/>
      </c>
      <c r="AI33" s="726"/>
      <c r="AJ33" s="726"/>
      <c r="AK33" s="726"/>
      <c r="AL33" s="726"/>
      <c r="AM33" s="726"/>
      <c r="AN33" s="726"/>
      <c r="AO33" s="726"/>
      <c r="AP33" s="726"/>
      <c r="AQ33" s="726"/>
      <c r="AR33" s="726"/>
      <c r="AS33" s="726"/>
      <c r="AT33" s="726"/>
      <c r="AU33" s="577"/>
      <c r="AV33" s="562"/>
      <c r="AW33" s="577"/>
      <c r="AX33" s="516"/>
      <c r="AY33" s="516"/>
      <c r="AZ33" s="516"/>
      <c r="BA33" s="516"/>
      <c r="BB33" s="516"/>
      <c r="BC33" s="516"/>
      <c r="BD33" s="516"/>
      <c r="BE33" s="516"/>
      <c r="BF33" s="516"/>
      <c r="BG33" s="516"/>
      <c r="BH33" s="516"/>
      <c r="BI33" s="561"/>
      <c r="BJ33" s="516"/>
      <c r="BK33" s="516"/>
      <c r="BL33" s="516"/>
      <c r="BM33" s="621"/>
      <c r="BN33" s="794"/>
      <c r="BO33" s="779"/>
      <c r="BP33" s="779"/>
      <c r="BQ33" s="799"/>
      <c r="BR33" s="577"/>
      <c r="BT33" s="577"/>
      <c r="BU33" s="504"/>
      <c r="BV33" s="504"/>
      <c r="BW33" s="967" t="s">
        <v>1101</v>
      </c>
      <c r="BX33" s="967"/>
      <c r="BY33" s="967"/>
      <c r="BZ33" s="967"/>
      <c r="CA33" s="967"/>
      <c r="CB33" s="968"/>
      <c r="CC33" s="969"/>
      <c r="CD33" s="970"/>
      <c r="CE33" s="970"/>
      <c r="CF33" s="970"/>
      <c r="CG33" s="971"/>
      <c r="CH33" s="577"/>
      <c r="CI33" s="562"/>
      <c r="CJ33" s="577"/>
      <c r="CK33" s="504"/>
      <c r="CL33" s="538" t="str">
        <f>IF(CL32=$IU$59,$IU$60,IV86)</f>
        <v/>
      </c>
      <c r="CM33" s="515"/>
      <c r="CN33" s="515"/>
      <c r="CO33" s="515"/>
      <c r="CP33" s="515"/>
      <c r="CQ33" s="515"/>
      <c r="CR33" s="515"/>
      <c r="CS33" s="515"/>
      <c r="CT33" s="515"/>
      <c r="CU33" s="515"/>
      <c r="CV33" s="515"/>
      <c r="CW33" s="515"/>
      <c r="CX33" s="504"/>
      <c r="CY33" s="504"/>
      <c r="CZ33" s="868"/>
      <c r="DA33" s="869"/>
      <c r="DB33" s="869"/>
      <c r="DC33" s="870"/>
      <c r="DD33" s="577"/>
      <c r="DE33" s="562"/>
      <c r="DF33" s="577"/>
      <c r="DG33" s="504"/>
      <c r="DH33" s="504"/>
      <c r="DI33" s="504"/>
      <c r="DJ33" s="504"/>
      <c r="DK33" s="504"/>
      <c r="DL33" s="504"/>
      <c r="DM33" s="504"/>
      <c r="DN33" s="504"/>
      <c r="DO33" s="504"/>
      <c r="DP33" s="504"/>
      <c r="DQ33" s="504"/>
      <c r="DR33" s="504"/>
      <c r="DS33" s="504"/>
      <c r="DT33" s="504"/>
      <c r="DU33" s="1016" t="s">
        <v>1124</v>
      </c>
      <c r="DV33" s="794"/>
      <c r="DW33" s="779"/>
      <c r="DX33" s="779"/>
      <c r="DY33" s="799"/>
      <c r="DZ33" s="577"/>
      <c r="EA33" s="562"/>
      <c r="EB33" s="577"/>
      <c r="EC33" s="504"/>
      <c r="ED33" s="504"/>
      <c r="EE33" s="504"/>
      <c r="EF33" s="504"/>
      <c r="EG33" s="504"/>
      <c r="EH33" s="504"/>
      <c r="EI33" s="504"/>
      <c r="EJ33" s="504"/>
      <c r="EK33" s="504"/>
      <c r="EL33" s="504"/>
      <c r="EM33" s="517"/>
      <c r="EN33" s="516"/>
      <c r="EO33" s="516"/>
      <c r="EP33" s="577"/>
      <c r="EQ33" s="562"/>
      <c r="ES33" s="543"/>
      <c r="ET33" s="500" t="s">
        <v>743</v>
      </c>
      <c r="EV33" s="500" t="b">
        <f t="shared" si="41"/>
        <v>0</v>
      </c>
      <c r="EW33" s="500" t="b">
        <f t="shared" si="65"/>
        <v>0</v>
      </c>
      <c r="EX33" s="500" t="b">
        <f t="shared" si="66"/>
        <v>0</v>
      </c>
      <c r="EY33" s="500" t="b">
        <f t="shared" si="42"/>
        <v>0</v>
      </c>
      <c r="EZ33" s="500" t="b">
        <f t="shared" si="43"/>
        <v>0</v>
      </c>
      <c r="FA33" s="500" t="b">
        <f t="shared" si="44"/>
        <v>0</v>
      </c>
      <c r="FB33" s="500" t="b">
        <f t="shared" si="45"/>
        <v>0</v>
      </c>
      <c r="FC33" s="500" t="b">
        <f t="shared" si="67"/>
        <v>0</v>
      </c>
      <c r="FD33" s="500" t="b">
        <f t="shared" si="68"/>
        <v>0</v>
      </c>
      <c r="FE33" s="500" t="b">
        <f t="shared" si="46"/>
        <v>0</v>
      </c>
      <c r="FF33" s="500" t="b">
        <f t="shared" si="47"/>
        <v>0</v>
      </c>
      <c r="FG33" s="500" t="b">
        <f t="shared" si="48"/>
        <v>0</v>
      </c>
      <c r="FI33" s="611">
        <f t="shared" si="49"/>
        <v>0</v>
      </c>
      <c r="FJ33" s="611">
        <f t="shared" si="50"/>
        <v>0</v>
      </c>
      <c r="FK33" s="611">
        <f t="shared" si="69"/>
        <v>0</v>
      </c>
      <c r="FL33" s="612"/>
      <c r="FM33" s="613">
        <f t="shared" si="51"/>
        <v>0</v>
      </c>
      <c r="FN33" s="613">
        <f t="shared" si="52"/>
        <v>0</v>
      </c>
      <c r="FO33" s="613">
        <f t="shared" si="53"/>
        <v>0</v>
      </c>
      <c r="FP33" s="613">
        <f t="shared" si="54"/>
        <v>0</v>
      </c>
      <c r="FQ33" s="613">
        <f t="shared" si="55"/>
        <v>0</v>
      </c>
      <c r="FR33" s="613">
        <f t="shared" si="56"/>
        <v>0</v>
      </c>
      <c r="FS33" s="613">
        <f t="shared" si="57"/>
        <v>0</v>
      </c>
      <c r="FT33" s="613">
        <f t="shared" si="58"/>
        <v>0</v>
      </c>
      <c r="FU33" s="613">
        <f t="shared" si="59"/>
        <v>0</v>
      </c>
      <c r="FV33" s="613">
        <f t="shared" si="60"/>
        <v>0</v>
      </c>
      <c r="FW33" s="613">
        <f t="shared" si="61"/>
        <v>0</v>
      </c>
      <c r="FX33" s="613">
        <f t="shared" si="62"/>
        <v>0</v>
      </c>
      <c r="GE33" s="564" t="s">
        <v>671</v>
      </c>
      <c r="GF33" s="514" t="s">
        <v>691</v>
      </c>
      <c r="GG33" s="514">
        <v>0.04</v>
      </c>
      <c r="GH33" s="520">
        <v>0.02</v>
      </c>
      <c r="GI33" s="520">
        <v>0.46</v>
      </c>
      <c r="GJ33" s="514">
        <v>0.06</v>
      </c>
      <c r="GK33" s="514">
        <v>0.16</v>
      </c>
      <c r="GL33" s="566">
        <f t="shared" si="16"/>
        <v>0.7400000000000001</v>
      </c>
      <c r="GM33" s="514">
        <v>0.74</v>
      </c>
      <c r="GN33" s="514">
        <f t="shared" si="17"/>
        <v>0.52</v>
      </c>
      <c r="GO33" s="514">
        <f t="shared" si="18"/>
        <v>0.68</v>
      </c>
      <c r="GV33" s="501"/>
      <c r="GW33" s="501"/>
      <c r="GX33" s="501" t="s">
        <v>725</v>
      </c>
      <c r="GY33" s="502">
        <f>IF(GX27=0,0,HB27/GX27)</f>
        <v>0</v>
      </c>
      <c r="HD33" s="533"/>
      <c r="HE33" s="534"/>
      <c r="HF33" s="534"/>
      <c r="HG33" s="616" t="b">
        <f>AND(BK31&lt;&gt;$ET$13,AND(AY31=$ET$13,BB31=$ET$13))</f>
        <v>0</v>
      </c>
      <c r="HH33" s="535"/>
      <c r="HI33" s="863"/>
      <c r="HJ33" s="779"/>
      <c r="HK33" s="779"/>
      <c r="HL33" s="779"/>
      <c r="HM33" s="533"/>
      <c r="HN33" s="830"/>
      <c r="HO33" s="534"/>
      <c r="HP33" s="535"/>
      <c r="IH33" s="524"/>
      <c r="II33" s="524"/>
      <c r="IJ33" s="524"/>
      <c r="IK33" s="524"/>
      <c r="IL33" s="533"/>
      <c r="IM33" s="534"/>
      <c r="IN33" s="534"/>
      <c r="IO33" s="534"/>
      <c r="IP33" s="534"/>
      <c r="IQ33" s="534"/>
      <c r="IR33" s="535"/>
      <c r="IT33" s="500"/>
      <c r="IU33" s="695" t="s">
        <v>824</v>
      </c>
      <c r="IV33" s="500" t="str">
        <f>$IT$52</f>
        <v>R/b veneer, Clad ext frame, Int clay masonry with render or p/board lining: BCA Fig 3.12.1.3(f)</v>
      </c>
      <c r="JN33" s="501" t="s">
        <v>725</v>
      </c>
      <c r="JO33" s="502">
        <f>IF(JN27=0,0,JR27/JN27)</f>
        <v>0</v>
      </c>
      <c r="JT33" s="533"/>
      <c r="JU33" s="534"/>
      <c r="JV33" s="594" t="b">
        <f>AND($T$52=$ET$50,CW32=$IY$56)</f>
        <v>0</v>
      </c>
      <c r="JW33" s="535"/>
      <c r="JX33" s="526"/>
      <c r="JY33" s="526"/>
      <c r="JZ33" s="526"/>
      <c r="KA33" s="526"/>
      <c r="KB33" s="533"/>
      <c r="KC33" s="534"/>
      <c r="KD33" s="534"/>
      <c r="KE33" s="535"/>
      <c r="KG33" s="514" t="str">
        <f>$KG$21</f>
        <v>Enclosed - &gt;0.6m and ≤1.2m</v>
      </c>
      <c r="KH33" s="563">
        <v>0.81</v>
      </c>
      <c r="KI33" s="563">
        <v>0.76</v>
      </c>
      <c r="KJ33" s="563">
        <v>0.71</v>
      </c>
      <c r="KK33" s="563">
        <v>0.6</v>
      </c>
      <c r="KL33" s="500" t="str">
        <f t="shared" ref="KL33:KL34" si="77">$ET$17</f>
        <v>Data</v>
      </c>
      <c r="KZ33" s="533"/>
      <c r="LA33" s="534"/>
      <c r="LB33" s="534"/>
      <c r="LC33" s="534"/>
      <c r="LD33" s="535"/>
      <c r="LE33" s="526"/>
      <c r="LF33" s="526"/>
      <c r="LG33" s="526"/>
      <c r="LH33" s="526"/>
      <c r="LI33" s="533"/>
      <c r="LJ33" s="534"/>
      <c r="LK33" s="534"/>
      <c r="LL33" s="535"/>
      <c r="LP33" s="500"/>
      <c r="LV33" s="563">
        <f t="shared" si="63"/>
        <v>0</v>
      </c>
      <c r="LW33" s="563">
        <f t="shared" si="64"/>
        <v>0</v>
      </c>
      <c r="LY33" s="514">
        <v>3</v>
      </c>
      <c r="LZ33" s="514" t="str">
        <f>$LZ$28</f>
        <v>Suspended</v>
      </c>
      <c r="MA33" s="514" t="str">
        <f>$ET$50</f>
        <v>Yes</v>
      </c>
      <c r="MB33" s="514" t="str">
        <f t="shared" si="35"/>
        <v>3SuspendedYes</v>
      </c>
      <c r="MC33" s="514"/>
      <c r="MD33" s="514"/>
      <c r="ME33" s="617">
        <v>1.7</v>
      </c>
      <c r="MF33" s="618">
        <v>3.58</v>
      </c>
      <c r="MG33" s="619"/>
      <c r="MH33" s="620"/>
      <c r="MM33" s="543"/>
    </row>
    <row r="34" spans="1:351" ht="11.25" customHeight="1">
      <c r="A34" s="577"/>
      <c r="B34" s="516"/>
      <c r="C34" s="504"/>
      <c r="D34" s="516"/>
      <c r="E34" s="516"/>
      <c r="F34" s="516"/>
      <c r="G34" s="516" t="s">
        <v>510</v>
      </c>
      <c r="H34" s="504"/>
      <c r="I34" s="504"/>
      <c r="J34" s="516"/>
      <c r="K34" s="516"/>
      <c r="L34" s="516"/>
      <c r="M34" s="516"/>
      <c r="N34" s="516"/>
      <c r="O34" s="516"/>
      <c r="P34" s="516"/>
      <c r="Q34" s="504"/>
      <c r="R34" s="516"/>
      <c r="S34" s="516"/>
      <c r="T34" s="1082"/>
      <c r="U34" s="577"/>
      <c r="V34" s="562"/>
      <c r="W34" s="577"/>
      <c r="X34" s="847">
        <f>IF(ISBLANK(Calculator!C42),"",Calculator!C42)</f>
        <v>6</v>
      </c>
      <c r="Y34" s="972" t="str">
        <f>IF(ISBLANK(Calculator!D42),"",Calculator!D42)</f>
        <v/>
      </c>
      <c r="Z34" s="973"/>
      <c r="AA34" s="845" t="str">
        <f>IF(ISBLANK(Calculator!G42),"",Calculator!G42)</f>
        <v/>
      </c>
      <c r="AB34" s="846" t="str">
        <f>IF(ISBLANK(Calculator!H42),"",Calculator!H42)</f>
        <v/>
      </c>
      <c r="AC34" s="724"/>
      <c r="AD34" s="725"/>
      <c r="AE34" s="504"/>
      <c r="AF34" s="735"/>
      <c r="AG34" s="895"/>
      <c r="AH34" s="608" t="str">
        <f t="shared" si="40"/>
        <v/>
      </c>
      <c r="AI34" s="726"/>
      <c r="AJ34" s="726"/>
      <c r="AK34" s="726"/>
      <c r="AL34" s="726"/>
      <c r="AM34" s="726"/>
      <c r="AN34" s="726"/>
      <c r="AO34" s="726"/>
      <c r="AP34" s="726"/>
      <c r="AQ34" s="726"/>
      <c r="AR34" s="726"/>
      <c r="AS34" s="726"/>
      <c r="AT34" s="726"/>
      <c r="AU34" s="577"/>
      <c r="AV34" s="562"/>
      <c r="AW34" s="577"/>
      <c r="AX34" s="516"/>
      <c r="AY34" s="504" t="str">
        <f>CONCATENATE("Roof 1B:"," ",ET33," ",$ET$30)</f>
        <v>Roof 1B: Alteration to existing roof (second option)</v>
      </c>
      <c r="AZ34" s="516"/>
      <c r="BA34" s="516"/>
      <c r="BB34" s="516"/>
      <c r="BC34" s="516"/>
      <c r="BD34" s="516"/>
      <c r="BE34" s="516"/>
      <c r="BF34" s="516"/>
      <c r="BG34" s="516"/>
      <c r="BH34" s="516"/>
      <c r="BI34" s="561"/>
      <c r="BJ34" s="516"/>
      <c r="BK34" s="516"/>
      <c r="BL34" s="516"/>
      <c r="BM34" s="523"/>
      <c r="BN34" s="794"/>
      <c r="BO34" s="779"/>
      <c r="BP34" s="779"/>
      <c r="BQ34" s="799"/>
      <c r="BR34" s="577"/>
      <c r="BT34" s="577"/>
      <c r="BU34" s="504"/>
      <c r="BV34" s="701"/>
      <c r="BW34" s="967"/>
      <c r="BX34" s="967"/>
      <c r="BY34" s="967"/>
      <c r="BZ34" s="967"/>
      <c r="CA34" s="967"/>
      <c r="CB34" s="968"/>
      <c r="CC34" s="504"/>
      <c r="CD34" s="504"/>
      <c r="CE34" s="504"/>
      <c r="CF34" s="504"/>
      <c r="CG34" s="504"/>
      <c r="CH34" s="577"/>
      <c r="CI34" s="562"/>
      <c r="CJ34" s="577"/>
      <c r="CK34" s="504"/>
      <c r="CL34" s="504"/>
      <c r="CM34" s="504"/>
      <c r="CN34" s="504"/>
      <c r="CO34" s="504"/>
      <c r="CP34" s="504"/>
      <c r="CQ34" s="504"/>
      <c r="CR34" s="504"/>
      <c r="CS34" s="504"/>
      <c r="CT34" s="504"/>
      <c r="CU34" s="504"/>
      <c r="CV34" s="504"/>
      <c r="CW34" s="504"/>
      <c r="CX34" s="504"/>
      <c r="CY34" s="504"/>
      <c r="CZ34" s="868"/>
      <c r="DA34" s="869"/>
      <c r="DB34" s="869"/>
      <c r="DC34" s="870"/>
      <c r="DD34" s="577"/>
      <c r="DE34" s="562"/>
      <c r="DF34" s="577"/>
      <c r="DG34" s="634" t="str">
        <f>CONCATENATE("Floor 3:"," ",$ET$41)</f>
        <v>Floor 3: Added floor construction</v>
      </c>
      <c r="DH34" s="629"/>
      <c r="DI34" s="629"/>
      <c r="DJ34" s="629"/>
      <c r="DK34" s="629"/>
      <c r="DL34" s="629"/>
      <c r="DM34" s="629"/>
      <c r="DN34" s="629"/>
      <c r="DO34" s="718"/>
      <c r="DP34" s="718"/>
      <c r="DQ34" s="718"/>
      <c r="DR34" s="634"/>
      <c r="DS34" s="629"/>
      <c r="DT34" s="504"/>
      <c r="DU34" s="1016"/>
      <c r="DV34" s="794"/>
      <c r="DW34" s="779"/>
      <c r="DX34" s="779"/>
      <c r="DY34" s="799"/>
      <c r="DZ34" s="577"/>
      <c r="EA34" s="562"/>
      <c r="EB34" s="577"/>
      <c r="EC34" s="884" t="str">
        <f>CONCATENATE($EC$26," ",$ET$30)</f>
        <v>Attached verandah or balcony (second option)</v>
      </c>
      <c r="ED34" s="885"/>
      <c r="EE34" s="885"/>
      <c r="EF34" s="885"/>
      <c r="EG34" s="885"/>
      <c r="EH34" s="885"/>
      <c r="EI34" s="886"/>
      <c r="EJ34" s="886"/>
      <c r="EK34" s="886"/>
      <c r="EL34" s="886"/>
      <c r="EM34" s="517"/>
      <c r="EN34" s="516"/>
      <c r="EO34" s="516"/>
      <c r="EP34" s="577"/>
      <c r="EQ34" s="562"/>
      <c r="ES34" s="543"/>
      <c r="ET34" s="500" t="s">
        <v>644</v>
      </c>
      <c r="EV34" s="500" t="b">
        <f t="shared" si="41"/>
        <v>0</v>
      </c>
      <c r="EW34" s="500" t="b">
        <f t="shared" si="65"/>
        <v>0</v>
      </c>
      <c r="EX34" s="500" t="b">
        <f t="shared" si="66"/>
        <v>0</v>
      </c>
      <c r="EY34" s="500" t="b">
        <f t="shared" si="42"/>
        <v>0</v>
      </c>
      <c r="EZ34" s="500" t="b">
        <f t="shared" si="43"/>
        <v>0</v>
      </c>
      <c r="FA34" s="500" t="b">
        <f t="shared" si="44"/>
        <v>0</v>
      </c>
      <c r="FB34" s="500" t="b">
        <f t="shared" si="45"/>
        <v>0</v>
      </c>
      <c r="FC34" s="500" t="b">
        <f t="shared" si="67"/>
        <v>0</v>
      </c>
      <c r="FD34" s="500" t="b">
        <f>AND(ISNUMBER(AG34),AD34=$ET$51)</f>
        <v>0</v>
      </c>
      <c r="FE34" s="500" t="b">
        <f>AND(ISBLANK(AG34),COUNTIF(AI34:AT34,$ET$14)&gt;0)</f>
        <v>0</v>
      </c>
      <c r="FF34" s="500" t="b">
        <f>AND(ISNUMBER(AG34),COUNTIF(AI34:AT34,$ET$14)=0)</f>
        <v>0</v>
      </c>
      <c r="FG34" s="500" t="b">
        <f>COUNTIF(AI34:AT34,$ET$14)&gt;1</f>
        <v>0</v>
      </c>
      <c r="FI34" s="611">
        <f t="shared" si="49"/>
        <v>0</v>
      </c>
      <c r="FJ34" s="611">
        <f t="shared" si="50"/>
        <v>0</v>
      </c>
      <c r="FK34" s="611">
        <f t="shared" si="69"/>
        <v>0</v>
      </c>
      <c r="FL34" s="612"/>
      <c r="FM34" s="613">
        <f t="shared" si="51"/>
        <v>0</v>
      </c>
      <c r="FN34" s="613">
        <f t="shared" si="52"/>
        <v>0</v>
      </c>
      <c r="FO34" s="613">
        <f t="shared" si="53"/>
        <v>0</v>
      </c>
      <c r="FP34" s="613">
        <f t="shared" si="54"/>
        <v>0</v>
      </c>
      <c r="FQ34" s="613">
        <f t="shared" si="55"/>
        <v>0</v>
      </c>
      <c r="FR34" s="613">
        <f t="shared" si="56"/>
        <v>0</v>
      </c>
      <c r="FS34" s="613">
        <f t="shared" si="57"/>
        <v>0</v>
      </c>
      <c r="FT34" s="613">
        <f t="shared" si="58"/>
        <v>0</v>
      </c>
      <c r="FU34" s="613">
        <f t="shared" si="59"/>
        <v>0</v>
      </c>
      <c r="FV34" s="613">
        <f t="shared" si="60"/>
        <v>0</v>
      </c>
      <c r="FW34" s="613">
        <f t="shared" si="61"/>
        <v>0</v>
      </c>
      <c r="FX34" s="613">
        <f t="shared" si="62"/>
        <v>0</v>
      </c>
      <c r="GE34" s="564" t="s">
        <v>672</v>
      </c>
      <c r="GF34" s="514" t="s">
        <v>692</v>
      </c>
      <c r="GG34" s="514">
        <v>0.04</v>
      </c>
      <c r="GH34" s="520">
        <v>0.02</v>
      </c>
      <c r="GI34" s="520">
        <v>0</v>
      </c>
      <c r="GJ34" s="514">
        <v>0.06</v>
      </c>
      <c r="GK34" s="514">
        <v>0.11</v>
      </c>
      <c r="GL34" s="566">
        <f t="shared" si="16"/>
        <v>0.22999999999999998</v>
      </c>
      <c r="GM34" s="514">
        <v>0.23</v>
      </c>
      <c r="GN34" s="514">
        <f t="shared" si="17"/>
        <v>0.06</v>
      </c>
      <c r="GO34" s="514">
        <f t="shared" si="18"/>
        <v>0.16999999999999998</v>
      </c>
      <c r="HD34" s="533"/>
      <c r="HE34" s="534"/>
      <c r="HF34" s="534"/>
      <c r="HG34" s="534"/>
      <c r="HH34" s="535"/>
      <c r="HI34" s="863"/>
      <c r="HJ34" s="779"/>
      <c r="HK34" s="779"/>
      <c r="HL34" s="779"/>
      <c r="HM34" s="533"/>
      <c r="HN34" s="830"/>
      <c r="HO34" s="534"/>
      <c r="HP34" s="535"/>
      <c r="IL34" s="533"/>
      <c r="IM34" s="534"/>
      <c r="IN34" s="534"/>
      <c r="IO34" s="534"/>
      <c r="IP34" s="534"/>
      <c r="IQ34" s="534"/>
      <c r="IR34" s="535"/>
      <c r="IU34" s="623" t="str">
        <f>$IU$59</f>
        <v>Adding render and/or cladding to an existing external wall</v>
      </c>
      <c r="JT34" s="533"/>
      <c r="JU34" s="534"/>
      <c r="JV34" s="534"/>
      <c r="JW34" s="535"/>
      <c r="JX34" s="526"/>
      <c r="JY34" s="526"/>
      <c r="JZ34" s="526"/>
      <c r="KA34" s="526"/>
      <c r="KB34" s="533"/>
      <c r="KC34" s="534"/>
      <c r="KD34" s="534"/>
      <c r="KE34" s="535"/>
      <c r="KG34" s="514" t="str">
        <f>$KG$22</f>
        <v>Enclosed - &gt;1.2m and ≤2.4m</v>
      </c>
      <c r="KH34" s="563">
        <v>0.71</v>
      </c>
      <c r="KI34" s="563">
        <v>0.67</v>
      </c>
      <c r="KJ34" s="563">
        <v>0.62</v>
      </c>
      <c r="KK34" s="563">
        <v>0.52</v>
      </c>
      <c r="KL34" s="500" t="str">
        <f t="shared" si="77"/>
        <v>Data</v>
      </c>
      <c r="KZ34" s="533"/>
      <c r="LA34" s="534"/>
      <c r="LB34" s="534"/>
      <c r="LC34" s="534"/>
      <c r="LD34" s="535"/>
      <c r="LE34" s="526"/>
      <c r="LF34" s="526"/>
      <c r="LG34" s="526"/>
      <c r="LH34" s="526"/>
      <c r="LI34" s="533"/>
      <c r="LJ34" s="534"/>
      <c r="LK34" s="534"/>
      <c r="LL34" s="535"/>
      <c r="LP34" s="500"/>
      <c r="LV34" s="563">
        <f t="shared" si="63"/>
        <v>0</v>
      </c>
      <c r="LW34" s="563">
        <f t="shared" si="64"/>
        <v>0</v>
      </c>
      <c r="LY34" s="500">
        <v>4</v>
      </c>
      <c r="LZ34" s="500" t="str">
        <f>$LZ$26</f>
        <v>Direct</v>
      </c>
      <c r="MA34" s="500" t="str">
        <f>$ET$51</f>
        <v>No</v>
      </c>
      <c r="MB34" s="500" t="str">
        <f t="shared" si="35"/>
        <v>4DirectNo</v>
      </c>
      <c r="MC34" s="500"/>
      <c r="MD34" s="500"/>
      <c r="ME34" s="510">
        <v>2.52</v>
      </c>
      <c r="MF34" s="511">
        <v>1.69</v>
      </c>
      <c r="MG34" s="512"/>
      <c r="MH34" s="513"/>
      <c r="MM34" s="543"/>
    </row>
    <row r="35" spans="1:351" ht="11.25" customHeight="1" thickBot="1">
      <c r="A35" s="577"/>
      <c r="B35" s="505"/>
      <c r="C35" s="505"/>
      <c r="D35" s="505"/>
      <c r="E35" s="505"/>
      <c r="F35" s="505"/>
      <c r="G35" s="588" t="s">
        <v>521</v>
      </c>
      <c r="H35" s="588"/>
      <c r="I35" s="588"/>
      <c r="J35" s="588"/>
      <c r="K35" s="588"/>
      <c r="L35" s="588"/>
      <c r="M35" s="588"/>
      <c r="N35" s="588"/>
      <c r="O35" s="588"/>
      <c r="P35" s="588"/>
      <c r="Q35" s="588"/>
      <c r="R35" s="588"/>
      <c r="S35" s="588"/>
      <c r="T35" s="1022"/>
      <c r="U35" s="577"/>
      <c r="V35" s="562"/>
      <c r="W35" s="577"/>
      <c r="X35" s="847">
        <f>IF(ISBLANK(Calculator!C43),"",Calculator!C43)</f>
        <v>7</v>
      </c>
      <c r="Y35" s="972" t="str">
        <f>IF(ISBLANK(Calculator!D43),"",Calculator!D43)</f>
        <v/>
      </c>
      <c r="Z35" s="973"/>
      <c r="AA35" s="845" t="str">
        <f>IF(ISBLANK(Calculator!G43),"",Calculator!G43)</f>
        <v/>
      </c>
      <c r="AB35" s="846" t="str">
        <f>IF(ISBLANK(Calculator!H43),"",Calculator!H43)</f>
        <v/>
      </c>
      <c r="AC35" s="724"/>
      <c r="AD35" s="725"/>
      <c r="AE35" s="504"/>
      <c r="AF35" s="735"/>
      <c r="AG35" s="895"/>
      <c r="AH35" s="608" t="str">
        <f t="shared" si="40"/>
        <v/>
      </c>
      <c r="AI35" s="726"/>
      <c r="AJ35" s="726"/>
      <c r="AK35" s="726"/>
      <c r="AL35" s="726"/>
      <c r="AM35" s="726"/>
      <c r="AN35" s="726"/>
      <c r="AO35" s="726"/>
      <c r="AP35" s="726"/>
      <c r="AQ35" s="726"/>
      <c r="AR35" s="726"/>
      <c r="AS35" s="726"/>
      <c r="AT35" s="726"/>
      <c r="AU35" s="577"/>
      <c r="AV35" s="562"/>
      <c r="AW35" s="577"/>
      <c r="AX35" s="516"/>
      <c r="AY35" s="504" t="str">
        <f>$AY$30</f>
        <v>Cover</v>
      </c>
      <c r="AZ35" s="504"/>
      <c r="BA35" s="504"/>
      <c r="BB35" s="519" t="str">
        <f>$BB$30</f>
        <v>Ceiling</v>
      </c>
      <c r="BC35" s="504"/>
      <c r="BD35" s="504"/>
      <c r="BE35" s="504"/>
      <c r="BF35" s="504"/>
      <c r="BG35" s="504"/>
      <c r="BH35" s="504"/>
      <c r="BI35" s="504"/>
      <c r="BJ35" s="516"/>
      <c r="BK35" s="516"/>
      <c r="BL35" s="516"/>
      <c r="BM35" s="621"/>
      <c r="BN35" s="796"/>
      <c r="BO35" s="779"/>
      <c r="BP35" s="779"/>
      <c r="BQ35" s="799"/>
      <c r="BR35" s="577"/>
      <c r="BT35" s="577"/>
      <c r="BU35" s="570"/>
      <c r="BV35" s="570"/>
      <c r="BW35" s="570"/>
      <c r="BX35" s="570"/>
      <c r="BY35" s="570"/>
      <c r="BZ35" s="570"/>
      <c r="CA35" s="570"/>
      <c r="CB35" s="504"/>
      <c r="CC35" s="517"/>
      <c r="CD35" s="516"/>
      <c r="CE35" s="504"/>
      <c r="CF35" s="504"/>
      <c r="CG35" s="504"/>
      <c r="CH35" s="577"/>
      <c r="CI35" s="562"/>
      <c r="CJ35" s="577"/>
      <c r="CK35" s="516"/>
      <c r="CL35" s="516"/>
      <c r="CM35" s="516"/>
      <c r="CN35" s="516"/>
      <c r="CO35" s="516"/>
      <c r="CP35" s="516"/>
      <c r="CQ35" s="516"/>
      <c r="CR35" s="516"/>
      <c r="CS35" s="516"/>
      <c r="CT35" s="516"/>
      <c r="CU35" s="516"/>
      <c r="CV35" s="516"/>
      <c r="CW35" s="974" t="s">
        <v>643</v>
      </c>
      <c r="CX35" s="781"/>
      <c r="CY35" s="1016" t="s">
        <v>979</v>
      </c>
      <c r="CZ35" s="868"/>
      <c r="DA35" s="869"/>
      <c r="DB35" s="869"/>
      <c r="DC35" s="870"/>
      <c r="DD35" s="577"/>
      <c r="DE35" s="562"/>
      <c r="DF35" s="577"/>
      <c r="DG35" s="504" t="str">
        <f>$DG$21</f>
        <v>Floor type</v>
      </c>
      <c r="DH35" s="504"/>
      <c r="DI35" s="504"/>
      <c r="DJ35" s="504"/>
      <c r="DK35" s="504" t="str">
        <f>$DK$21</f>
        <v>Enclosure and height</v>
      </c>
      <c r="DL35" s="504"/>
      <c r="DM35" s="504"/>
      <c r="DN35" s="504"/>
      <c r="DO35" s="504" t="str">
        <f>$DO$21</f>
        <v>Enclosing material</v>
      </c>
      <c r="DP35" s="504"/>
      <c r="DQ35" s="504"/>
      <c r="DR35" s="504"/>
      <c r="DS35" s="504"/>
      <c r="DT35" s="504"/>
      <c r="DU35" s="1017"/>
      <c r="DV35" s="794"/>
      <c r="DW35" s="779"/>
      <c r="DX35" s="779"/>
      <c r="DY35" s="799"/>
      <c r="DZ35" s="577"/>
      <c r="EA35" s="562"/>
      <c r="EB35" s="577"/>
      <c r="EC35" s="504"/>
      <c r="ED35" s="504"/>
      <c r="EE35" s="504"/>
      <c r="EF35" s="504"/>
      <c r="EG35" s="504"/>
      <c r="EH35" s="504"/>
      <c r="EI35" s="504"/>
      <c r="EJ35" s="504"/>
      <c r="EK35" s="504"/>
      <c r="EL35" s="560" t="str">
        <f>CONCATENATE($EL$27," ",$ET$30)</f>
        <v>Description (second option)</v>
      </c>
      <c r="EM35" s="969"/>
      <c r="EN35" s="970"/>
      <c r="EO35" s="971"/>
      <c r="EP35" s="577"/>
      <c r="EQ35" s="562"/>
      <c r="ES35" s="543"/>
      <c r="ET35" s="500" t="s">
        <v>737</v>
      </c>
      <c r="EV35" s="500" t="b">
        <f t="shared" si="41"/>
        <v>0</v>
      </c>
      <c r="EW35" s="500" t="b">
        <f t="shared" si="65"/>
        <v>0</v>
      </c>
      <c r="EX35" s="500" t="b">
        <f t="shared" si="66"/>
        <v>0</v>
      </c>
      <c r="EY35" s="500" t="b">
        <f t="shared" si="42"/>
        <v>0</v>
      </c>
      <c r="EZ35" s="500" t="b">
        <f t="shared" si="43"/>
        <v>0</v>
      </c>
      <c r="FA35" s="500" t="b">
        <f t="shared" si="44"/>
        <v>0</v>
      </c>
      <c r="FB35" s="500" t="b">
        <f t="shared" si="45"/>
        <v>0</v>
      </c>
      <c r="FC35" s="500" t="b">
        <f t="shared" si="67"/>
        <v>0</v>
      </c>
      <c r="FD35" s="500" t="b">
        <f t="shared" si="68"/>
        <v>0</v>
      </c>
      <c r="FE35" s="500" t="b">
        <f t="shared" si="46"/>
        <v>0</v>
      </c>
      <c r="FF35" s="500" t="b">
        <f t="shared" si="47"/>
        <v>0</v>
      </c>
      <c r="FG35" s="500" t="b">
        <f t="shared" si="48"/>
        <v>0</v>
      </c>
      <c r="FI35" s="611">
        <f t="shared" si="49"/>
        <v>0</v>
      </c>
      <c r="FJ35" s="611">
        <f t="shared" si="50"/>
        <v>0</v>
      </c>
      <c r="FK35" s="611">
        <f t="shared" si="69"/>
        <v>0</v>
      </c>
      <c r="FL35" s="612"/>
      <c r="FM35" s="613">
        <f t="shared" si="51"/>
        <v>0</v>
      </c>
      <c r="FN35" s="613">
        <f t="shared" si="52"/>
        <v>0</v>
      </c>
      <c r="FO35" s="613">
        <f t="shared" si="53"/>
        <v>0</v>
      </c>
      <c r="FP35" s="613">
        <f t="shared" si="54"/>
        <v>0</v>
      </c>
      <c r="FQ35" s="613">
        <f t="shared" si="55"/>
        <v>0</v>
      </c>
      <c r="FR35" s="613">
        <f t="shared" si="56"/>
        <v>0</v>
      </c>
      <c r="FS35" s="613">
        <f t="shared" si="57"/>
        <v>0</v>
      </c>
      <c r="FT35" s="613">
        <f t="shared" si="58"/>
        <v>0</v>
      </c>
      <c r="FU35" s="613">
        <f t="shared" si="59"/>
        <v>0</v>
      </c>
      <c r="FV35" s="613">
        <f t="shared" si="60"/>
        <v>0</v>
      </c>
      <c r="FW35" s="613">
        <f t="shared" si="61"/>
        <v>0</v>
      </c>
      <c r="FX35" s="613">
        <f t="shared" si="62"/>
        <v>0</v>
      </c>
      <c r="FZ35" s="498" t="s">
        <v>568</v>
      </c>
      <c r="GE35" s="564" t="s">
        <v>673</v>
      </c>
      <c r="GF35" s="500" t="s">
        <v>693</v>
      </c>
      <c r="GG35" s="500">
        <v>0.04</v>
      </c>
      <c r="GH35" s="563">
        <v>0.02</v>
      </c>
      <c r="GI35" s="563">
        <v>0.28000000000000003</v>
      </c>
      <c r="GJ35" s="500">
        <v>0.06</v>
      </c>
      <c r="GK35" s="500">
        <v>0.16</v>
      </c>
      <c r="GL35" s="566">
        <f t="shared" si="16"/>
        <v>0.56000000000000005</v>
      </c>
      <c r="GM35" s="500">
        <v>0.56000000000000005</v>
      </c>
      <c r="GN35" s="500">
        <f t="shared" si="17"/>
        <v>0.34</v>
      </c>
      <c r="GO35" s="500">
        <f t="shared" si="18"/>
        <v>0.5</v>
      </c>
      <c r="GV35" s="501"/>
      <c r="GW35" s="501"/>
      <c r="GX35" s="501" t="s">
        <v>727</v>
      </c>
      <c r="GY35" s="502">
        <f>IF(GY33=0,0,1/GY33)</f>
        <v>0</v>
      </c>
      <c r="HD35" s="593" t="b">
        <f>AND(ISBLANK(AY36),OR(ISTEXT(BB36),OR(ISTEXT(BI36),ISTEXT(BK36))))</f>
        <v>0</v>
      </c>
      <c r="HE35" s="594" t="b">
        <f>AND(ISBLANK(BB36),OR(ISTEXT(AY36),OR(ISTEXT(BI36),ISTEXT(BK36))))</f>
        <v>0</v>
      </c>
      <c r="HF35" s="594" t="b">
        <f>AND(ISBLANK(BI36),OR(ISTEXT(BB36),OR(ISTEXT(AY36),ISTEXT(BK36))))</f>
        <v>0</v>
      </c>
      <c r="HG35" s="594" t="b">
        <f>AND(ISBLANK(BK36),OR(ISTEXT(BB36),OR(ISTEXT(BI36),ISTEXT(AY36))))</f>
        <v>0</v>
      </c>
      <c r="HH35" s="614" t="b">
        <f>AND(SUM(BN36:BQ36)&gt;0,AND(ISBLANK(AY36),AND(ISBLANK(BB36),AND(ISBLANK(BI36),ISBLANK(BK36)))))</f>
        <v>0</v>
      </c>
      <c r="HI35" s="863">
        <f>IF(BN36&gt;0,1,0)</f>
        <v>0</v>
      </c>
      <c r="HJ35" s="779">
        <f t="shared" ref="HJ35" si="78">IF(BO36&gt;0,1,0)</f>
        <v>0</v>
      </c>
      <c r="HK35" s="779">
        <f t="shared" ref="HK35" si="79">IF(BP36&gt;0,1,0)</f>
        <v>0</v>
      </c>
      <c r="HL35" s="779">
        <f>IF(BQ36&gt;0,1,0)</f>
        <v>0</v>
      </c>
      <c r="HM35" s="593" t="b">
        <f>AND(ISTEXT($BN$20),AND(BN36=0,$HI$66&lt;2))</f>
        <v>0</v>
      </c>
      <c r="HN35" s="594" t="b">
        <f>AND(ISTEXT($BO$20),AND(BO36=0,$HJ$66&lt;2))</f>
        <v>0</v>
      </c>
      <c r="HO35" s="594" t="b">
        <f>AND(ISTEXT($BP$20),AND(BP36=0,$HK$66&lt;2))</f>
        <v>0</v>
      </c>
      <c r="HP35" s="614" t="b">
        <f>AND(ISTEXT($BQ$20),AND(BQ36=0,$HL$66&lt;2))</f>
        <v>0</v>
      </c>
      <c r="IL35" s="593" t="b">
        <f>AND(ISBLANK(CC36),OR(ISTEXT(CC33),ISTEXT(CC31)))</f>
        <v>0</v>
      </c>
      <c r="IM35" s="534"/>
      <c r="IN35" s="534"/>
      <c r="IO35" s="534"/>
      <c r="IP35" s="534"/>
      <c r="IQ35" s="534"/>
      <c r="IR35" s="535"/>
      <c r="IT35" s="695" t="s">
        <v>815</v>
      </c>
      <c r="IU35" s="500" t="s">
        <v>813</v>
      </c>
      <c r="IV35" s="500" t="str">
        <f>$IT$29</f>
        <v>Framed, Weatherboard external cladding, P/board internal lining: BCA Fig 3.12.1.3(a)</v>
      </c>
      <c r="JN35" s="501" t="s">
        <v>727</v>
      </c>
      <c r="JO35" s="502">
        <f>IF(JO33=0,0,1/JO33)</f>
        <v>0</v>
      </c>
      <c r="JT35" s="533"/>
      <c r="JU35" s="534"/>
      <c r="JV35" s="534"/>
      <c r="JW35" s="535"/>
      <c r="JX35" s="526"/>
      <c r="JY35" s="526"/>
      <c r="JZ35" s="526"/>
      <c r="KA35" s="526"/>
      <c r="KB35" s="533"/>
      <c r="KC35" s="534"/>
      <c r="KD35" s="534"/>
      <c r="KE35" s="535"/>
      <c r="KG35" s="514" t="str">
        <f>$KG$23</f>
        <v>Unenclosed</v>
      </c>
      <c r="KH35" s="500">
        <v>0.34</v>
      </c>
      <c r="KI35" s="500">
        <v>0.34</v>
      </c>
      <c r="KJ35" s="500">
        <v>0.34</v>
      </c>
      <c r="KK35" s="500">
        <v>0.34</v>
      </c>
      <c r="KL35" s="500">
        <v>0.34</v>
      </c>
      <c r="KZ35" s="533"/>
      <c r="LA35" s="534"/>
      <c r="LB35" s="534"/>
      <c r="LC35" s="534"/>
      <c r="LD35" s="535"/>
      <c r="LE35" s="526"/>
      <c r="LF35" s="526"/>
      <c r="LG35" s="526"/>
      <c r="LH35" s="526"/>
      <c r="LI35" s="533"/>
      <c r="LJ35" s="534"/>
      <c r="LK35" s="534"/>
      <c r="LL35" s="535"/>
      <c r="LP35" s="500"/>
      <c r="LR35" s="500" t="b">
        <f>AND(ISBLANK(EM35),ISNUMBER(EM37))</f>
        <v>0</v>
      </c>
      <c r="LV35" s="563">
        <f t="shared" si="63"/>
        <v>0</v>
      </c>
      <c r="LW35" s="563">
        <f t="shared" si="64"/>
        <v>0</v>
      </c>
      <c r="LY35" s="500">
        <v>4</v>
      </c>
      <c r="LZ35" s="500" t="str">
        <f>$LZ$26</f>
        <v>Direct</v>
      </c>
      <c r="MA35" s="500" t="str">
        <f>$ET$50</f>
        <v>Yes</v>
      </c>
      <c r="MB35" s="500" t="str">
        <f t="shared" si="35"/>
        <v>4DirectYes</v>
      </c>
      <c r="MC35" s="500"/>
      <c r="MD35" s="500"/>
      <c r="ME35" s="510">
        <v>3.14</v>
      </c>
      <c r="MF35" s="511">
        <v>1.69</v>
      </c>
      <c r="MG35" s="512"/>
      <c r="MH35" s="513"/>
      <c r="MM35" s="543"/>
    </row>
    <row r="36" spans="1:351" ht="11.25" customHeight="1" thickBot="1">
      <c r="A36" s="577"/>
      <c r="B36" s="504"/>
      <c r="C36" s="504"/>
      <c r="D36" s="504"/>
      <c r="E36" s="504"/>
      <c r="F36" s="504"/>
      <c r="G36" s="504"/>
      <c r="H36" s="504"/>
      <c r="I36" s="504"/>
      <c r="J36" s="504"/>
      <c r="K36" s="504"/>
      <c r="L36" s="504"/>
      <c r="M36" s="504"/>
      <c r="N36" s="504"/>
      <c r="O36" s="504"/>
      <c r="P36" s="504"/>
      <c r="Q36" s="504"/>
      <c r="R36" s="504"/>
      <c r="S36" s="504"/>
      <c r="T36" s="504"/>
      <c r="U36" s="577"/>
      <c r="V36" s="562"/>
      <c r="W36" s="577"/>
      <c r="X36" s="847">
        <f>IF(ISBLANK(Calculator!C44),"",Calculator!C44)</f>
        <v>8</v>
      </c>
      <c r="Y36" s="972" t="str">
        <f>IF(ISBLANK(Calculator!D44),"",Calculator!D44)</f>
        <v/>
      </c>
      <c r="Z36" s="973"/>
      <c r="AA36" s="845" t="str">
        <f>IF(ISBLANK(Calculator!G44),"",Calculator!G44)</f>
        <v/>
      </c>
      <c r="AB36" s="846" t="str">
        <f>IF(ISBLANK(Calculator!H44),"",Calculator!H44)</f>
        <v/>
      </c>
      <c r="AC36" s="724"/>
      <c r="AD36" s="725"/>
      <c r="AE36" s="504"/>
      <c r="AF36" s="735"/>
      <c r="AG36" s="895"/>
      <c r="AH36" s="608" t="str">
        <f t="shared" si="40"/>
        <v/>
      </c>
      <c r="AI36" s="726"/>
      <c r="AJ36" s="726"/>
      <c r="AK36" s="726"/>
      <c r="AL36" s="726"/>
      <c r="AM36" s="726"/>
      <c r="AN36" s="726"/>
      <c r="AO36" s="726"/>
      <c r="AP36" s="726"/>
      <c r="AQ36" s="726"/>
      <c r="AR36" s="726"/>
      <c r="AS36" s="726"/>
      <c r="AT36" s="726"/>
      <c r="AU36" s="577"/>
      <c r="AV36" s="562"/>
      <c r="AW36" s="577"/>
      <c r="AX36" s="516"/>
      <c r="AY36" s="976"/>
      <c r="AZ36" s="978"/>
      <c r="BA36" s="518"/>
      <c r="BB36" s="976"/>
      <c r="BC36" s="977"/>
      <c r="BD36" s="977"/>
      <c r="BE36" s="977"/>
      <c r="BF36" s="977"/>
      <c r="BG36" s="978"/>
      <c r="BH36" s="518"/>
      <c r="BI36" s="729"/>
      <c r="BJ36" s="518"/>
      <c r="BK36" s="730"/>
      <c r="BL36" s="610"/>
      <c r="BM36" s="787" t="str">
        <f>IF(GN101=4,"",IF(ISERROR(GF174),ET17,GF174))</f>
        <v/>
      </c>
      <c r="BN36" s="793"/>
      <c r="BO36" s="728"/>
      <c r="BP36" s="728"/>
      <c r="BQ36" s="798"/>
      <c r="BR36" s="577"/>
      <c r="BT36" s="577"/>
      <c r="BU36" s="504"/>
      <c r="BV36" s="504"/>
      <c r="BW36" s="504"/>
      <c r="BX36" s="504"/>
      <c r="BY36" s="504"/>
      <c r="BZ36" s="504"/>
      <c r="CA36" s="504"/>
      <c r="CB36" s="574" t="s">
        <v>909</v>
      </c>
      <c r="CC36" s="914"/>
      <c r="CD36" s="516"/>
      <c r="CE36" s="504"/>
      <c r="CF36" s="504"/>
      <c r="CG36" s="504"/>
      <c r="CH36" s="577"/>
      <c r="CI36" s="562"/>
      <c r="CJ36" s="577"/>
      <c r="CK36" s="516"/>
      <c r="CL36" s="516"/>
      <c r="CM36" s="516"/>
      <c r="CN36" s="516"/>
      <c r="CO36" s="516"/>
      <c r="CP36" s="516"/>
      <c r="CQ36" s="516"/>
      <c r="CR36" s="516"/>
      <c r="CS36" s="516"/>
      <c r="CT36" s="516"/>
      <c r="CU36" s="516"/>
      <c r="CV36" s="516"/>
      <c r="CW36" s="974"/>
      <c r="CX36" s="781"/>
      <c r="CY36" s="1016"/>
      <c r="CZ36" s="868"/>
      <c r="DA36" s="869"/>
      <c r="DB36" s="869"/>
      <c r="DC36" s="870"/>
      <c r="DD36" s="577"/>
      <c r="DE36" s="562"/>
      <c r="DF36" s="577"/>
      <c r="DG36" s="969"/>
      <c r="DH36" s="970"/>
      <c r="DI36" s="971"/>
      <c r="DJ36" s="505"/>
      <c r="DK36" s="969"/>
      <c r="DL36" s="970"/>
      <c r="DM36" s="971"/>
      <c r="DN36" s="505"/>
      <c r="DO36" s="976"/>
      <c r="DP36" s="977"/>
      <c r="DQ36" s="978"/>
      <c r="DR36" s="505"/>
      <c r="DS36" s="505"/>
      <c r="DT36" s="719"/>
      <c r="DU36" s="909" t="str">
        <f>IF(KL70=3,"",IF(ISERROR(KH48),$ET$17,IF(KH48=$ET$17,$ET$17,KI48)))</f>
        <v/>
      </c>
      <c r="DV36" s="866"/>
      <c r="DW36" s="725"/>
      <c r="DX36" s="725"/>
      <c r="DY36" s="867"/>
      <c r="DZ36" s="577"/>
      <c r="EA36" s="562"/>
      <c r="EB36" s="577"/>
      <c r="EC36" s="504"/>
      <c r="ED36" s="504"/>
      <c r="EE36" s="504"/>
      <c r="EF36" s="504"/>
      <c r="EG36" s="504"/>
      <c r="EH36" s="504"/>
      <c r="EI36" s="504"/>
      <c r="EJ36" s="504"/>
      <c r="EK36" s="504"/>
      <c r="EL36" s="516"/>
      <c r="EM36" s="788"/>
      <c r="EN36" s="516"/>
      <c r="EO36" s="516"/>
      <c r="EP36" s="577"/>
      <c r="EQ36" s="562"/>
      <c r="ES36" s="543"/>
      <c r="ET36" s="500" t="s">
        <v>800</v>
      </c>
      <c r="EV36" s="500" t="b">
        <f t="shared" si="41"/>
        <v>0</v>
      </c>
      <c r="EW36" s="500" t="b">
        <f t="shared" si="65"/>
        <v>0</v>
      </c>
      <c r="EX36" s="500" t="b">
        <f t="shared" si="66"/>
        <v>0</v>
      </c>
      <c r="EY36" s="500" t="b">
        <f t="shared" si="42"/>
        <v>0</v>
      </c>
      <c r="EZ36" s="500" t="b">
        <f t="shared" si="43"/>
        <v>0</v>
      </c>
      <c r="FA36" s="500" t="b">
        <f t="shared" si="44"/>
        <v>0</v>
      </c>
      <c r="FB36" s="500" t="b">
        <f t="shared" si="45"/>
        <v>0</v>
      </c>
      <c r="FC36" s="500" t="b">
        <f t="shared" si="67"/>
        <v>0</v>
      </c>
      <c r="FD36" s="500" t="b">
        <f t="shared" si="68"/>
        <v>0</v>
      </c>
      <c r="FE36" s="500" t="b">
        <f t="shared" si="46"/>
        <v>0</v>
      </c>
      <c r="FF36" s="500" t="b">
        <f t="shared" si="47"/>
        <v>0</v>
      </c>
      <c r="FG36" s="500" t="b">
        <f t="shared" si="48"/>
        <v>0</v>
      </c>
      <c r="FI36" s="611">
        <f t="shared" si="49"/>
        <v>0</v>
      </c>
      <c r="FJ36" s="611">
        <f t="shared" si="50"/>
        <v>0</v>
      </c>
      <c r="FK36" s="611">
        <f t="shared" si="69"/>
        <v>0</v>
      </c>
      <c r="FL36" s="612"/>
      <c r="FM36" s="613">
        <f t="shared" si="51"/>
        <v>0</v>
      </c>
      <c r="FN36" s="613">
        <f t="shared" si="52"/>
        <v>0</v>
      </c>
      <c r="FO36" s="613">
        <f t="shared" si="53"/>
        <v>0</v>
      </c>
      <c r="FP36" s="613">
        <f t="shared" si="54"/>
        <v>0</v>
      </c>
      <c r="FQ36" s="613">
        <f t="shared" si="55"/>
        <v>0</v>
      </c>
      <c r="FR36" s="613">
        <f t="shared" si="56"/>
        <v>0</v>
      </c>
      <c r="FS36" s="613">
        <f t="shared" si="57"/>
        <v>0</v>
      </c>
      <c r="FT36" s="613">
        <f t="shared" si="58"/>
        <v>0</v>
      </c>
      <c r="FU36" s="613">
        <f t="shared" si="59"/>
        <v>0</v>
      </c>
      <c r="FV36" s="613">
        <f t="shared" si="60"/>
        <v>0</v>
      </c>
      <c r="FW36" s="613">
        <f t="shared" si="61"/>
        <v>0</v>
      </c>
      <c r="FX36" s="613">
        <f t="shared" si="62"/>
        <v>0</v>
      </c>
      <c r="FZ36" s="500">
        <v>15</v>
      </c>
      <c r="GA36" s="497" t="s">
        <v>570</v>
      </c>
      <c r="GE36" s="564" t="s">
        <v>674</v>
      </c>
      <c r="GF36" s="500" t="s">
        <v>694</v>
      </c>
      <c r="GG36" s="500">
        <v>0.04</v>
      </c>
      <c r="GH36" s="563">
        <v>0.02</v>
      </c>
      <c r="GI36" s="563">
        <v>0.18</v>
      </c>
      <c r="GJ36" s="500">
        <v>0.06</v>
      </c>
      <c r="GK36" s="500">
        <v>0.11</v>
      </c>
      <c r="GL36" s="566">
        <f t="shared" si="16"/>
        <v>0.41</v>
      </c>
      <c r="GM36" s="500">
        <v>0.41</v>
      </c>
      <c r="GN36" s="500">
        <f t="shared" si="17"/>
        <v>0.24</v>
      </c>
      <c r="GO36" s="500">
        <f t="shared" si="18"/>
        <v>0.35</v>
      </c>
      <c r="HD36" s="533"/>
      <c r="HE36" s="534"/>
      <c r="HF36" s="594" t="b">
        <f>AND(ISTEXT(BI36),OR(MID(BI36,9,1)&lt;&gt;MID($GF$89,9,1),MID(BI36,9,1)&lt;&gt;MID($GF$90,9,1)))</f>
        <v>0</v>
      </c>
      <c r="HG36" s="616" t="b">
        <f>AND(BK36=$ET$13,OR(MID(AY36,1,3)=$ET$31,MID(BB36,1,3)=$ET$31))</f>
        <v>0</v>
      </c>
      <c r="HH36" s="535"/>
      <c r="HI36" s="863"/>
      <c r="HJ36" s="779"/>
      <c r="HK36" s="779"/>
      <c r="HL36" s="779"/>
      <c r="HM36" s="533"/>
      <c r="HN36" s="830"/>
      <c r="HO36" s="534"/>
      <c r="HP36" s="535"/>
      <c r="IL36" s="716"/>
      <c r="IM36" s="673"/>
      <c r="IN36" s="673"/>
      <c r="IO36" s="673"/>
      <c r="IP36" s="673"/>
      <c r="IQ36" s="673"/>
      <c r="IR36" s="717"/>
      <c r="IT36" s="500"/>
      <c r="IU36" s="500" t="s">
        <v>816</v>
      </c>
      <c r="IV36" s="500" t="str">
        <f>$IT$35</f>
        <v>Framed, Fibre cement external cladding, P/board internal lining: BCA Fig 3.12.1.3(b)</v>
      </c>
      <c r="JT36" s="533"/>
      <c r="JU36" s="534"/>
      <c r="JV36" s="534"/>
      <c r="JW36" s="535"/>
      <c r="JX36" s="526"/>
      <c r="JY36" s="526"/>
      <c r="JZ36" s="526"/>
      <c r="KA36" s="526"/>
      <c r="KB36" s="533"/>
      <c r="KC36" s="534"/>
      <c r="KD36" s="534"/>
      <c r="KE36" s="535"/>
      <c r="KZ36" s="593" t="b">
        <f>AND(ISBLANK(DG36),OR(ISTEXT(DK36),ISTEXT(DO36)))</f>
        <v>0</v>
      </c>
      <c r="LA36" s="594" t="b">
        <f>AND(ISBLANK(DK36),OR(ISTEXT(DG36),ISTEXT(DO36)))</f>
        <v>0</v>
      </c>
      <c r="LB36" s="594" t="b">
        <f>AND(ISBLANK(DO36),OR(ISTEXT(DK36),ISTEXT(DG36)))</f>
        <v>0</v>
      </c>
      <c r="LC36" s="534"/>
      <c r="LD36" s="614" t="b">
        <f>AND(SUM(DV36:DY36)&gt;0,AND(ISBLANK(DG36),AND(ISBLANK(DK36),ISBLANK(DO36))))</f>
        <v>0</v>
      </c>
      <c r="LE36" s="577">
        <f>IF(OR(DV36&gt;0,DV42&gt;0),1,0)</f>
        <v>0</v>
      </c>
      <c r="LF36" s="577">
        <f t="shared" ref="LF36:LH36" si="80">IF(OR(DW36&gt;0,DW42&gt;0),1,0)</f>
        <v>0</v>
      </c>
      <c r="LG36" s="577">
        <f t="shared" si="80"/>
        <v>0</v>
      </c>
      <c r="LH36" s="577">
        <f t="shared" si="80"/>
        <v>0</v>
      </c>
      <c r="LI36" s="593" t="b">
        <f>AND(ISTEXT($DV$16),AND(DV36=0,$LE$50&lt;2))</f>
        <v>0</v>
      </c>
      <c r="LJ36" s="594" t="b">
        <f>AND(ISTEXT($DW$16),AND(DW36=0,$LF$50&lt;2))</f>
        <v>0</v>
      </c>
      <c r="LK36" s="594" t="b">
        <f>AND(ISTEXT($DX$16),AND(DX36=0,$LG$50&lt;2))</f>
        <v>0</v>
      </c>
      <c r="LL36" s="614" t="b">
        <f>AND(ISTEXT($DY$16),AND(DY36=0,$LH$50&lt;2))</f>
        <v>0</v>
      </c>
      <c r="LP36" s="500"/>
      <c r="LV36" s="563">
        <f t="shared" si="63"/>
        <v>0</v>
      </c>
      <c r="LW36" s="563">
        <f t="shared" si="64"/>
        <v>0</v>
      </c>
      <c r="LY36" s="500">
        <v>4</v>
      </c>
      <c r="LZ36" s="500" t="str">
        <f>$LZ$28</f>
        <v>Suspended</v>
      </c>
      <c r="MA36" s="500" t="str">
        <f>$ET$51</f>
        <v>No</v>
      </c>
      <c r="MB36" s="500" t="str">
        <f t="shared" si="35"/>
        <v>4SuspendedNo</v>
      </c>
      <c r="MC36" s="500"/>
      <c r="MD36" s="500"/>
      <c r="ME36" s="510">
        <v>2.79</v>
      </c>
      <c r="MF36" s="511">
        <v>1.88</v>
      </c>
      <c r="MG36" s="512"/>
      <c r="MH36" s="513"/>
      <c r="MM36" s="543"/>
    </row>
    <row r="37" spans="1:351" ht="11.25" customHeight="1" thickBot="1">
      <c r="A37" s="577"/>
      <c r="B37" s="516" t="s">
        <v>544</v>
      </c>
      <c r="C37" s="615"/>
      <c r="D37" s="615"/>
      <c r="E37" s="568"/>
      <c r="F37" s="568"/>
      <c r="G37" s="516" t="s">
        <v>1056</v>
      </c>
      <c r="H37" s="504"/>
      <c r="I37" s="504"/>
      <c r="J37" s="568"/>
      <c r="K37" s="568"/>
      <c r="L37" s="568"/>
      <c r="M37" s="568"/>
      <c r="N37" s="568"/>
      <c r="O37" s="568"/>
      <c r="P37" s="568"/>
      <c r="Q37" s="568"/>
      <c r="R37" s="568"/>
      <c r="S37" s="568"/>
      <c r="T37" s="1021"/>
      <c r="U37" s="577"/>
      <c r="V37" s="562"/>
      <c r="W37" s="577"/>
      <c r="X37" s="847">
        <f>IF(ISBLANK(Calculator!C45),"",Calculator!C45)</f>
        <v>9</v>
      </c>
      <c r="Y37" s="972" t="str">
        <f>IF(ISBLANK(Calculator!D45),"",Calculator!D45)</f>
        <v/>
      </c>
      <c r="Z37" s="973"/>
      <c r="AA37" s="845" t="str">
        <f>IF(ISBLANK(Calculator!G45),"",Calculator!G45)</f>
        <v/>
      </c>
      <c r="AB37" s="846" t="str">
        <f>IF(ISBLANK(Calculator!H45),"",Calculator!H45)</f>
        <v/>
      </c>
      <c r="AC37" s="724"/>
      <c r="AD37" s="725"/>
      <c r="AE37" s="504"/>
      <c r="AF37" s="735"/>
      <c r="AG37" s="895"/>
      <c r="AH37" s="608" t="str">
        <f t="shared" si="40"/>
        <v/>
      </c>
      <c r="AI37" s="726"/>
      <c r="AJ37" s="726"/>
      <c r="AK37" s="726"/>
      <c r="AL37" s="726"/>
      <c r="AM37" s="726"/>
      <c r="AN37" s="726"/>
      <c r="AO37" s="726"/>
      <c r="AP37" s="726"/>
      <c r="AQ37" s="726"/>
      <c r="AR37" s="726"/>
      <c r="AS37" s="726"/>
      <c r="AT37" s="726"/>
      <c r="AU37" s="577"/>
      <c r="AV37" s="562"/>
      <c r="AW37" s="577"/>
      <c r="AX37" s="516"/>
      <c r="AY37" s="521" t="str">
        <f>IF(OR(ISBLANK(AX26),ISBLANK(AY36)),"",IF(AND(AY36=$ET$13,BB36=$ET$13),CONCATENATE($AX$26," R",INDEX(BC_RoofValues,MATCH($AX$26,BC_RoofConst,0),8)),IF(AND(AY36=$ET$13,MID(BB36,1,3)=$ET$31),GF116,IF(AND(MID(AY36,1,3)=$ET$31,BB36=$ET$13),GF117,IF(AND(MID(AY36,1,3)=$ET$31,MID(BB36,1,3)=$ET$31),GF118,$ET$17)))))</f>
        <v/>
      </c>
      <c r="AZ37" s="621"/>
      <c r="BA37" s="621"/>
      <c r="BB37" s="621"/>
      <c r="BC37" s="621"/>
      <c r="BD37" s="621"/>
      <c r="BE37" s="621"/>
      <c r="BF37" s="621"/>
      <c r="BG37" s="621"/>
      <c r="BH37" s="621"/>
      <c r="BI37" s="621"/>
      <c r="BJ37" s="621"/>
      <c r="BK37" s="621"/>
      <c r="BL37" s="516"/>
      <c r="BM37" s="516"/>
      <c r="BN37" s="797"/>
      <c r="BO37" s="779"/>
      <c r="BP37" s="779"/>
      <c r="BQ37" s="799"/>
      <c r="BR37" s="577"/>
      <c r="BT37" s="577"/>
      <c r="BU37" s="504"/>
      <c r="BV37" s="504"/>
      <c r="BW37" s="504"/>
      <c r="BX37" s="504"/>
      <c r="BY37" s="504"/>
      <c r="BZ37" s="504"/>
      <c r="CA37" s="504"/>
      <c r="CB37" s="504"/>
      <c r="CC37" s="517"/>
      <c r="CD37" s="516"/>
      <c r="CE37" s="504"/>
      <c r="CF37" s="516"/>
      <c r="CG37" s="516"/>
      <c r="CH37" s="577"/>
      <c r="CI37" s="562"/>
      <c r="CJ37" s="577"/>
      <c r="CK37" s="532" t="str">
        <f>CONCATENATE("Wall 2:"," ",$ET$37)</f>
        <v>Wall 2: Existing wall construction</v>
      </c>
      <c r="CL37" s="532"/>
      <c r="CM37" s="585"/>
      <c r="CN37" s="585"/>
      <c r="CO37" s="585"/>
      <c r="CP37" s="585"/>
      <c r="CQ37" s="585"/>
      <c r="CR37" s="585"/>
      <c r="CS37" s="585"/>
      <c r="CT37" s="585"/>
      <c r="CU37" s="585"/>
      <c r="CV37" s="516"/>
      <c r="CW37" s="975"/>
      <c r="CX37" s="781"/>
      <c r="CY37" s="1017"/>
      <c r="CZ37" s="868"/>
      <c r="DA37" s="869"/>
      <c r="DB37" s="869"/>
      <c r="DC37" s="870"/>
      <c r="DD37" s="577"/>
      <c r="DE37" s="562"/>
      <c r="DF37" s="577"/>
      <c r="DG37" s="504"/>
      <c r="DH37" s="504"/>
      <c r="DI37" s="504"/>
      <c r="DJ37" s="504"/>
      <c r="DK37" s="504"/>
      <c r="DL37" s="504"/>
      <c r="DM37" s="504"/>
      <c r="DN37" s="504"/>
      <c r="DO37" s="504"/>
      <c r="DP37" s="504"/>
      <c r="DQ37" s="504"/>
      <c r="DR37" s="504"/>
      <c r="DS37" s="504"/>
      <c r="DT37" s="504"/>
      <c r="DU37" s="515"/>
      <c r="DV37" s="797"/>
      <c r="DW37" s="779"/>
      <c r="DX37" s="779"/>
      <c r="DY37" s="799"/>
      <c r="DZ37" s="577"/>
      <c r="EA37" s="562"/>
      <c r="EB37" s="577"/>
      <c r="EC37" s="504"/>
      <c r="ED37" s="504"/>
      <c r="EE37" s="504"/>
      <c r="EF37" s="504"/>
      <c r="EG37" s="504"/>
      <c r="EH37" s="504"/>
      <c r="EI37" s="504"/>
      <c r="EJ37" s="504"/>
      <c r="EK37" s="504"/>
      <c r="EL37" s="573" t="str">
        <f>$EL$29</f>
        <v>Aggregate area</v>
      </c>
      <c r="EM37" s="739"/>
      <c r="EN37" s="516" t="s">
        <v>436</v>
      </c>
      <c r="EO37" s="516"/>
      <c r="EP37" s="577"/>
      <c r="EQ37" s="562"/>
      <c r="ES37" s="543"/>
      <c r="ET37" s="500" t="s">
        <v>796</v>
      </c>
      <c r="EV37" s="500" t="b">
        <f t="shared" si="41"/>
        <v>0</v>
      </c>
      <c r="EW37" s="500" t="b">
        <f t="shared" si="65"/>
        <v>0</v>
      </c>
      <c r="EX37" s="500" t="b">
        <f t="shared" si="66"/>
        <v>0</v>
      </c>
      <c r="EY37" s="500" t="b">
        <f t="shared" si="42"/>
        <v>0</v>
      </c>
      <c r="EZ37" s="500" t="b">
        <f t="shared" si="43"/>
        <v>0</v>
      </c>
      <c r="FA37" s="500" t="b">
        <f t="shared" si="44"/>
        <v>0</v>
      </c>
      <c r="FB37" s="500" t="b">
        <f t="shared" si="45"/>
        <v>0</v>
      </c>
      <c r="FC37" s="500" t="b">
        <f t="shared" si="67"/>
        <v>0</v>
      </c>
      <c r="FD37" s="500" t="b">
        <f t="shared" si="68"/>
        <v>0</v>
      </c>
      <c r="FE37" s="500" t="b">
        <f t="shared" si="46"/>
        <v>0</v>
      </c>
      <c r="FF37" s="500" t="b">
        <f t="shared" si="47"/>
        <v>0</v>
      </c>
      <c r="FG37" s="500" t="b">
        <f t="shared" si="48"/>
        <v>0</v>
      </c>
      <c r="FI37" s="611">
        <f t="shared" si="49"/>
        <v>0</v>
      </c>
      <c r="FJ37" s="611">
        <f t="shared" si="50"/>
        <v>0</v>
      </c>
      <c r="FK37" s="611">
        <f t="shared" si="69"/>
        <v>0</v>
      </c>
      <c r="FL37" s="612"/>
      <c r="FM37" s="613">
        <f t="shared" si="51"/>
        <v>0</v>
      </c>
      <c r="FN37" s="613">
        <f t="shared" si="52"/>
        <v>0</v>
      </c>
      <c r="FO37" s="613">
        <f t="shared" si="53"/>
        <v>0</v>
      </c>
      <c r="FP37" s="613">
        <f t="shared" si="54"/>
        <v>0</v>
      </c>
      <c r="FQ37" s="613">
        <f t="shared" si="55"/>
        <v>0</v>
      </c>
      <c r="FR37" s="613">
        <f t="shared" si="56"/>
        <v>0</v>
      </c>
      <c r="FS37" s="613">
        <f t="shared" si="57"/>
        <v>0</v>
      </c>
      <c r="FT37" s="613">
        <f t="shared" si="58"/>
        <v>0</v>
      </c>
      <c r="FU37" s="613">
        <f t="shared" si="59"/>
        <v>0</v>
      </c>
      <c r="FV37" s="613">
        <f t="shared" si="60"/>
        <v>0</v>
      </c>
      <c r="FW37" s="613">
        <f t="shared" si="61"/>
        <v>0</v>
      </c>
      <c r="FX37" s="613">
        <f t="shared" si="62"/>
        <v>0</v>
      </c>
      <c r="FZ37" s="500">
        <v>25</v>
      </c>
      <c r="GA37" s="497" t="s">
        <v>569</v>
      </c>
      <c r="GE37" s="564" t="s">
        <v>675</v>
      </c>
      <c r="GF37" s="514" t="s">
        <v>695</v>
      </c>
      <c r="GG37" s="514">
        <v>0.04</v>
      </c>
      <c r="GH37" s="520">
        <v>0</v>
      </c>
      <c r="GI37" s="520">
        <v>0.46</v>
      </c>
      <c r="GJ37" s="514">
        <v>0.06</v>
      </c>
      <c r="GK37" s="514">
        <v>0.16</v>
      </c>
      <c r="GL37" s="566">
        <f t="shared" si="16"/>
        <v>0.72000000000000008</v>
      </c>
      <c r="GM37" s="514">
        <v>0.72</v>
      </c>
      <c r="GN37" s="514">
        <f t="shared" si="17"/>
        <v>0.5</v>
      </c>
      <c r="GO37" s="514">
        <f t="shared" si="18"/>
        <v>0.68</v>
      </c>
      <c r="GY37" s="582"/>
      <c r="HD37" s="533"/>
      <c r="HE37" s="534"/>
      <c r="HF37" s="616" t="b">
        <f>IF(ISBLANK(BI36),FALSE(),MID(AX26,FIND(":",AX26,1)-2,1)&lt;&gt;MID(BI36,9,1))</f>
        <v>0</v>
      </c>
      <c r="HG37" s="616" t="b">
        <f>AND(BK36&lt;&gt;$GG$72,AND(AY36=$ET$13,MID(BB36,1,3)=$ET$31))</f>
        <v>0</v>
      </c>
      <c r="HH37" s="535"/>
      <c r="HI37" s="863"/>
      <c r="HJ37" s="779"/>
      <c r="HK37" s="779"/>
      <c r="HL37" s="779"/>
      <c r="HM37" s="533"/>
      <c r="HN37" s="830"/>
      <c r="HO37" s="534"/>
      <c r="HP37" s="535"/>
      <c r="ID37" s="562"/>
      <c r="IF37" s="558" t="s">
        <v>472</v>
      </c>
      <c r="IG37" s="562"/>
      <c r="II37" s="714" t="s">
        <v>924</v>
      </c>
      <c r="IL37" s="716"/>
      <c r="IM37" s="673"/>
      <c r="IN37" s="673"/>
      <c r="IO37" s="673"/>
      <c r="IP37" s="673"/>
      <c r="IQ37" s="673"/>
      <c r="IR37" s="717"/>
      <c r="IT37" s="500"/>
      <c r="IU37" s="500" t="s">
        <v>819</v>
      </c>
      <c r="IV37" s="500" t="str">
        <f>$IT$41</f>
        <v>Brick veneer, Ext clay masonry, Int frame with p/board internal lining: BCA Fig 3.12.1.3(c)</v>
      </c>
      <c r="JT37" s="1101" t="s">
        <v>837</v>
      </c>
      <c r="JU37" s="1102"/>
      <c r="JV37" s="534" t="s">
        <v>848</v>
      </c>
      <c r="JW37" s="535" t="s">
        <v>418</v>
      </c>
      <c r="JX37" s="526"/>
      <c r="JY37" s="526"/>
      <c r="JZ37" s="526"/>
      <c r="KA37" s="526"/>
      <c r="KB37" s="533"/>
      <c r="KC37" s="534"/>
      <c r="KD37" s="534"/>
      <c r="KE37" s="535"/>
      <c r="KH37" s="536" t="s">
        <v>955</v>
      </c>
      <c r="KZ37" s="533"/>
      <c r="LA37" s="534"/>
      <c r="LB37" s="594" t="b">
        <f>AND(MID(DO36,1,3)="Not",MID(DK36,1,1)="E")</f>
        <v>0</v>
      </c>
      <c r="LC37" s="534"/>
      <c r="LD37" s="535"/>
      <c r="LE37" s="577"/>
      <c r="LF37" s="577"/>
      <c r="LG37" s="577"/>
      <c r="LH37" s="577"/>
      <c r="LI37" s="533"/>
      <c r="LJ37" s="534"/>
      <c r="LK37" s="534"/>
      <c r="LL37" s="535"/>
      <c r="LP37" s="500">
        <f>EM37</f>
        <v>0</v>
      </c>
      <c r="LR37" s="500" t="b">
        <f>AND(ISBLANK(EM37),ISTEXT(EM35))</f>
        <v>0</v>
      </c>
      <c r="LV37" s="563">
        <f t="shared" si="63"/>
        <v>0</v>
      </c>
      <c r="LW37" s="563">
        <f t="shared" si="64"/>
        <v>0</v>
      </c>
      <c r="LY37" s="500">
        <v>4</v>
      </c>
      <c r="LZ37" s="500" t="str">
        <f>$LZ$28</f>
        <v>Suspended</v>
      </c>
      <c r="MA37" s="500" t="str">
        <f>$ET$50</f>
        <v>Yes</v>
      </c>
      <c r="MB37" s="500" t="str">
        <f t="shared" si="35"/>
        <v>4SuspendedYes</v>
      </c>
      <c r="MC37" s="500"/>
      <c r="MD37" s="500"/>
      <c r="ME37" s="510">
        <v>3.49</v>
      </c>
      <c r="MF37" s="511">
        <v>1.88</v>
      </c>
      <c r="MG37" s="512"/>
      <c r="MH37" s="513"/>
      <c r="ML37" s="558"/>
      <c r="MM37" s="543"/>
    </row>
    <row r="38" spans="1:351" ht="11.25" customHeight="1" thickBot="1">
      <c r="A38" s="577"/>
      <c r="B38" s="505" t="s">
        <v>1000</v>
      </c>
      <c r="C38" s="505"/>
      <c r="D38" s="505"/>
      <c r="E38" s="505"/>
      <c r="F38" s="505"/>
      <c r="G38" s="588" t="s">
        <v>523</v>
      </c>
      <c r="H38" s="588"/>
      <c r="I38" s="588"/>
      <c r="J38" s="588"/>
      <c r="K38" s="588"/>
      <c r="L38" s="588"/>
      <c r="M38" s="588"/>
      <c r="N38" s="588"/>
      <c r="O38" s="588"/>
      <c r="P38" s="588"/>
      <c r="Q38" s="588"/>
      <c r="R38" s="588"/>
      <c r="S38" s="588"/>
      <c r="T38" s="1022"/>
      <c r="U38" s="577"/>
      <c r="V38" s="562"/>
      <c r="W38" s="577"/>
      <c r="X38" s="847">
        <f>IF(ISBLANK(Calculator!C46),"",Calculator!C46)</f>
        <v>10</v>
      </c>
      <c r="Y38" s="972" t="str">
        <f>IF(ISBLANK(Calculator!D46),"",Calculator!D46)</f>
        <v/>
      </c>
      <c r="Z38" s="973"/>
      <c r="AA38" s="845" t="str">
        <f>IF(ISBLANK(Calculator!G46),"",Calculator!G46)</f>
        <v/>
      </c>
      <c r="AB38" s="846" t="str">
        <f>IF(ISBLANK(Calculator!H46),"",Calculator!H46)</f>
        <v/>
      </c>
      <c r="AC38" s="724"/>
      <c r="AD38" s="725"/>
      <c r="AE38" s="504"/>
      <c r="AF38" s="735"/>
      <c r="AG38" s="895"/>
      <c r="AH38" s="608" t="str">
        <f t="shared" si="40"/>
        <v/>
      </c>
      <c r="AI38" s="726"/>
      <c r="AJ38" s="726"/>
      <c r="AK38" s="726"/>
      <c r="AL38" s="726"/>
      <c r="AM38" s="726"/>
      <c r="AN38" s="726"/>
      <c r="AO38" s="726"/>
      <c r="AP38" s="726"/>
      <c r="AQ38" s="726"/>
      <c r="AR38" s="726"/>
      <c r="AS38" s="726"/>
      <c r="AT38" s="726"/>
      <c r="AU38" s="577"/>
      <c r="AV38" s="562"/>
      <c r="AW38" s="577"/>
      <c r="AX38" s="516"/>
      <c r="AY38" s="516"/>
      <c r="AZ38" s="516"/>
      <c r="BA38" s="516"/>
      <c r="BB38" s="516"/>
      <c r="BC38" s="516"/>
      <c r="BD38" s="516"/>
      <c r="BE38" s="516"/>
      <c r="BF38" s="516"/>
      <c r="BG38" s="516"/>
      <c r="BH38" s="516"/>
      <c r="BI38" s="516"/>
      <c r="BJ38" s="516"/>
      <c r="BK38" s="516"/>
      <c r="BL38" s="516"/>
      <c r="BM38" s="516"/>
      <c r="BN38" s="794"/>
      <c r="BO38" s="779"/>
      <c r="BP38" s="779"/>
      <c r="BQ38" s="799"/>
      <c r="BR38" s="577"/>
      <c r="BT38" s="577"/>
      <c r="BU38" s="504"/>
      <c r="BV38" s="568" t="str">
        <f>$BV$22</f>
        <v>Roof opening dimension</v>
      </c>
      <c r="BW38" s="504"/>
      <c r="BX38" s="504"/>
      <c r="BY38" s="504"/>
      <c r="BZ38" s="504"/>
      <c r="CA38" s="504"/>
      <c r="CB38" s="504"/>
      <c r="CC38" s="517"/>
      <c r="CD38" s="504"/>
      <c r="CE38" s="504"/>
      <c r="CF38" s="504"/>
      <c r="CG38" s="504"/>
      <c r="CH38" s="577"/>
      <c r="CI38" s="562"/>
      <c r="CJ38" s="577"/>
      <c r="CK38" s="976"/>
      <c r="CL38" s="977"/>
      <c r="CM38" s="977"/>
      <c r="CN38" s="977"/>
      <c r="CO38" s="977"/>
      <c r="CP38" s="977"/>
      <c r="CQ38" s="977"/>
      <c r="CR38" s="977"/>
      <c r="CS38" s="977"/>
      <c r="CT38" s="977"/>
      <c r="CU38" s="978"/>
      <c r="CV38" s="505"/>
      <c r="CW38" s="735"/>
      <c r="CX38" s="505"/>
      <c r="CY38" s="904" t="str">
        <f>IF(JC110=2,"",IF(ISERROR(IW102),$ET$17,CW38+IW102))</f>
        <v/>
      </c>
      <c r="CZ38" s="866"/>
      <c r="DA38" s="725"/>
      <c r="DB38" s="725"/>
      <c r="DC38" s="867"/>
      <c r="DD38" s="577"/>
      <c r="DE38" s="562"/>
      <c r="DF38" s="577"/>
      <c r="DG38" s="504"/>
      <c r="DH38" s="504"/>
      <c r="DI38" s="504"/>
      <c r="DJ38" s="504"/>
      <c r="DK38" s="504"/>
      <c r="DL38" s="504"/>
      <c r="DM38" s="504"/>
      <c r="DN38" s="504"/>
      <c r="DO38" s="504"/>
      <c r="DP38" s="504"/>
      <c r="DQ38" s="504"/>
      <c r="DR38" s="504"/>
      <c r="DS38" s="504"/>
      <c r="DT38" s="504"/>
      <c r="DU38" s="515"/>
      <c r="DV38" s="794"/>
      <c r="DW38" s="779"/>
      <c r="DX38" s="779"/>
      <c r="DY38" s="799"/>
      <c r="DZ38" s="577"/>
      <c r="EA38" s="562"/>
      <c r="EB38" s="577"/>
      <c r="EC38" s="504"/>
      <c r="ED38" s="504"/>
      <c r="EE38" s="504"/>
      <c r="EF38" s="504"/>
      <c r="EG38" s="504"/>
      <c r="EH38" s="504"/>
      <c r="EI38" s="504"/>
      <c r="EJ38" s="504"/>
      <c r="EK38" s="504"/>
      <c r="EL38" s="504"/>
      <c r="EM38" s="752"/>
      <c r="EN38" s="516"/>
      <c r="EO38" s="516"/>
      <c r="EP38" s="577"/>
      <c r="EQ38" s="562"/>
      <c r="ES38" s="543"/>
      <c r="ET38" s="500" t="s">
        <v>797</v>
      </c>
      <c r="EV38" s="500" t="b">
        <f t="shared" si="41"/>
        <v>0</v>
      </c>
      <c r="EW38" s="500" t="b">
        <f t="shared" si="65"/>
        <v>0</v>
      </c>
      <c r="EX38" s="500" t="b">
        <f t="shared" si="66"/>
        <v>0</v>
      </c>
      <c r="EY38" s="500" t="b">
        <f t="shared" si="42"/>
        <v>0</v>
      </c>
      <c r="EZ38" s="500" t="b">
        <f t="shared" si="43"/>
        <v>0</v>
      </c>
      <c r="FA38" s="500" t="b">
        <f t="shared" si="44"/>
        <v>0</v>
      </c>
      <c r="FB38" s="500" t="b">
        <f t="shared" si="45"/>
        <v>0</v>
      </c>
      <c r="FC38" s="500" t="b">
        <f t="shared" si="67"/>
        <v>0</v>
      </c>
      <c r="FD38" s="500" t="b">
        <f t="shared" si="68"/>
        <v>0</v>
      </c>
      <c r="FE38" s="500" t="b">
        <f t="shared" si="46"/>
        <v>0</v>
      </c>
      <c r="FF38" s="500" t="b">
        <f t="shared" si="47"/>
        <v>0</v>
      </c>
      <c r="FG38" s="500" t="b">
        <f t="shared" si="48"/>
        <v>0</v>
      </c>
      <c r="FI38" s="611">
        <f t="shared" si="49"/>
        <v>0</v>
      </c>
      <c r="FJ38" s="611">
        <f t="shared" si="50"/>
        <v>0</v>
      </c>
      <c r="FK38" s="611">
        <f t="shared" si="69"/>
        <v>0</v>
      </c>
      <c r="FL38" s="612"/>
      <c r="FM38" s="613">
        <f t="shared" si="51"/>
        <v>0</v>
      </c>
      <c r="FN38" s="613">
        <f t="shared" si="52"/>
        <v>0</v>
      </c>
      <c r="FO38" s="613">
        <f t="shared" si="53"/>
        <v>0</v>
      </c>
      <c r="FP38" s="613">
        <f t="shared" si="54"/>
        <v>0</v>
      </c>
      <c r="FQ38" s="613">
        <f t="shared" si="55"/>
        <v>0</v>
      </c>
      <c r="FR38" s="613">
        <f t="shared" si="56"/>
        <v>0</v>
      </c>
      <c r="FS38" s="613">
        <f t="shared" si="57"/>
        <v>0</v>
      </c>
      <c r="FT38" s="613">
        <f t="shared" si="58"/>
        <v>0</v>
      </c>
      <c r="FU38" s="613">
        <f t="shared" si="59"/>
        <v>0</v>
      </c>
      <c r="FV38" s="613">
        <f t="shared" si="60"/>
        <v>0</v>
      </c>
      <c r="FW38" s="613">
        <f t="shared" si="61"/>
        <v>0</v>
      </c>
      <c r="FX38" s="613">
        <f t="shared" si="62"/>
        <v>0</v>
      </c>
      <c r="GE38" s="564" t="s">
        <v>676</v>
      </c>
      <c r="GF38" s="514" t="s">
        <v>696</v>
      </c>
      <c r="GG38" s="514">
        <v>0.04</v>
      </c>
      <c r="GH38" s="520">
        <v>0</v>
      </c>
      <c r="GI38" s="520">
        <v>0</v>
      </c>
      <c r="GJ38" s="514">
        <v>0.06</v>
      </c>
      <c r="GK38" s="514">
        <v>0.11</v>
      </c>
      <c r="GL38" s="566">
        <f t="shared" si="16"/>
        <v>0.21000000000000002</v>
      </c>
      <c r="GM38" s="514">
        <v>0.21</v>
      </c>
      <c r="GN38" s="514">
        <f t="shared" si="17"/>
        <v>0.04</v>
      </c>
      <c r="GO38" s="514">
        <f t="shared" si="18"/>
        <v>0.16999999999999998</v>
      </c>
      <c r="HD38" s="533"/>
      <c r="HE38" s="534"/>
      <c r="HF38" s="534"/>
      <c r="HG38" s="616" t="b">
        <f>AND(BK36&lt;&gt;$ET$13,AND(AY36=$ET$13,BB36=$ET$13))</f>
        <v>0</v>
      </c>
      <c r="HH38" s="535"/>
      <c r="HI38" s="863"/>
      <c r="HJ38" s="779"/>
      <c r="HK38" s="779"/>
      <c r="HL38" s="779"/>
      <c r="HM38" s="533"/>
      <c r="HN38" s="830"/>
      <c r="HO38" s="534"/>
      <c r="HP38" s="535"/>
      <c r="ID38" s="624" t="s">
        <v>875</v>
      </c>
      <c r="IF38" s="562" t="s">
        <v>473</v>
      </c>
      <c r="IG38" s="562" t="s">
        <v>474</v>
      </c>
      <c r="IH38" s="497" t="s">
        <v>475</v>
      </c>
      <c r="II38" s="497" t="s">
        <v>878</v>
      </c>
      <c r="IJ38" s="497" t="s">
        <v>472</v>
      </c>
      <c r="IL38" s="716" t="s">
        <v>1088</v>
      </c>
      <c r="IM38" s="673" t="s">
        <v>8</v>
      </c>
      <c r="IN38" s="534"/>
      <c r="IO38" s="673" t="s">
        <v>926</v>
      </c>
      <c r="IP38" s="673"/>
      <c r="IQ38" s="673" t="s">
        <v>927</v>
      </c>
      <c r="IR38" s="717"/>
      <c r="IT38" s="500"/>
      <c r="IU38" s="695" t="s">
        <v>822</v>
      </c>
      <c r="IV38" s="500" t="str">
        <f>$IT$35</f>
        <v>Framed, Fibre cement external cladding, P/board internal lining: BCA Fig 3.12.1.3(b)</v>
      </c>
      <c r="JT38" s="593" t="b">
        <f>AND(ISBLANK(CK38),ISNUMBER(CW38))</f>
        <v>0</v>
      </c>
      <c r="JU38" s="594" t="b">
        <f>AND(ISBLANK(CK38),OR(ISTEXT(CL43),ISTEXT(CW43)))</f>
        <v>0</v>
      </c>
      <c r="JV38" s="594" t="b">
        <f>AND(ISBLANK(CW38),ISTEXT(CK38))</f>
        <v>0</v>
      </c>
      <c r="JW38" s="614" t="b">
        <f>AND(SUM(CZ38:DC38)&gt;0,AND(ISBLANK(CK38),ISBLANK(CW38)))</f>
        <v>0</v>
      </c>
      <c r="JX38" s="526">
        <f>IF(CZ38&gt;0,1,0)</f>
        <v>0</v>
      </c>
      <c r="JY38" s="526">
        <f t="shared" ref="JY38" si="81">IF(DA38&gt;0,1,0)</f>
        <v>0</v>
      </c>
      <c r="JZ38" s="526">
        <f t="shared" ref="JZ38" si="82">IF(DB38&gt;0,1,0)</f>
        <v>0</v>
      </c>
      <c r="KA38" s="526">
        <f t="shared" ref="KA38" si="83">IF(DC38&gt;0,1,0)</f>
        <v>0</v>
      </c>
      <c r="KB38" s="593" t="b">
        <f>AND(ISTEXT($CZ$17),AND(CZ38=0,$JX$65&lt;2))</f>
        <v>0</v>
      </c>
      <c r="KC38" s="594" t="b">
        <f>AND(ISTEXT($DA$17),AND(DA38=0,$JY$65&lt;2))</f>
        <v>0</v>
      </c>
      <c r="KD38" s="594" t="b">
        <f>AND(ISTEXT($DB$17),AND(DB38=0,$JZ$65&lt;2))</f>
        <v>0</v>
      </c>
      <c r="KE38" s="614" t="b">
        <f>AND(ISTEXT($DC$17),AND(DC38=0,$KA$65&lt;2))</f>
        <v>0</v>
      </c>
      <c r="KG38" s="514" t="str">
        <f>$KG$20</f>
        <v>Enclosed - Not more than 0.6m</v>
      </c>
      <c r="KH38" s="563">
        <v>1.06</v>
      </c>
      <c r="KI38" s="563">
        <v>1.01</v>
      </c>
      <c r="KJ38" s="563">
        <v>0.96</v>
      </c>
      <c r="KK38" s="563">
        <v>0.85</v>
      </c>
      <c r="KL38" s="500" t="str">
        <f>$ET$17</f>
        <v>Data</v>
      </c>
      <c r="KZ38" s="533"/>
      <c r="LA38" s="534"/>
      <c r="LB38" s="594" t="b">
        <f>AND(DO36&lt;&gt;$ET$55,MID(DK36,1,1)="U")</f>
        <v>0</v>
      </c>
      <c r="LC38" s="534"/>
      <c r="LD38" s="535"/>
      <c r="LE38" s="577"/>
      <c r="LF38" s="577"/>
      <c r="LG38" s="577"/>
      <c r="LH38" s="577"/>
      <c r="LI38" s="533"/>
      <c r="LJ38" s="534"/>
      <c r="LK38" s="534"/>
      <c r="LL38" s="535"/>
      <c r="LP38" s="500"/>
      <c r="LV38" s="563">
        <f t="shared" si="63"/>
        <v>0</v>
      </c>
      <c r="LW38" s="563">
        <f t="shared" si="64"/>
        <v>0</v>
      </c>
      <c r="LY38" s="514">
        <v>5</v>
      </c>
      <c r="LZ38" s="514" t="str">
        <f>$LZ$26</f>
        <v>Direct</v>
      </c>
      <c r="MA38" s="514" t="str">
        <f>$ET$51</f>
        <v>No</v>
      </c>
      <c r="MB38" s="514" t="str">
        <f t="shared" si="35"/>
        <v>5DirectNo</v>
      </c>
      <c r="MC38" s="514"/>
      <c r="MD38" s="514"/>
      <c r="ME38" s="617">
        <v>1.53</v>
      </c>
      <c r="MF38" s="618">
        <v>1.21</v>
      </c>
      <c r="MG38" s="619"/>
      <c r="MH38" s="620"/>
      <c r="ML38" s="624"/>
      <c r="MM38" s="543"/>
    </row>
    <row r="39" spans="1:351" ht="11.25" customHeight="1" thickBot="1">
      <c r="A39" s="577"/>
      <c r="B39" s="504"/>
      <c r="C39" s="504"/>
      <c r="D39" s="504"/>
      <c r="E39" s="504"/>
      <c r="F39" s="504"/>
      <c r="G39" s="504"/>
      <c r="H39" s="504"/>
      <c r="I39" s="504"/>
      <c r="J39" s="504"/>
      <c r="K39" s="504"/>
      <c r="L39" s="504"/>
      <c r="M39" s="504"/>
      <c r="N39" s="504"/>
      <c r="O39" s="504"/>
      <c r="P39" s="504"/>
      <c r="Q39" s="504"/>
      <c r="R39" s="504"/>
      <c r="S39" s="504"/>
      <c r="T39" s="504"/>
      <c r="U39" s="577"/>
      <c r="V39" s="562"/>
      <c r="W39" s="577"/>
      <c r="X39" s="847">
        <f>IF(ISBLANK(Calculator!C47),"",Calculator!C47)</f>
        <v>11</v>
      </c>
      <c r="Y39" s="972" t="str">
        <f>IF(ISBLANK(Calculator!D47),"",Calculator!D47)</f>
        <v/>
      </c>
      <c r="Z39" s="973"/>
      <c r="AA39" s="845" t="str">
        <f>IF(ISBLANK(Calculator!G47),"",Calculator!G47)</f>
        <v/>
      </c>
      <c r="AB39" s="846" t="str">
        <f>IF(ISBLANK(Calculator!H47),"",Calculator!H47)</f>
        <v/>
      </c>
      <c r="AC39" s="724"/>
      <c r="AD39" s="725"/>
      <c r="AE39" s="504"/>
      <c r="AF39" s="735"/>
      <c r="AG39" s="895"/>
      <c r="AH39" s="608" t="str">
        <f t="shared" si="40"/>
        <v/>
      </c>
      <c r="AI39" s="726"/>
      <c r="AJ39" s="726"/>
      <c r="AK39" s="726"/>
      <c r="AL39" s="726"/>
      <c r="AM39" s="726"/>
      <c r="AN39" s="726"/>
      <c r="AO39" s="726"/>
      <c r="AP39" s="726"/>
      <c r="AQ39" s="726"/>
      <c r="AR39" s="726"/>
      <c r="AS39" s="726"/>
      <c r="AT39" s="726"/>
      <c r="AU39" s="577"/>
      <c r="AV39" s="562"/>
      <c r="AW39" s="577"/>
      <c r="AX39" s="516"/>
      <c r="AY39" s="516"/>
      <c r="AZ39" s="516"/>
      <c r="BA39" s="516"/>
      <c r="BB39" s="516"/>
      <c r="BC39" s="516"/>
      <c r="BD39" s="516"/>
      <c r="BE39" s="516"/>
      <c r="BF39" s="516"/>
      <c r="BG39" s="516"/>
      <c r="BH39" s="516"/>
      <c r="BI39" s="516"/>
      <c r="BJ39" s="516"/>
      <c r="BK39" s="974" t="s">
        <v>643</v>
      </c>
      <c r="BL39" s="782"/>
      <c r="BM39" s="1016" t="s">
        <v>979</v>
      </c>
      <c r="BN39" s="794"/>
      <c r="BO39" s="779"/>
      <c r="BP39" s="779"/>
      <c r="BQ39" s="799"/>
      <c r="BR39" s="577"/>
      <c r="BT39" s="577"/>
      <c r="BU39" s="504"/>
      <c r="BV39" s="990" t="s">
        <v>1077</v>
      </c>
      <c r="BW39" s="990"/>
      <c r="BX39" s="519"/>
      <c r="BY39" s="990" t="s">
        <v>1078</v>
      </c>
      <c r="BZ39" s="519"/>
      <c r="CA39" s="990" t="s">
        <v>1079</v>
      </c>
      <c r="CB39" s="1005" t="s">
        <v>1080</v>
      </c>
      <c r="CC39" s="1033" t="s">
        <v>1099</v>
      </c>
      <c r="CD39" s="990"/>
      <c r="CE39" s="504"/>
      <c r="CF39" s="994" t="s">
        <v>987</v>
      </c>
      <c r="CG39" s="994" t="s">
        <v>1100</v>
      </c>
      <c r="CH39" s="577"/>
      <c r="CI39" s="562"/>
      <c r="CJ39" s="577"/>
      <c r="CK39" s="504"/>
      <c r="CL39" s="504"/>
      <c r="CM39" s="504"/>
      <c r="CN39" s="504"/>
      <c r="CO39" s="504"/>
      <c r="CP39" s="504"/>
      <c r="CQ39" s="504"/>
      <c r="CR39" s="504"/>
      <c r="CS39" s="504"/>
      <c r="CT39" s="504"/>
      <c r="CU39" s="504"/>
      <c r="CV39" s="504"/>
      <c r="CW39" s="504"/>
      <c r="CX39" s="504"/>
      <c r="CY39" s="504"/>
      <c r="CZ39" s="868"/>
      <c r="DA39" s="869"/>
      <c r="DB39" s="869"/>
      <c r="DC39" s="870"/>
      <c r="DD39" s="577"/>
      <c r="DE39" s="562"/>
      <c r="DF39" s="577"/>
      <c r="DG39" s="504"/>
      <c r="DH39" s="504"/>
      <c r="DI39" s="504"/>
      <c r="DJ39" s="504"/>
      <c r="DK39" s="504"/>
      <c r="DL39" s="504"/>
      <c r="DM39" s="504"/>
      <c r="DN39" s="504"/>
      <c r="DO39" s="504"/>
      <c r="DP39" s="504"/>
      <c r="DQ39" s="504"/>
      <c r="DR39" s="504"/>
      <c r="DS39" s="504"/>
      <c r="DT39" s="504"/>
      <c r="DU39" s="1016"/>
      <c r="DV39" s="794"/>
      <c r="DW39" s="779"/>
      <c r="DX39" s="779"/>
      <c r="DY39" s="799"/>
      <c r="DZ39" s="577"/>
      <c r="EA39" s="562"/>
      <c r="EB39" s="577"/>
      <c r="EC39" s="504"/>
      <c r="ED39" s="504"/>
      <c r="EE39" s="504"/>
      <c r="EF39" s="504"/>
      <c r="EG39" s="504"/>
      <c r="EH39" s="504"/>
      <c r="EI39" s="504"/>
      <c r="EJ39" s="628"/>
      <c r="EK39" s="628"/>
      <c r="EL39" s="789" t="str">
        <f>$EL$22</f>
        <v>MAXIMUM total wattage</v>
      </c>
      <c r="EM39" s="783" t="str">
        <f>IF(OR(ISBLANK(EM35),ISBLANK(EM37)),"",LP39)</f>
        <v/>
      </c>
      <c r="EN39" s="516"/>
      <c r="EO39" s="516"/>
      <c r="EP39" s="577"/>
      <c r="EQ39" s="562"/>
      <c r="ES39" s="543"/>
      <c r="ET39" s="500" t="s">
        <v>917</v>
      </c>
      <c r="EV39" s="500" t="b">
        <f t="shared" si="41"/>
        <v>0</v>
      </c>
      <c r="EW39" s="500" t="b">
        <f t="shared" si="65"/>
        <v>0</v>
      </c>
      <c r="EX39" s="500" t="b">
        <f t="shared" si="66"/>
        <v>0</v>
      </c>
      <c r="EY39" s="500" t="b">
        <f t="shared" si="42"/>
        <v>0</v>
      </c>
      <c r="EZ39" s="500" t="b">
        <f t="shared" si="43"/>
        <v>0</v>
      </c>
      <c r="FA39" s="500" t="b">
        <f t="shared" si="44"/>
        <v>0</v>
      </c>
      <c r="FB39" s="500" t="b">
        <f t="shared" si="45"/>
        <v>0</v>
      </c>
      <c r="FC39" s="500" t="b">
        <f t="shared" si="67"/>
        <v>0</v>
      </c>
      <c r="FD39" s="500" t="b">
        <f t="shared" si="68"/>
        <v>0</v>
      </c>
      <c r="FE39" s="500" t="b">
        <f t="shared" si="46"/>
        <v>0</v>
      </c>
      <c r="FF39" s="500" t="b">
        <f t="shared" si="47"/>
        <v>0</v>
      </c>
      <c r="FG39" s="500" t="b">
        <f t="shared" si="48"/>
        <v>0</v>
      </c>
      <c r="FI39" s="611">
        <f t="shared" si="49"/>
        <v>0</v>
      </c>
      <c r="FJ39" s="611">
        <f t="shared" si="50"/>
        <v>0</v>
      </c>
      <c r="FK39" s="611">
        <f t="shared" si="69"/>
        <v>0</v>
      </c>
      <c r="FL39" s="612"/>
      <c r="FM39" s="613">
        <f t="shared" si="51"/>
        <v>0</v>
      </c>
      <c r="FN39" s="613">
        <f t="shared" si="52"/>
        <v>0</v>
      </c>
      <c r="FO39" s="613">
        <f t="shared" si="53"/>
        <v>0</v>
      </c>
      <c r="FP39" s="613">
        <f t="shared" si="54"/>
        <v>0</v>
      </c>
      <c r="FQ39" s="613">
        <f t="shared" si="55"/>
        <v>0</v>
      </c>
      <c r="FR39" s="613">
        <f t="shared" si="56"/>
        <v>0</v>
      </c>
      <c r="FS39" s="613">
        <f t="shared" si="57"/>
        <v>0</v>
      </c>
      <c r="FT39" s="613">
        <f t="shared" si="58"/>
        <v>0</v>
      </c>
      <c r="FU39" s="613">
        <f t="shared" si="59"/>
        <v>0</v>
      </c>
      <c r="FV39" s="613">
        <f t="shared" si="60"/>
        <v>0</v>
      </c>
      <c r="FW39" s="613">
        <f t="shared" si="61"/>
        <v>0</v>
      </c>
      <c r="FX39" s="613">
        <f t="shared" si="62"/>
        <v>0</v>
      </c>
      <c r="FZ39" s="509" t="s">
        <v>573</v>
      </c>
      <c r="GE39" s="564" t="s">
        <v>677</v>
      </c>
      <c r="GF39" s="500" t="s">
        <v>697</v>
      </c>
      <c r="GG39" s="500">
        <v>0.04</v>
      </c>
      <c r="GH39" s="563">
        <v>0</v>
      </c>
      <c r="GI39" s="563">
        <v>0.28000000000000003</v>
      </c>
      <c r="GJ39" s="500">
        <v>0.06</v>
      </c>
      <c r="GK39" s="500">
        <v>0.16</v>
      </c>
      <c r="GL39" s="566">
        <f t="shared" si="16"/>
        <v>0.54</v>
      </c>
      <c r="GM39" s="500">
        <v>0.54</v>
      </c>
      <c r="GN39" s="500">
        <f t="shared" si="17"/>
        <v>0.32</v>
      </c>
      <c r="GO39" s="500">
        <f t="shared" si="18"/>
        <v>0.5</v>
      </c>
      <c r="HD39" s="999" t="s">
        <v>731</v>
      </c>
      <c r="HE39" s="1000"/>
      <c r="HF39" s="1000" t="s">
        <v>732</v>
      </c>
      <c r="HG39" s="534"/>
      <c r="HH39" s="535"/>
      <c r="HI39" s="863"/>
      <c r="HJ39" s="779"/>
      <c r="HK39" s="779"/>
      <c r="HL39" s="779"/>
      <c r="HM39" s="533"/>
      <c r="HN39" s="830"/>
      <c r="HO39" s="534"/>
      <c r="HP39" s="535"/>
      <c r="ID39" s="500">
        <f>COUNTIF(BV41:BW41,"&gt;0")</f>
        <v>0</v>
      </c>
      <c r="IE39" s="500">
        <f>COUNTIF(BY41,"&gt;0")</f>
        <v>0</v>
      </c>
      <c r="IF39" s="563">
        <f>IF(IE39=1,0,(BV41/1000)*(BW41/1000))</f>
        <v>0</v>
      </c>
      <c r="IG39" s="563">
        <f>IF(OR(ID39=1,ID39=2),0,PI()*POWER(BY41/2000,2))</f>
        <v>0</v>
      </c>
      <c r="IH39" s="563">
        <f>IF(IF39=0,BY41/1000,AVERAGE(BV41:BW41)/1000)</f>
        <v>0</v>
      </c>
      <c r="II39" s="563">
        <f>IF(IH39=0,0,CA41/1000/IH39)</f>
        <v>0</v>
      </c>
      <c r="IJ39" s="563">
        <f>SUM($IF39:$IG39)</f>
        <v>0</v>
      </c>
      <c r="IL39" s="593" t="b">
        <f>AND(ISNUMBER(BY41),OR(ISNUMBER(BW41),ISNUMBER(BV41)))</f>
        <v>0</v>
      </c>
      <c r="IM39" s="594" t="b">
        <f>AND(ISBLANK(BV41),ISNUMBER(BW41))</f>
        <v>0</v>
      </c>
      <c r="IN39" s="594" t="b">
        <f>AND(ISNUMBER(BV41),ISNUMBER(BY41))</f>
        <v>0</v>
      </c>
      <c r="IO39" s="594" t="b">
        <f>AND(ISBLANK(BW41),ISNUMBER(BV41))</f>
        <v>0</v>
      </c>
      <c r="IP39" s="594" t="b">
        <f>AND(ISNUMBER(BW41),ISNUMBER(BY41))</f>
        <v>0</v>
      </c>
      <c r="IQ39" s="594" t="b">
        <f>AND(ISBLANK(CA41),SUM(BV41:BY41)&gt;0)</f>
        <v>0</v>
      </c>
      <c r="IR39" s="614" t="b">
        <f>AND(ISNUMBER(CA41),SUM(BV41:BY41)=0)</f>
        <v>0</v>
      </c>
      <c r="IT39" s="500"/>
      <c r="IU39" s="500" t="s">
        <v>824</v>
      </c>
      <c r="IV39" s="500" t="str">
        <f>$IT$52</f>
        <v>R/b veneer, Clad ext frame, Int clay masonry with render or p/board lining: BCA Fig 3.12.1.3(f)</v>
      </c>
      <c r="JT39" s="533"/>
      <c r="JU39" s="594" t="b">
        <f>AND(ISBLANK(CK38),OR(ISTEXT(CL47),ISTEXT(CW47)))</f>
        <v>0</v>
      </c>
      <c r="JV39" s="534"/>
      <c r="JW39" s="535"/>
      <c r="JX39" s="526"/>
      <c r="JY39" s="526"/>
      <c r="JZ39" s="526"/>
      <c r="KA39" s="526"/>
      <c r="KB39" s="533"/>
      <c r="KC39" s="534"/>
      <c r="KD39" s="534"/>
      <c r="KE39" s="535"/>
      <c r="KG39" s="514" t="str">
        <f>$KG$21</f>
        <v>Enclosed - &gt;0.6m and ≤1.2m</v>
      </c>
      <c r="KH39" s="563">
        <v>0.94</v>
      </c>
      <c r="KI39" s="563">
        <v>0.89</v>
      </c>
      <c r="KJ39" s="563">
        <v>0.84</v>
      </c>
      <c r="KK39" s="563">
        <v>0.72</v>
      </c>
      <c r="KL39" s="500" t="str">
        <f t="shared" ref="KL39:KL40" si="84">$ET$17</f>
        <v>Data</v>
      </c>
      <c r="KZ39" s="533"/>
      <c r="LA39" s="534"/>
      <c r="LB39" s="534"/>
      <c r="LC39" s="534"/>
      <c r="LD39" s="535"/>
      <c r="LE39" s="577"/>
      <c r="LF39" s="577"/>
      <c r="LG39" s="577"/>
      <c r="LH39" s="577"/>
      <c r="LI39" s="533"/>
      <c r="LJ39" s="534"/>
      <c r="LK39" s="534"/>
      <c r="LL39" s="535"/>
      <c r="LP39" s="500">
        <f>LP37*$LN$31</f>
        <v>0</v>
      </c>
      <c r="LV39" s="563">
        <f t="shared" si="63"/>
        <v>0</v>
      </c>
      <c r="LW39" s="563">
        <f t="shared" si="64"/>
        <v>0</v>
      </c>
      <c r="LY39" s="514">
        <v>5</v>
      </c>
      <c r="LZ39" s="514" t="str">
        <f>$LZ$26</f>
        <v>Direct</v>
      </c>
      <c r="MA39" s="514" t="str">
        <f>$ET$50</f>
        <v>Yes</v>
      </c>
      <c r="MB39" s="514" t="str">
        <f t="shared" si="35"/>
        <v>5DirectYes</v>
      </c>
      <c r="MC39" s="514"/>
      <c r="MD39" s="514"/>
      <c r="ME39" s="617">
        <v>1.53</v>
      </c>
      <c r="MF39" s="618">
        <v>1.43</v>
      </c>
      <c r="MG39" s="619"/>
      <c r="MH39" s="620"/>
      <c r="ML39" s="562"/>
      <c r="MM39" s="543"/>
    </row>
    <row r="40" spans="1:351" ht="11.25" customHeight="1" thickBot="1">
      <c r="A40" s="577"/>
      <c r="B40" s="516" t="s">
        <v>545</v>
      </c>
      <c r="C40" s="615"/>
      <c r="D40" s="615"/>
      <c r="E40" s="615"/>
      <c r="F40" s="615"/>
      <c r="G40" s="516" t="s">
        <v>992</v>
      </c>
      <c r="H40" s="615"/>
      <c r="I40" s="615"/>
      <c r="J40" s="615"/>
      <c r="K40" s="504"/>
      <c r="L40" s="615"/>
      <c r="M40" s="615"/>
      <c r="N40" s="615"/>
      <c r="O40" s="615"/>
      <c r="P40" s="615"/>
      <c r="Q40" s="615"/>
      <c r="R40" s="615"/>
      <c r="S40" s="615"/>
      <c r="T40" s="1021"/>
      <c r="U40" s="577"/>
      <c r="V40" s="562"/>
      <c r="W40" s="577"/>
      <c r="X40" s="847">
        <f>IF(ISBLANK(Calculator!C48),"",Calculator!C48)</f>
        <v>12</v>
      </c>
      <c r="Y40" s="972" t="str">
        <f>IF(ISBLANK(Calculator!D48),"",Calculator!D48)</f>
        <v/>
      </c>
      <c r="Z40" s="973"/>
      <c r="AA40" s="845" t="str">
        <f>IF(ISBLANK(Calculator!G48),"",Calculator!G48)</f>
        <v/>
      </c>
      <c r="AB40" s="846" t="str">
        <f>IF(ISBLANK(Calculator!H48),"",Calculator!H48)</f>
        <v/>
      </c>
      <c r="AC40" s="724"/>
      <c r="AD40" s="725"/>
      <c r="AE40" s="504"/>
      <c r="AF40" s="735"/>
      <c r="AG40" s="895"/>
      <c r="AH40" s="608" t="str">
        <f t="shared" si="40"/>
        <v/>
      </c>
      <c r="AI40" s="726"/>
      <c r="AJ40" s="726"/>
      <c r="AK40" s="726"/>
      <c r="AL40" s="726"/>
      <c r="AM40" s="726"/>
      <c r="AN40" s="726"/>
      <c r="AO40" s="726"/>
      <c r="AP40" s="726"/>
      <c r="AQ40" s="726"/>
      <c r="AR40" s="726"/>
      <c r="AS40" s="726"/>
      <c r="AT40" s="726"/>
      <c r="AU40" s="577"/>
      <c r="AV40" s="562"/>
      <c r="AW40" s="577"/>
      <c r="AX40" s="516"/>
      <c r="AY40" s="516"/>
      <c r="AZ40" s="516"/>
      <c r="BA40" s="516"/>
      <c r="BB40" s="516"/>
      <c r="BC40" s="516"/>
      <c r="BD40" s="516"/>
      <c r="BE40" s="516"/>
      <c r="BF40" s="516"/>
      <c r="BG40" s="516"/>
      <c r="BH40" s="516"/>
      <c r="BI40" s="516"/>
      <c r="BJ40" s="529"/>
      <c r="BK40" s="974"/>
      <c r="BL40" s="782"/>
      <c r="BM40" s="1016"/>
      <c r="BN40" s="794"/>
      <c r="BO40" s="779"/>
      <c r="BP40" s="779"/>
      <c r="BQ40" s="799"/>
      <c r="BR40" s="577"/>
      <c r="BT40" s="577"/>
      <c r="BU40" s="505"/>
      <c r="BV40" s="975"/>
      <c r="BW40" s="975"/>
      <c r="BX40" s="786"/>
      <c r="BY40" s="975"/>
      <c r="BZ40" s="786"/>
      <c r="CA40" s="975"/>
      <c r="CB40" s="1006"/>
      <c r="CC40" s="1034"/>
      <c r="CD40" s="1035"/>
      <c r="CE40" s="505"/>
      <c r="CF40" s="994"/>
      <c r="CG40" s="995"/>
      <c r="CH40" s="577"/>
      <c r="CI40" s="562"/>
      <c r="CJ40" s="577"/>
      <c r="CK40" s="504"/>
      <c r="CL40" s="504"/>
      <c r="CM40" s="504"/>
      <c r="CN40" s="504"/>
      <c r="CO40" s="504"/>
      <c r="CP40" s="504"/>
      <c r="CQ40" s="504"/>
      <c r="CR40" s="504"/>
      <c r="CS40" s="504"/>
      <c r="CT40" s="504"/>
      <c r="CU40" s="504"/>
      <c r="CV40" s="504"/>
      <c r="CW40" s="990" t="s">
        <v>799</v>
      </c>
      <c r="CX40" s="782"/>
      <c r="CY40" s="1016" t="s">
        <v>646</v>
      </c>
      <c r="CZ40" s="868"/>
      <c r="DA40" s="869"/>
      <c r="DB40" s="869"/>
      <c r="DC40" s="870"/>
      <c r="DD40" s="577"/>
      <c r="DE40" s="562"/>
      <c r="DF40" s="577"/>
      <c r="DG40" s="634" t="str">
        <f>CONCATENATE("Floor 4:"," ",$ET$41," ",ET30)</f>
        <v>Floor 4: Added floor construction (second option)</v>
      </c>
      <c r="DH40" s="629"/>
      <c r="DI40" s="629"/>
      <c r="DJ40" s="629"/>
      <c r="DK40" s="629"/>
      <c r="DL40" s="629"/>
      <c r="DM40" s="629"/>
      <c r="DN40" s="629"/>
      <c r="DO40" s="718"/>
      <c r="DP40" s="718"/>
      <c r="DQ40" s="718"/>
      <c r="DR40" s="634"/>
      <c r="DS40" s="629"/>
      <c r="DT40" s="504"/>
      <c r="DU40" s="1016"/>
      <c r="DV40" s="794"/>
      <c r="DW40" s="779"/>
      <c r="DX40" s="779"/>
      <c r="DY40" s="799"/>
      <c r="DZ40" s="577"/>
      <c r="EA40" s="562"/>
      <c r="EB40" s="577"/>
      <c r="EC40" s="504"/>
      <c r="ED40" s="504"/>
      <c r="EE40" s="504"/>
      <c r="EF40" s="504"/>
      <c r="EG40" s="504"/>
      <c r="EH40" s="504"/>
      <c r="EI40" s="504"/>
      <c r="EJ40" s="504"/>
      <c r="EK40" s="504"/>
      <c r="EL40" s="504"/>
      <c r="EM40" s="865"/>
      <c r="EN40" s="516"/>
      <c r="EO40" s="516"/>
      <c r="EP40" s="577"/>
      <c r="EQ40" s="562"/>
      <c r="ES40" s="543"/>
      <c r="ET40" s="500" t="s">
        <v>963</v>
      </c>
      <c r="EV40" s="500" t="b">
        <f t="shared" si="41"/>
        <v>0</v>
      </c>
      <c r="EW40" s="500" t="b">
        <f t="shared" si="65"/>
        <v>0</v>
      </c>
      <c r="EX40" s="500" t="b">
        <f t="shared" si="66"/>
        <v>0</v>
      </c>
      <c r="EY40" s="500" t="b">
        <f t="shared" si="42"/>
        <v>0</v>
      </c>
      <c r="EZ40" s="500" t="b">
        <f t="shared" si="43"/>
        <v>0</v>
      </c>
      <c r="FA40" s="500" t="b">
        <f t="shared" si="44"/>
        <v>0</v>
      </c>
      <c r="FB40" s="500" t="b">
        <f t="shared" si="45"/>
        <v>0</v>
      </c>
      <c r="FC40" s="500" t="b">
        <f t="shared" si="67"/>
        <v>0</v>
      </c>
      <c r="FD40" s="500" t="b">
        <f t="shared" si="68"/>
        <v>0</v>
      </c>
      <c r="FE40" s="500" t="b">
        <f t="shared" si="46"/>
        <v>0</v>
      </c>
      <c r="FF40" s="500" t="b">
        <f t="shared" si="47"/>
        <v>0</v>
      </c>
      <c r="FG40" s="500" t="b">
        <f t="shared" si="48"/>
        <v>0</v>
      </c>
      <c r="FI40" s="611">
        <f t="shared" si="49"/>
        <v>0</v>
      </c>
      <c r="FJ40" s="611">
        <f t="shared" si="50"/>
        <v>0</v>
      </c>
      <c r="FK40" s="611">
        <f t="shared" si="69"/>
        <v>0</v>
      </c>
      <c r="FL40" s="612"/>
      <c r="FM40" s="613">
        <f t="shared" si="51"/>
        <v>0</v>
      </c>
      <c r="FN40" s="613">
        <f t="shared" si="52"/>
        <v>0</v>
      </c>
      <c r="FO40" s="613">
        <f t="shared" si="53"/>
        <v>0</v>
      </c>
      <c r="FP40" s="613">
        <f t="shared" si="54"/>
        <v>0</v>
      </c>
      <c r="FQ40" s="613">
        <f t="shared" si="55"/>
        <v>0</v>
      </c>
      <c r="FR40" s="613">
        <f t="shared" si="56"/>
        <v>0</v>
      </c>
      <c r="FS40" s="613">
        <f t="shared" si="57"/>
        <v>0</v>
      </c>
      <c r="FT40" s="613">
        <f t="shared" si="58"/>
        <v>0</v>
      </c>
      <c r="FU40" s="613">
        <f t="shared" si="59"/>
        <v>0</v>
      </c>
      <c r="FV40" s="613">
        <f t="shared" si="60"/>
        <v>0</v>
      </c>
      <c r="FW40" s="613">
        <f t="shared" si="61"/>
        <v>0</v>
      </c>
      <c r="FX40" s="613">
        <f t="shared" si="62"/>
        <v>0</v>
      </c>
      <c r="FZ40" s="500">
        <f>COUNTIF(AD29:AD80,ET51)</f>
        <v>0</v>
      </c>
      <c r="GE40" s="564" t="s">
        <v>678</v>
      </c>
      <c r="GF40" s="500" t="s">
        <v>801</v>
      </c>
      <c r="GG40" s="500">
        <v>0.04</v>
      </c>
      <c r="GH40" s="563">
        <v>0</v>
      </c>
      <c r="GI40" s="563">
        <v>0.18</v>
      </c>
      <c r="GJ40" s="500">
        <v>0.06</v>
      </c>
      <c r="GK40" s="500">
        <v>0.11</v>
      </c>
      <c r="GL40" s="566">
        <f t="shared" si="16"/>
        <v>0.39</v>
      </c>
      <c r="GM40" s="500">
        <v>0.39</v>
      </c>
      <c r="GN40" s="500">
        <f t="shared" si="17"/>
        <v>0.22</v>
      </c>
      <c r="GO40" s="500">
        <f t="shared" si="18"/>
        <v>0.35</v>
      </c>
      <c r="HD40" s="999"/>
      <c r="HE40" s="1000"/>
      <c r="HF40" s="1000"/>
      <c r="HG40" s="534" t="s">
        <v>418</v>
      </c>
      <c r="HH40" s="535"/>
      <c r="HI40" s="863"/>
      <c r="HJ40" s="779"/>
      <c r="HK40" s="779"/>
      <c r="HL40" s="779"/>
      <c r="HM40" s="533"/>
      <c r="HN40" s="830"/>
      <c r="HO40" s="534"/>
      <c r="HP40" s="535"/>
      <c r="ID40" s="500">
        <f>COUNTIF(BV42:BW42,"&gt;0")</f>
        <v>0</v>
      </c>
      <c r="IE40" s="500">
        <f>COUNTIF(BY42,"&gt;0")</f>
        <v>0</v>
      </c>
      <c r="IF40" s="563">
        <f>IF(IE40=1,0,(BV42/1000)*(BW42/1000))</f>
        <v>0</v>
      </c>
      <c r="IG40" s="563">
        <f>IF(OR(ID40=1,ID40=2),0,PI()*POWER(BY42/2000,2))</f>
        <v>0</v>
      </c>
      <c r="IH40" s="563">
        <f>IF(IF40=0,BY42/1000,AVERAGE(BV42:BW42)/1000)</f>
        <v>0</v>
      </c>
      <c r="II40" s="563">
        <f>IF(IH40=0,0,CA42/1000/IH40)</f>
        <v>0</v>
      </c>
      <c r="IJ40" s="563">
        <f t="shared" ref="IJ40:IJ41" si="85">SUM($IF40:$IG40)</f>
        <v>0</v>
      </c>
      <c r="IL40" s="593" t="b">
        <f>AND(ISNUMBER(BY42),OR(ISNUMBER(BW42),ISNUMBER(BV42)))</f>
        <v>0</v>
      </c>
      <c r="IM40" s="594" t="b">
        <f>AND(ISBLANK(BV42),ISNUMBER(BW42))</f>
        <v>0</v>
      </c>
      <c r="IN40" s="594" t="b">
        <f>AND(ISNUMBER(BV42),ISNUMBER(BY42))</f>
        <v>0</v>
      </c>
      <c r="IO40" s="594" t="b">
        <f>AND(ISBLANK(BW42),ISNUMBER(BV42))</f>
        <v>0</v>
      </c>
      <c r="IP40" s="594" t="b">
        <f>AND(ISNUMBER(BW42),ISNUMBER(BY42))</f>
        <v>0</v>
      </c>
      <c r="IQ40" s="594" t="b">
        <f>AND(ISBLANK(CA42),SUM(BV42:BY42)&gt;0)</f>
        <v>0</v>
      </c>
      <c r="IR40" s="614" t="b">
        <f>AND(ISNUMBER(CA42),SUM(BV42:BY42)=0)</f>
        <v>0</v>
      </c>
      <c r="IU40" s="623" t="str">
        <f>$IU$59</f>
        <v>Adding render and/or cladding to an existing external wall</v>
      </c>
      <c r="JT40" s="533"/>
      <c r="JU40" s="534"/>
      <c r="JV40" s="534"/>
      <c r="JW40" s="535"/>
      <c r="JX40" s="526"/>
      <c r="JY40" s="526"/>
      <c r="JZ40" s="526"/>
      <c r="KA40" s="526"/>
      <c r="KB40" s="533"/>
      <c r="KC40" s="534"/>
      <c r="KD40" s="534"/>
      <c r="KE40" s="535"/>
      <c r="KG40" s="514" t="str">
        <f>$KG$22</f>
        <v>Enclosed - &gt;1.2m and ≤2.4m</v>
      </c>
      <c r="KH40" s="563">
        <v>0.84</v>
      </c>
      <c r="KI40" s="563">
        <v>0.79</v>
      </c>
      <c r="KJ40" s="563">
        <v>0.74</v>
      </c>
      <c r="KK40" s="563">
        <v>0.64</v>
      </c>
      <c r="KL40" s="500" t="str">
        <f t="shared" si="84"/>
        <v>Data</v>
      </c>
      <c r="KZ40" s="533"/>
      <c r="LA40" s="534"/>
      <c r="LB40" s="534"/>
      <c r="LC40" s="534"/>
      <c r="LD40" s="535"/>
      <c r="LE40" s="577"/>
      <c r="LF40" s="577"/>
      <c r="LG40" s="577"/>
      <c r="LH40" s="577"/>
      <c r="LI40" s="533"/>
      <c r="LJ40" s="534"/>
      <c r="LK40" s="534"/>
      <c r="LL40" s="535"/>
      <c r="LV40" s="563">
        <f t="shared" si="63"/>
        <v>0</v>
      </c>
      <c r="LW40" s="563">
        <f t="shared" si="64"/>
        <v>0</v>
      </c>
      <c r="LY40" s="514">
        <v>5</v>
      </c>
      <c r="LZ40" s="514" t="str">
        <f>$LZ$28</f>
        <v>Suspended</v>
      </c>
      <c r="MA40" s="514" t="str">
        <f>$ET$51</f>
        <v>No</v>
      </c>
      <c r="MB40" s="514" t="str">
        <f t="shared" si="35"/>
        <v>5SuspendedNo</v>
      </c>
      <c r="MC40" s="514"/>
      <c r="MD40" s="514"/>
      <c r="ME40" s="617">
        <v>1.7</v>
      </c>
      <c r="MF40" s="618">
        <v>1.35</v>
      </c>
      <c r="MG40" s="619"/>
      <c r="MH40" s="620"/>
      <c r="ML40" s="562"/>
      <c r="MM40" s="543"/>
    </row>
    <row r="41" spans="1:351" ht="11.25" customHeight="1" thickBot="1">
      <c r="A41" s="577"/>
      <c r="B41" s="505" t="s">
        <v>1000</v>
      </c>
      <c r="C41" s="505"/>
      <c r="D41" s="505"/>
      <c r="E41" s="505"/>
      <c r="F41" s="505"/>
      <c r="G41" s="505"/>
      <c r="H41" s="505"/>
      <c r="I41" s="505"/>
      <c r="J41" s="505"/>
      <c r="K41" s="505"/>
      <c r="L41" s="505"/>
      <c r="M41" s="505"/>
      <c r="N41" s="505"/>
      <c r="O41" s="505"/>
      <c r="P41" s="505"/>
      <c r="Q41" s="505"/>
      <c r="R41" s="505"/>
      <c r="S41" s="505"/>
      <c r="T41" s="1022"/>
      <c r="U41" s="577"/>
      <c r="V41" s="562"/>
      <c r="W41" s="577"/>
      <c r="X41" s="847">
        <f>IF(ISBLANK(Calculator!C49),"",Calculator!C49)</f>
        <v>13</v>
      </c>
      <c r="Y41" s="972" t="str">
        <f>IF(ISBLANK(Calculator!D49),"",Calculator!D49)</f>
        <v/>
      </c>
      <c r="Z41" s="973"/>
      <c r="AA41" s="845" t="str">
        <f>IF(ISBLANK(Calculator!G49),"",Calculator!G49)</f>
        <v/>
      </c>
      <c r="AB41" s="846" t="str">
        <f>IF(ISBLANK(Calculator!H49),"",Calculator!H49)</f>
        <v/>
      </c>
      <c r="AC41" s="724"/>
      <c r="AD41" s="725"/>
      <c r="AE41" s="504"/>
      <c r="AF41" s="735"/>
      <c r="AG41" s="895"/>
      <c r="AH41" s="608" t="str">
        <f t="shared" si="40"/>
        <v/>
      </c>
      <c r="AI41" s="726"/>
      <c r="AJ41" s="726"/>
      <c r="AK41" s="726"/>
      <c r="AL41" s="726"/>
      <c r="AM41" s="726"/>
      <c r="AN41" s="726"/>
      <c r="AO41" s="726"/>
      <c r="AP41" s="726"/>
      <c r="AQ41" s="726"/>
      <c r="AR41" s="726"/>
      <c r="AS41" s="726"/>
      <c r="AT41" s="726"/>
      <c r="AU41" s="577"/>
      <c r="AV41" s="562"/>
      <c r="AW41" s="577"/>
      <c r="AX41" s="532" t="str">
        <f>CONCATENATE("Roof 2:"," ",$ET$34," ",$ET$30)</f>
        <v>Roof 2: Existing roof construction (second option)</v>
      </c>
      <c r="AY41" s="585"/>
      <c r="AZ41" s="585"/>
      <c r="BA41" s="585"/>
      <c r="BB41" s="585"/>
      <c r="BC41" s="585"/>
      <c r="BD41" s="585"/>
      <c r="BE41" s="585"/>
      <c r="BF41" s="585"/>
      <c r="BG41" s="585"/>
      <c r="BH41" s="585"/>
      <c r="BI41" s="585"/>
      <c r="BJ41" s="529"/>
      <c r="BK41" s="975"/>
      <c r="BL41" s="781"/>
      <c r="BM41" s="1017"/>
      <c r="BN41" s="796"/>
      <c r="BO41" s="779"/>
      <c r="BP41" s="779"/>
      <c r="BQ41" s="799"/>
      <c r="BR41" s="577"/>
      <c r="BT41" s="577"/>
      <c r="BU41" s="560" t="s">
        <v>471</v>
      </c>
      <c r="BV41" s="913"/>
      <c r="BW41" s="913"/>
      <c r="BX41" s="917"/>
      <c r="BY41" s="913"/>
      <c r="BZ41" s="917"/>
      <c r="CA41" s="913"/>
      <c r="CB41" s="710" t="str">
        <f>IF(II39=0,"",II39)</f>
        <v/>
      </c>
      <c r="CC41" s="707" t="str">
        <f>IF(OR(ISERROR(IJ44),IR42&gt;0),$ET$17,IF(IJ44=0,"",IJ44))</f>
        <v/>
      </c>
      <c r="CD41" s="708" t="str">
        <f>IF(OR(CC41=$ET$17,CC41=""),"",IF(CC41&gt;5%,$ET$16,$ET$15))</f>
        <v/>
      </c>
      <c r="CE41" s="504"/>
      <c r="CF41" s="709" t="str">
        <f>IF(OR(ISERROR($IJ$44),$IR$42&gt;0),$ET$17,IF($CC$41="","",IF($CC$41&gt;5%,$ET$39,IF(SUM(BV41:BY41)=0,"",INDEX(BC_RLight_U,MATCH(CB41,BC_RLight_Shaft,-1),MATCH($CC$41,BC_RLight_Percent,-1))))))</f>
        <v/>
      </c>
      <c r="CG41" s="709" t="str">
        <f>IF(OR(ISERROR($IJ$44),$IR$42&gt;0),$ET$17,IF($CC$41="","",IF($CC$41&gt;5%,$ET$39,IF(SUM(BV41:BY41)=0,"",INDEX(BC_RLight_SHGC,MATCH(CB41,BC_RLight_Shaft,-1),MATCH($CC$41,BC_RLight_Percent,-1))))))</f>
        <v/>
      </c>
      <c r="CH41" s="577"/>
      <c r="CI41" s="562"/>
      <c r="CJ41" s="577"/>
      <c r="CK41" s="504"/>
      <c r="CL41" s="603" t="s">
        <v>798</v>
      </c>
      <c r="CM41" s="515"/>
      <c r="CN41" s="515"/>
      <c r="CO41" s="515"/>
      <c r="CP41" s="515"/>
      <c r="CQ41" s="515"/>
      <c r="CR41" s="515"/>
      <c r="CS41" s="515"/>
      <c r="CT41" s="515"/>
      <c r="CU41" s="515"/>
      <c r="CV41" s="504"/>
      <c r="CW41" s="990"/>
      <c r="CX41" s="782"/>
      <c r="CY41" s="1016"/>
      <c r="CZ41" s="868"/>
      <c r="DA41" s="869"/>
      <c r="DB41" s="869"/>
      <c r="DC41" s="870"/>
      <c r="DD41" s="577"/>
      <c r="DE41" s="562"/>
      <c r="DF41" s="577"/>
      <c r="DG41" s="504" t="str">
        <f>$DG$21</f>
        <v>Floor type</v>
      </c>
      <c r="DH41" s="504"/>
      <c r="DI41" s="504"/>
      <c r="DJ41" s="504"/>
      <c r="DK41" s="504" t="str">
        <f>$DK$21</f>
        <v>Enclosure and height</v>
      </c>
      <c r="DL41" s="504"/>
      <c r="DM41" s="504"/>
      <c r="DN41" s="504"/>
      <c r="DO41" s="504" t="str">
        <f>$DO$21</f>
        <v>Enclosing material</v>
      </c>
      <c r="DP41" s="504"/>
      <c r="DQ41" s="504"/>
      <c r="DR41" s="504"/>
      <c r="DS41" s="504"/>
      <c r="DT41" s="504"/>
      <c r="DU41" s="1017"/>
      <c r="DV41" s="796"/>
      <c r="DW41" s="779"/>
      <c r="DX41" s="779"/>
      <c r="DY41" s="799"/>
      <c r="DZ41" s="577"/>
      <c r="EA41" s="562"/>
      <c r="EB41" s="577"/>
      <c r="EC41" s="504"/>
      <c r="ED41" s="504"/>
      <c r="EE41" s="504"/>
      <c r="EF41" s="504"/>
      <c r="EG41" s="504"/>
      <c r="EH41" s="504"/>
      <c r="EI41" s="504"/>
      <c r="EJ41" s="504"/>
      <c r="EK41" s="504"/>
      <c r="EL41" s="504"/>
      <c r="EM41" s="516"/>
      <c r="EN41" s="516"/>
      <c r="EO41" s="516"/>
      <c r="EP41" s="577"/>
      <c r="EQ41" s="562"/>
      <c r="ES41" s="543"/>
      <c r="ET41" s="500" t="s">
        <v>964</v>
      </c>
      <c r="EV41" s="500" t="b">
        <f t="shared" si="41"/>
        <v>0</v>
      </c>
      <c r="EW41" s="500" t="b">
        <f t="shared" si="65"/>
        <v>0</v>
      </c>
      <c r="EX41" s="500" t="b">
        <f t="shared" si="66"/>
        <v>0</v>
      </c>
      <c r="EY41" s="500" t="b">
        <f t="shared" si="42"/>
        <v>0</v>
      </c>
      <c r="EZ41" s="500" t="b">
        <f t="shared" si="43"/>
        <v>0</v>
      </c>
      <c r="FA41" s="500" t="b">
        <f t="shared" si="44"/>
        <v>0</v>
      </c>
      <c r="FB41" s="500" t="b">
        <f t="shared" si="45"/>
        <v>0</v>
      </c>
      <c r="FC41" s="500" t="b">
        <f t="shared" si="67"/>
        <v>0</v>
      </c>
      <c r="FD41" s="500" t="b">
        <f t="shared" si="68"/>
        <v>0</v>
      </c>
      <c r="FE41" s="500" t="b">
        <f t="shared" si="46"/>
        <v>0</v>
      </c>
      <c r="FF41" s="500" t="b">
        <f t="shared" si="47"/>
        <v>0</v>
      </c>
      <c r="FG41" s="500" t="b">
        <f t="shared" si="48"/>
        <v>0</v>
      </c>
      <c r="FI41" s="611">
        <f t="shared" si="49"/>
        <v>0</v>
      </c>
      <c r="FJ41" s="611">
        <f t="shared" si="50"/>
        <v>0</v>
      </c>
      <c r="FK41" s="611">
        <f t="shared" si="69"/>
        <v>0</v>
      </c>
      <c r="FL41" s="612"/>
      <c r="FM41" s="613">
        <f t="shared" si="51"/>
        <v>0</v>
      </c>
      <c r="FN41" s="613">
        <f t="shared" si="52"/>
        <v>0</v>
      </c>
      <c r="FO41" s="613">
        <f t="shared" si="53"/>
        <v>0</v>
      </c>
      <c r="FP41" s="613">
        <f t="shared" si="54"/>
        <v>0</v>
      </c>
      <c r="FQ41" s="613">
        <f t="shared" si="55"/>
        <v>0</v>
      </c>
      <c r="FR41" s="613">
        <f t="shared" si="56"/>
        <v>0</v>
      </c>
      <c r="FS41" s="613">
        <f t="shared" si="57"/>
        <v>0</v>
      </c>
      <c r="FT41" s="613">
        <f t="shared" si="58"/>
        <v>0</v>
      </c>
      <c r="FU41" s="613">
        <f t="shared" si="59"/>
        <v>0</v>
      </c>
      <c r="FV41" s="613">
        <f t="shared" si="60"/>
        <v>0</v>
      </c>
      <c r="FW41" s="613">
        <f t="shared" si="61"/>
        <v>0</v>
      </c>
      <c r="FX41" s="613">
        <f t="shared" si="62"/>
        <v>0</v>
      </c>
      <c r="HD41" s="593" t="b">
        <f>AND(ISBLANK(AX42),ISNUMBER(BK42))</f>
        <v>0</v>
      </c>
      <c r="HE41" s="594" t="b">
        <f>AND(ISBLANK(AX42),OR(ISTEXT(AY47),ISTEXT(BB47)))</f>
        <v>0</v>
      </c>
      <c r="HF41" s="594" t="b">
        <f>AND(ISBLANK(BK42),ISTEXT(AX42))</f>
        <v>0</v>
      </c>
      <c r="HG41" s="594" t="b">
        <f>AND(SUM(BN42:BQ42)&gt;0,AND(ISBLANK(AX42),ISBLANK(BK42)))</f>
        <v>0</v>
      </c>
      <c r="HH41" s="614"/>
      <c r="HI41" s="863">
        <f>IF(BN42&gt;0,1,0)</f>
        <v>0</v>
      </c>
      <c r="HJ41" s="779">
        <f t="shared" ref="HJ41" si="86">IF(BO42&gt;0,1,0)</f>
        <v>0</v>
      </c>
      <c r="HK41" s="779">
        <f t="shared" ref="HK41" si="87">IF(BP42&gt;0,1,0)</f>
        <v>0</v>
      </c>
      <c r="HL41" s="779">
        <f>IF(BQ42&gt;0,1,0)</f>
        <v>0</v>
      </c>
      <c r="HM41" s="593" t="b">
        <f>AND(ISTEXT($BN$20),AND(BN42=0,$HI$66&lt;2))</f>
        <v>0</v>
      </c>
      <c r="HN41" s="594" t="b">
        <f>AND(ISTEXT($BO$20),AND(BO42=0,$HJ$66&lt;2))</f>
        <v>0</v>
      </c>
      <c r="HO41" s="594" t="b">
        <f>AND(ISTEXT($BP$20),AND(BP42=0,$HK$66&lt;2))</f>
        <v>0</v>
      </c>
      <c r="HP41" s="614" t="b">
        <f>AND(ISTEXT($BQ$20),AND(BQ42=0,$HL$66&lt;2))</f>
        <v>0</v>
      </c>
      <c r="ID41" s="500">
        <f>COUNTIF(BV43:BW43,"&gt;0")</f>
        <v>0</v>
      </c>
      <c r="IE41" s="500">
        <f>COUNTIF(BY43,"&gt;0")</f>
        <v>0</v>
      </c>
      <c r="IF41" s="563">
        <f>IF(IE41=1,0,(BV43/1000)*(BW43/1000))</f>
        <v>0</v>
      </c>
      <c r="IG41" s="563">
        <f>IF(OR(ID41=1,ID41=2),0,PI()*POWER(BY43/2000,2))</f>
        <v>0</v>
      </c>
      <c r="IH41" s="563">
        <f>IF(IF41=0,BY43/1000,AVERAGE(BV43:BW43)/1000)</f>
        <v>0</v>
      </c>
      <c r="II41" s="563">
        <f>IF(IH41=0,0,CA43/1000/IH41)</f>
        <v>0</v>
      </c>
      <c r="IJ41" s="563">
        <f t="shared" si="85"/>
        <v>0</v>
      </c>
      <c r="IL41" s="625" t="b">
        <f>AND(ISNUMBER(BY43),OR(ISNUMBER(BW43),ISNUMBER(BV43)))</f>
        <v>0</v>
      </c>
      <c r="IM41" s="559" t="b">
        <f>AND(ISBLANK(BV43),ISNUMBER(BW43))</f>
        <v>0</v>
      </c>
      <c r="IN41" s="559" t="b">
        <f>AND(ISNUMBER(BV43),ISNUMBER(BY43))</f>
        <v>0</v>
      </c>
      <c r="IO41" s="559" t="b">
        <f>AND(ISBLANK(BW43),ISNUMBER(BV43))</f>
        <v>0</v>
      </c>
      <c r="IP41" s="559" t="b">
        <f>AND(ISNUMBER(BW43),ISNUMBER(BY43))</f>
        <v>0</v>
      </c>
      <c r="IQ41" s="559" t="b">
        <f>AND(ISBLANK(CA43),SUM(BV43:BY43)&gt;0)</f>
        <v>0</v>
      </c>
      <c r="IR41" s="698" t="b">
        <f>AND(ISNUMBER(CA43),SUM(BV43:BY43)=0)</f>
        <v>0</v>
      </c>
      <c r="IT41" s="695" t="s">
        <v>817</v>
      </c>
      <c r="IU41" s="500" t="s">
        <v>813</v>
      </c>
      <c r="IV41" s="500" t="str">
        <f>$IT$29</f>
        <v>Framed, Weatherboard external cladding, P/board internal lining: BCA Fig 3.12.1.3(a)</v>
      </c>
      <c r="JT41" s="533"/>
      <c r="JU41" s="534"/>
      <c r="JV41" s="534"/>
      <c r="JW41" s="535"/>
      <c r="JX41" s="526"/>
      <c r="JY41" s="526"/>
      <c r="JZ41" s="526"/>
      <c r="KA41" s="526"/>
      <c r="KB41" s="533"/>
      <c r="KC41" s="534"/>
      <c r="KD41" s="534"/>
      <c r="KE41" s="535"/>
      <c r="KG41" s="514" t="str">
        <f>$KG$23</f>
        <v>Unenclosed</v>
      </c>
      <c r="KH41" s="500">
        <v>0.46</v>
      </c>
      <c r="KI41" s="500">
        <v>0.46</v>
      </c>
      <c r="KJ41" s="500">
        <v>0.46</v>
      </c>
      <c r="KK41" s="500">
        <v>0.46</v>
      </c>
      <c r="KL41" s="500">
        <v>0.46</v>
      </c>
      <c r="KZ41" s="533"/>
      <c r="LA41" s="534"/>
      <c r="LB41" s="534"/>
      <c r="LC41" s="534"/>
      <c r="LD41" s="535"/>
      <c r="LE41" s="577"/>
      <c r="LF41" s="577"/>
      <c r="LG41" s="577"/>
      <c r="LH41" s="577"/>
      <c r="LI41" s="533"/>
      <c r="LJ41" s="534"/>
      <c r="LK41" s="534"/>
      <c r="LL41" s="535"/>
      <c r="LV41" s="563">
        <f t="shared" si="63"/>
        <v>0</v>
      </c>
      <c r="LW41" s="563">
        <f t="shared" si="64"/>
        <v>0</v>
      </c>
      <c r="LY41" s="514">
        <v>5</v>
      </c>
      <c r="LZ41" s="514" t="str">
        <f>$LZ$28</f>
        <v>Suspended</v>
      </c>
      <c r="MA41" s="514" t="str">
        <f>$ET$50</f>
        <v>Yes</v>
      </c>
      <c r="MB41" s="514" t="str">
        <f t="shared" si="35"/>
        <v>5SuspendedYes</v>
      </c>
      <c r="MC41" s="514"/>
      <c r="MD41" s="514"/>
      <c r="ME41" s="617">
        <v>1.7</v>
      </c>
      <c r="MF41" s="618">
        <v>1.58</v>
      </c>
      <c r="MG41" s="619"/>
      <c r="MH41" s="620"/>
      <c r="MM41" s="543"/>
    </row>
    <row r="42" spans="1:351" ht="11.25" customHeight="1" thickBot="1">
      <c r="A42" s="577"/>
      <c r="B42" s="504"/>
      <c r="C42" s="504"/>
      <c r="D42" s="504"/>
      <c r="E42" s="504"/>
      <c r="F42" s="504"/>
      <c r="G42" s="504"/>
      <c r="H42" s="504"/>
      <c r="I42" s="504"/>
      <c r="J42" s="504"/>
      <c r="K42" s="504"/>
      <c r="L42" s="504"/>
      <c r="M42" s="504"/>
      <c r="N42" s="504"/>
      <c r="O42" s="504"/>
      <c r="P42" s="504"/>
      <c r="Q42" s="504"/>
      <c r="R42" s="504"/>
      <c r="S42" s="504"/>
      <c r="T42" s="504"/>
      <c r="U42" s="577"/>
      <c r="V42" s="562"/>
      <c r="W42" s="577"/>
      <c r="X42" s="847">
        <f>IF(ISBLANK(Calculator!C50),"",Calculator!C50)</f>
        <v>14</v>
      </c>
      <c r="Y42" s="972" t="str">
        <f>IF(ISBLANK(Calculator!D50),"",Calculator!D50)</f>
        <v/>
      </c>
      <c r="Z42" s="973"/>
      <c r="AA42" s="845" t="str">
        <f>IF(ISBLANK(Calculator!G50),"",Calculator!G50)</f>
        <v/>
      </c>
      <c r="AB42" s="846" t="str">
        <f>IF(ISBLANK(Calculator!H50),"",Calculator!H50)</f>
        <v/>
      </c>
      <c r="AC42" s="724"/>
      <c r="AD42" s="725"/>
      <c r="AE42" s="504"/>
      <c r="AF42" s="735"/>
      <c r="AG42" s="895"/>
      <c r="AH42" s="608" t="str">
        <f t="shared" si="40"/>
        <v/>
      </c>
      <c r="AI42" s="726"/>
      <c r="AJ42" s="726"/>
      <c r="AK42" s="726"/>
      <c r="AL42" s="726"/>
      <c r="AM42" s="726"/>
      <c r="AN42" s="726"/>
      <c r="AO42" s="726"/>
      <c r="AP42" s="726"/>
      <c r="AQ42" s="726"/>
      <c r="AR42" s="726"/>
      <c r="AS42" s="726"/>
      <c r="AT42" s="726"/>
      <c r="AU42" s="577"/>
      <c r="AV42" s="562"/>
      <c r="AW42" s="577"/>
      <c r="AX42" s="1027"/>
      <c r="AY42" s="1028"/>
      <c r="AZ42" s="1028"/>
      <c r="BA42" s="1028"/>
      <c r="BB42" s="1028"/>
      <c r="BC42" s="1028"/>
      <c r="BD42" s="1028"/>
      <c r="BE42" s="1028"/>
      <c r="BF42" s="1028"/>
      <c r="BG42" s="1028"/>
      <c r="BH42" s="1028"/>
      <c r="BI42" s="1029"/>
      <c r="BJ42" s="588"/>
      <c r="BK42" s="727"/>
      <c r="BL42" s="589"/>
      <c r="BM42" s="787" t="str">
        <f>IF(GN103=2,"",IF(ISERROR(GG134+BK42),ET17,GG134+BK42))</f>
        <v/>
      </c>
      <c r="BN42" s="793"/>
      <c r="BO42" s="728"/>
      <c r="BP42" s="728"/>
      <c r="BQ42" s="798"/>
      <c r="BR42" s="577"/>
      <c r="BT42" s="577"/>
      <c r="BU42" s="560">
        <v>2</v>
      </c>
      <c r="BV42" s="913"/>
      <c r="BW42" s="913"/>
      <c r="BX42" s="917"/>
      <c r="BY42" s="913"/>
      <c r="BZ42" s="917"/>
      <c r="CA42" s="913"/>
      <c r="CB42" s="710" t="str">
        <f>IF(II40=0,"",II40)</f>
        <v/>
      </c>
      <c r="CC42" s="504"/>
      <c r="CD42" s="504"/>
      <c r="CE42" s="504"/>
      <c r="CF42" s="709" t="str">
        <f>IF(OR(ISERROR($IJ$44),$IR$42&gt;0),$ET$17,IF($CC$41="","",IF($CC$41&gt;5%,$ET$39,IF(SUM(BV42:BY42)=0,"",INDEX(BC_RLight_U,MATCH(CB42,BC_RLight_Shaft,-1),MATCH($CC$41,BC_RLight_Percent,-1))))))</f>
        <v/>
      </c>
      <c r="CG42" s="709" t="str">
        <f>IF(OR(ISERROR($IJ$44),$IR$42&gt;0),$ET$17,IF($CC$41="","",IF($CC$41&gt;5%,$ET$39,IF(SUM(BV42:BY42)=0,"",INDEX(BC_RLight_SHGC,MATCH(CB42,BC_RLight_Shaft,-1),MATCH($CC$41,BC_RLight_Percent,-1))))))</f>
        <v/>
      </c>
      <c r="CH42" s="577"/>
      <c r="CI42" s="562"/>
      <c r="CJ42" s="577"/>
      <c r="CK42" s="504"/>
      <c r="CL42" s="504" t="str">
        <f>CONCATENATE("Wall 2A:"," ",$ET$36)</f>
        <v>Wall 2A: Alteration to existing wall</v>
      </c>
      <c r="CM42" s="504"/>
      <c r="CN42" s="504"/>
      <c r="CO42" s="504"/>
      <c r="CP42" s="504"/>
      <c r="CQ42" s="504"/>
      <c r="CR42" s="504"/>
      <c r="CS42" s="504"/>
      <c r="CT42" s="504"/>
      <c r="CU42" s="504"/>
      <c r="CV42" s="504"/>
      <c r="CW42" s="975"/>
      <c r="CX42" s="782"/>
      <c r="CY42" s="1016"/>
      <c r="CZ42" s="868"/>
      <c r="DA42" s="869"/>
      <c r="DB42" s="869"/>
      <c r="DC42" s="870"/>
      <c r="DD42" s="577"/>
      <c r="DE42" s="562"/>
      <c r="DF42" s="577"/>
      <c r="DG42" s="976"/>
      <c r="DH42" s="977"/>
      <c r="DI42" s="978"/>
      <c r="DJ42" s="505"/>
      <c r="DK42" s="969"/>
      <c r="DL42" s="970"/>
      <c r="DM42" s="971"/>
      <c r="DN42" s="505"/>
      <c r="DO42" s="976"/>
      <c r="DP42" s="977"/>
      <c r="DQ42" s="978"/>
      <c r="DR42" s="505"/>
      <c r="DS42" s="505"/>
      <c r="DT42" s="719"/>
      <c r="DU42" s="909" t="str">
        <f>IF(KL71=3,"",IF(ISERROR(KH50),$ET$17,IF(KH50=$ET$17,$ET$17,KI50)))</f>
        <v/>
      </c>
      <c r="DV42" s="866"/>
      <c r="DW42" s="725"/>
      <c r="DX42" s="725"/>
      <c r="DY42" s="867"/>
      <c r="DZ42" s="577"/>
      <c r="EA42" s="562"/>
      <c r="EB42" s="577"/>
      <c r="EC42" s="504"/>
      <c r="ED42" s="504"/>
      <c r="EE42" s="504"/>
      <c r="EF42" s="504"/>
      <c r="EG42" s="504"/>
      <c r="EH42" s="504"/>
      <c r="EI42" s="504"/>
      <c r="EJ42" s="504"/>
      <c r="EK42" s="504"/>
      <c r="EL42" s="504"/>
      <c r="EM42" s="516"/>
      <c r="EN42" s="516"/>
      <c r="EO42" s="516"/>
      <c r="EP42" s="577"/>
      <c r="EQ42" s="562"/>
      <c r="ES42" s="543"/>
      <c r="EV42" s="500" t="b">
        <f t="shared" si="41"/>
        <v>0</v>
      </c>
      <c r="EW42" s="500" t="b">
        <f t="shared" si="65"/>
        <v>0</v>
      </c>
      <c r="EX42" s="500" t="b">
        <f t="shared" si="66"/>
        <v>0</v>
      </c>
      <c r="EY42" s="500" t="b">
        <f t="shared" si="42"/>
        <v>0</v>
      </c>
      <c r="EZ42" s="500" t="b">
        <f t="shared" si="43"/>
        <v>0</v>
      </c>
      <c r="FA42" s="500" t="b">
        <f t="shared" si="44"/>
        <v>0</v>
      </c>
      <c r="FB42" s="500" t="b">
        <f t="shared" si="45"/>
        <v>0</v>
      </c>
      <c r="FC42" s="500" t="b">
        <f t="shared" si="67"/>
        <v>0</v>
      </c>
      <c r="FD42" s="500" t="b">
        <f t="shared" si="68"/>
        <v>0</v>
      </c>
      <c r="FE42" s="500" t="b">
        <f t="shared" si="46"/>
        <v>0</v>
      </c>
      <c r="FF42" s="500" t="b">
        <f t="shared" si="47"/>
        <v>0</v>
      </c>
      <c r="FG42" s="500" t="b">
        <f t="shared" si="48"/>
        <v>0</v>
      </c>
      <c r="FI42" s="611">
        <f t="shared" si="49"/>
        <v>0</v>
      </c>
      <c r="FJ42" s="611">
        <f t="shared" si="50"/>
        <v>0</v>
      </c>
      <c r="FK42" s="611">
        <f t="shared" si="69"/>
        <v>0</v>
      </c>
      <c r="FL42" s="612"/>
      <c r="FM42" s="613">
        <f t="shared" si="51"/>
        <v>0</v>
      </c>
      <c r="FN42" s="613">
        <f t="shared" si="52"/>
        <v>0</v>
      </c>
      <c r="FO42" s="613">
        <f t="shared" si="53"/>
        <v>0</v>
      </c>
      <c r="FP42" s="613">
        <f t="shared" si="54"/>
        <v>0</v>
      </c>
      <c r="FQ42" s="613">
        <f t="shared" si="55"/>
        <v>0</v>
      </c>
      <c r="FR42" s="613">
        <f t="shared" si="56"/>
        <v>0</v>
      </c>
      <c r="FS42" s="613">
        <f t="shared" si="57"/>
        <v>0</v>
      </c>
      <c r="FT42" s="613">
        <f t="shared" si="58"/>
        <v>0</v>
      </c>
      <c r="FU42" s="613">
        <f t="shared" si="59"/>
        <v>0</v>
      </c>
      <c r="FV42" s="613">
        <f t="shared" si="60"/>
        <v>0</v>
      </c>
      <c r="FW42" s="613">
        <f t="shared" si="61"/>
        <v>0</v>
      </c>
      <c r="FX42" s="613">
        <f t="shared" si="62"/>
        <v>0</v>
      </c>
      <c r="HD42" s="533"/>
      <c r="HE42" s="594" t="b">
        <f>AND(ISBLANK(AX42),OR(ISTEXT(AY52),ISTEXT(BB52)))</f>
        <v>0</v>
      </c>
      <c r="HF42" s="534"/>
      <c r="HG42" s="751" t="s">
        <v>985</v>
      </c>
      <c r="HH42" s="535"/>
      <c r="HI42" s="863"/>
      <c r="HJ42" s="779"/>
      <c r="HK42" s="779"/>
      <c r="HL42" s="779"/>
      <c r="HM42" s="533"/>
      <c r="HN42" s="830"/>
      <c r="HO42" s="534"/>
      <c r="HP42" s="535"/>
      <c r="IF42" s="502">
        <f>SUM(IF39:IF41)</f>
        <v>0</v>
      </c>
      <c r="IG42" s="502">
        <f>SUM(IG39:IG41)</f>
        <v>0</v>
      </c>
      <c r="II42" s="715">
        <f>SUM(II39:II41)</f>
        <v>0</v>
      </c>
      <c r="IJ42" s="502">
        <f>SUM(IJ39:IJ41)</f>
        <v>0</v>
      </c>
      <c r="IL42" s="534"/>
      <c r="IM42" s="534"/>
      <c r="IN42" s="534"/>
      <c r="IO42" s="534"/>
      <c r="IP42" s="534"/>
      <c r="IQ42" s="578" t="s">
        <v>928</v>
      </c>
      <c r="IR42" s="514">
        <f>COUNTIF(IL29:IR41,TRUE())</f>
        <v>0</v>
      </c>
      <c r="IT42" s="500"/>
      <c r="IU42" s="500" t="s">
        <v>816</v>
      </c>
      <c r="IV42" s="500" t="str">
        <f>$IT$35</f>
        <v>Framed, Fibre cement external cladding, P/board internal lining: BCA Fig 3.12.1.3(b)</v>
      </c>
      <c r="JT42" s="533" t="s">
        <v>834</v>
      </c>
      <c r="JU42" s="534"/>
      <c r="JV42" s="534" t="s">
        <v>849</v>
      </c>
      <c r="JW42" s="535"/>
      <c r="JX42" s="526"/>
      <c r="JY42" s="526"/>
      <c r="JZ42" s="526"/>
      <c r="KA42" s="526"/>
      <c r="KB42" s="533"/>
      <c r="KC42" s="534"/>
      <c r="KD42" s="534"/>
      <c r="KE42" s="535"/>
      <c r="KZ42" s="593" t="b">
        <f>AND(ISBLANK(DG42),OR(ISTEXT(DK42),ISTEXT(DO42)))</f>
        <v>0</v>
      </c>
      <c r="LA42" s="594" t="b">
        <f>AND(ISBLANK(DK42),OR(ISTEXT(DG42),ISTEXT(DO42)))</f>
        <v>0</v>
      </c>
      <c r="LB42" s="594" t="b">
        <f>AND(ISBLANK(DO42),OR(ISTEXT(DK42),ISTEXT(DG42)))</f>
        <v>0</v>
      </c>
      <c r="LC42" s="534"/>
      <c r="LD42" s="614" t="b">
        <f>AND(SUM(DV42:DY42)&gt;0,AND(ISBLANK(DG42),AND(ISBLANK(DK42),ISBLANK(DO42))))</f>
        <v>0</v>
      </c>
      <c r="LE42" s="577"/>
      <c r="LF42" s="577"/>
      <c r="LG42" s="577"/>
      <c r="LH42" s="577"/>
      <c r="LI42" s="625" t="b">
        <f>AND(ISTEXT($DV$16),AND(DV42=0,$LE$50&lt;2))</f>
        <v>0</v>
      </c>
      <c r="LJ42" s="559" t="b">
        <f>AND(ISTEXT($DW$16),AND(DW42=0,$LF$50&lt;2))</f>
        <v>0</v>
      </c>
      <c r="LK42" s="559" t="b">
        <f>AND(ISTEXT($DX$16),AND(DX42=0,$LG$50&lt;2))</f>
        <v>0</v>
      </c>
      <c r="LL42" s="698" t="b">
        <f>AND(ISTEXT($DY$16),AND(DY42=0,$LH$50&lt;2))</f>
        <v>0</v>
      </c>
      <c r="LV42" s="563">
        <f t="shared" si="63"/>
        <v>0</v>
      </c>
      <c r="LW42" s="563">
        <f t="shared" si="64"/>
        <v>0</v>
      </c>
      <c r="LY42" s="500">
        <v>6</v>
      </c>
      <c r="LZ42" s="500" t="str">
        <f>$LZ$26</f>
        <v>Direct</v>
      </c>
      <c r="MA42" s="500" t="str">
        <f>$ET$51</f>
        <v>No</v>
      </c>
      <c r="MB42" s="500" t="str">
        <f t="shared" si="35"/>
        <v>6DirectNo</v>
      </c>
      <c r="MC42" s="500"/>
      <c r="MD42" s="500"/>
      <c r="ME42" s="510">
        <v>2.97</v>
      </c>
      <c r="MF42" s="511">
        <v>1.06</v>
      </c>
      <c r="MG42" s="512"/>
      <c r="MH42" s="513"/>
      <c r="MM42" s="543"/>
    </row>
    <row r="43" spans="1:351" ht="11.25" customHeight="1" thickBot="1">
      <c r="A43" s="577"/>
      <c r="B43" s="516" t="s">
        <v>546</v>
      </c>
      <c r="C43" s="516"/>
      <c r="D43" s="516"/>
      <c r="E43" s="516"/>
      <c r="F43" s="516"/>
      <c r="G43" s="516" t="s">
        <v>529</v>
      </c>
      <c r="H43" s="516"/>
      <c r="I43" s="504"/>
      <c r="J43" s="516"/>
      <c r="K43" s="516"/>
      <c r="L43" s="516"/>
      <c r="M43" s="516"/>
      <c r="N43" s="516"/>
      <c r="O43" s="516"/>
      <c r="P43" s="516"/>
      <c r="Q43" s="516"/>
      <c r="R43" s="516"/>
      <c r="S43" s="516"/>
      <c r="T43" s="1021"/>
      <c r="U43" s="577"/>
      <c r="V43" s="562"/>
      <c r="W43" s="577"/>
      <c r="X43" s="847">
        <f>IF(ISBLANK(Calculator!C51),"",Calculator!C51)</f>
        <v>15</v>
      </c>
      <c r="Y43" s="972" t="str">
        <f>IF(ISBLANK(Calculator!D51),"",Calculator!D51)</f>
        <v/>
      </c>
      <c r="Z43" s="973"/>
      <c r="AA43" s="845" t="str">
        <f>IF(ISBLANK(Calculator!G51),"",Calculator!G51)</f>
        <v/>
      </c>
      <c r="AB43" s="846" t="str">
        <f>IF(ISBLANK(Calculator!H51),"",Calculator!H51)</f>
        <v/>
      </c>
      <c r="AC43" s="725"/>
      <c r="AD43" s="725"/>
      <c r="AE43" s="504"/>
      <c r="AF43" s="735"/>
      <c r="AG43" s="895"/>
      <c r="AH43" s="608" t="str">
        <f t="shared" si="40"/>
        <v/>
      </c>
      <c r="AI43" s="726"/>
      <c r="AJ43" s="726"/>
      <c r="AK43" s="726"/>
      <c r="AL43" s="726"/>
      <c r="AM43" s="726"/>
      <c r="AN43" s="726"/>
      <c r="AO43" s="726"/>
      <c r="AP43" s="726"/>
      <c r="AQ43" s="726"/>
      <c r="AR43" s="726"/>
      <c r="AS43" s="726"/>
      <c r="AT43" s="726"/>
      <c r="AU43" s="577"/>
      <c r="AV43" s="562"/>
      <c r="AW43" s="577"/>
      <c r="AX43" s="516"/>
      <c r="AY43" s="516"/>
      <c r="AZ43" s="516"/>
      <c r="BA43" s="516"/>
      <c r="BB43" s="516"/>
      <c r="BC43" s="516"/>
      <c r="BD43" s="516"/>
      <c r="BE43" s="516"/>
      <c r="BF43" s="516"/>
      <c r="BG43" s="516"/>
      <c r="BH43" s="516"/>
      <c r="BI43" s="516"/>
      <c r="BJ43" s="516"/>
      <c r="BK43" s="516"/>
      <c r="BL43" s="516"/>
      <c r="BM43" s="516"/>
      <c r="BN43" s="794"/>
      <c r="BO43" s="779"/>
      <c r="BP43" s="779"/>
      <c r="BQ43" s="799"/>
      <c r="BR43" s="577"/>
      <c r="BT43" s="577"/>
      <c r="BU43" s="560">
        <v>3</v>
      </c>
      <c r="BV43" s="913"/>
      <c r="BW43" s="913"/>
      <c r="BX43" s="917"/>
      <c r="BY43" s="913"/>
      <c r="BZ43" s="917"/>
      <c r="CA43" s="913"/>
      <c r="CB43" s="710" t="str">
        <f>IF(II41=0,"",II41)</f>
        <v/>
      </c>
      <c r="CC43" s="504"/>
      <c r="CD43" s="504"/>
      <c r="CE43" s="504"/>
      <c r="CF43" s="709" t="str">
        <f>IF(OR(ISERROR($IJ$44),$IR$42&gt;0),$ET$17,IF($CC$41="","",IF($CC$41&gt;5%,$ET$39,IF(SUM(BV43:BY43)=0,"",INDEX(BC_RLight_U,MATCH(CB43,BC_RLight_Shaft,-1),MATCH($CC$41,BC_RLight_Percent,-1))))))</f>
        <v/>
      </c>
      <c r="CG43" s="709" t="str">
        <f>IF(OR(ISERROR($IJ$44),$IR$42&gt;0),$ET$17,IF($CC$41="","",IF($CC$41&gt;5%,$ET$39,IF(SUM(BV43:BY43)=0,"",INDEX(BC_RLight_SHGC,MATCH(CB43,BC_RLight_Shaft,-1),MATCH($CC$41,BC_RLight_Percent,-1))))))</f>
        <v/>
      </c>
      <c r="CH43" s="577"/>
      <c r="CI43" s="562"/>
      <c r="CJ43" s="577"/>
      <c r="CK43" s="504"/>
      <c r="CL43" s="969"/>
      <c r="CM43" s="970"/>
      <c r="CN43" s="970"/>
      <c r="CO43" s="970"/>
      <c r="CP43" s="970"/>
      <c r="CQ43" s="970"/>
      <c r="CR43" s="970"/>
      <c r="CS43" s="970"/>
      <c r="CT43" s="970"/>
      <c r="CU43" s="971"/>
      <c r="CV43" s="609"/>
      <c r="CW43" s="725"/>
      <c r="CX43" s="610"/>
      <c r="CY43" s="904" t="str">
        <f>IF(JC112=2,"",IF(OR(ISERROR(IV140),ISERROR(JU43)),$ET$17,IV140))</f>
        <v/>
      </c>
      <c r="CZ43" s="866"/>
      <c r="DA43" s="725"/>
      <c r="DB43" s="725"/>
      <c r="DC43" s="867"/>
      <c r="DD43" s="577"/>
      <c r="DE43" s="562"/>
      <c r="DF43" s="577"/>
      <c r="DG43" s="504"/>
      <c r="DH43" s="504"/>
      <c r="DI43" s="504"/>
      <c r="DJ43" s="504"/>
      <c r="DK43" s="504"/>
      <c r="DL43" s="504"/>
      <c r="DM43" s="504"/>
      <c r="DN43" s="504"/>
      <c r="DO43" s="504"/>
      <c r="DP43" s="504"/>
      <c r="DQ43" s="504"/>
      <c r="DR43" s="504"/>
      <c r="DS43" s="504"/>
      <c r="DT43" s="504"/>
      <c r="DU43" s="504"/>
      <c r="DV43" s="797"/>
      <c r="DW43" s="779"/>
      <c r="DX43" s="779"/>
      <c r="DY43" s="799"/>
      <c r="DZ43" s="577"/>
      <c r="EA43" s="562"/>
      <c r="EB43" s="577"/>
      <c r="EC43" s="884" t="s">
        <v>1072</v>
      </c>
      <c r="ED43" s="885"/>
      <c r="EE43" s="885"/>
      <c r="EF43" s="885"/>
      <c r="EG43" s="885"/>
      <c r="EH43" s="885"/>
      <c r="EI43" s="886"/>
      <c r="EJ43" s="886"/>
      <c r="EK43" s="886"/>
      <c r="EL43" s="886"/>
      <c r="EM43" s="609"/>
      <c r="EN43" s="516"/>
      <c r="EO43" s="516"/>
      <c r="EP43" s="577"/>
      <c r="EQ43" s="562"/>
      <c r="ES43" s="543"/>
      <c r="EV43" s="500" t="b">
        <f t="shared" si="41"/>
        <v>0</v>
      </c>
      <c r="EW43" s="500" t="b">
        <f t="shared" si="65"/>
        <v>0</v>
      </c>
      <c r="EX43" s="500" t="b">
        <f t="shared" si="66"/>
        <v>0</v>
      </c>
      <c r="EY43" s="500" t="b">
        <f t="shared" si="42"/>
        <v>0</v>
      </c>
      <c r="EZ43" s="500" t="b">
        <f t="shared" si="43"/>
        <v>0</v>
      </c>
      <c r="FA43" s="500" t="b">
        <f t="shared" si="44"/>
        <v>0</v>
      </c>
      <c r="FB43" s="500" t="b">
        <f t="shared" si="45"/>
        <v>0</v>
      </c>
      <c r="FC43" s="500" t="b">
        <f t="shared" si="67"/>
        <v>0</v>
      </c>
      <c r="FD43" s="500" t="b">
        <f t="shared" si="68"/>
        <v>0</v>
      </c>
      <c r="FE43" s="500" t="b">
        <f t="shared" si="46"/>
        <v>0</v>
      </c>
      <c r="FF43" s="500" t="b">
        <f t="shared" si="47"/>
        <v>0</v>
      </c>
      <c r="FG43" s="500" t="b">
        <f t="shared" si="48"/>
        <v>0</v>
      </c>
      <c r="FI43" s="611">
        <f t="shared" si="49"/>
        <v>0</v>
      </c>
      <c r="FJ43" s="611">
        <f t="shared" si="50"/>
        <v>0</v>
      </c>
      <c r="FK43" s="611">
        <f t="shared" si="69"/>
        <v>0</v>
      </c>
      <c r="FL43" s="612"/>
      <c r="FM43" s="613">
        <f t="shared" si="51"/>
        <v>0</v>
      </c>
      <c r="FN43" s="613">
        <f t="shared" si="52"/>
        <v>0</v>
      </c>
      <c r="FO43" s="613">
        <f t="shared" si="53"/>
        <v>0</v>
      </c>
      <c r="FP43" s="613">
        <f t="shared" si="54"/>
        <v>0</v>
      </c>
      <c r="FQ43" s="613">
        <f t="shared" si="55"/>
        <v>0</v>
      </c>
      <c r="FR43" s="613">
        <f t="shared" si="56"/>
        <v>0</v>
      </c>
      <c r="FS43" s="613">
        <f t="shared" si="57"/>
        <v>0</v>
      </c>
      <c r="FT43" s="613">
        <f t="shared" si="58"/>
        <v>0</v>
      </c>
      <c r="FU43" s="613">
        <f t="shared" si="59"/>
        <v>0</v>
      </c>
      <c r="FV43" s="613">
        <f t="shared" si="60"/>
        <v>0</v>
      </c>
      <c r="FW43" s="613">
        <f t="shared" si="61"/>
        <v>0</v>
      </c>
      <c r="FX43" s="613">
        <f t="shared" si="62"/>
        <v>0</v>
      </c>
      <c r="GF43" s="536" t="s">
        <v>449</v>
      </c>
      <c r="HD43" s="533"/>
      <c r="HF43" s="534"/>
      <c r="HG43" s="534"/>
      <c r="HH43" s="535"/>
      <c r="HI43" s="863"/>
      <c r="HJ43" s="779"/>
      <c r="HK43" s="779"/>
      <c r="HL43" s="779"/>
      <c r="HM43" s="533"/>
      <c r="HN43" s="830"/>
      <c r="HO43" s="534"/>
      <c r="HP43" s="535"/>
      <c r="IL43" s="534"/>
      <c r="IM43" s="534"/>
      <c r="IN43" s="534"/>
      <c r="IO43" s="534"/>
      <c r="IP43" s="534"/>
      <c r="IQ43" s="534"/>
      <c r="IR43" s="534"/>
      <c r="IT43" s="500"/>
      <c r="IU43" s="500" t="s">
        <v>819</v>
      </c>
      <c r="IV43" s="500" t="str">
        <f>$IT$41</f>
        <v>Brick veneer, Ext clay masonry, Int frame with p/board internal lining: BCA Fig 3.12.1.3(c)</v>
      </c>
      <c r="JT43" s="593" t="b">
        <f>AND(ISBLANK(CL43),ISNUMBER(CW43))</f>
        <v>0</v>
      </c>
      <c r="JU43" s="702" t="str">
        <f>IF(ISBLANK(CK38),"",IF(AND(ISTEXT(CK38),ISBLANK(CL43)),"",IF($CK$38=$IT$29,MATCH(CL43,BC_WallAlt_WB,0),IF($CK$38=$IT$35,MATCH(CL43,BC_WallAlt_FC,0),IF($CK$38=$IT$41,MATCH(CL43,BC_WallAlt_BV,0),IF($CK$38=$IT$47,MATCH(CL43,BC_WallAlt_C,0),MATCH(CL43,BC_WallAlt_RBV,0)))))))</f>
        <v/>
      </c>
      <c r="JV43" s="594" t="b">
        <f>AND(ISBLANK(CW43),ISTEXT(CL43))</f>
        <v>0</v>
      </c>
      <c r="JW43" s="614" t="b">
        <f>AND(SUM(CZ43:DC43)&gt;0,AND(ISBLANK(CL43),ISBLANK(CW43)))</f>
        <v>0</v>
      </c>
      <c r="JX43" s="526">
        <f>IF(CZ43&gt;0,1,0)</f>
        <v>0</v>
      </c>
      <c r="JY43" s="526">
        <f t="shared" ref="JY43" si="88">IF(DA43&gt;0,1,0)</f>
        <v>0</v>
      </c>
      <c r="JZ43" s="526">
        <f t="shared" ref="JZ43" si="89">IF(DB43&gt;0,1,0)</f>
        <v>0</v>
      </c>
      <c r="KA43" s="526">
        <f t="shared" ref="KA43" si="90">IF(DC43&gt;0,1,0)</f>
        <v>0</v>
      </c>
      <c r="KB43" s="593" t="b">
        <f>AND(ISTEXT($CZ$17),AND(CZ43=0,$JX$65&lt;2))</f>
        <v>0</v>
      </c>
      <c r="KC43" s="594" t="b">
        <f>AND(ISTEXT($DA$17),AND(DA43=0,$JY$65&lt;2))</f>
        <v>0</v>
      </c>
      <c r="KD43" s="594" t="b">
        <f>AND(ISTEXT($DB$17),AND(DB43=0,$JZ$65&lt;2))</f>
        <v>0</v>
      </c>
      <c r="KE43" s="614" t="b">
        <f>AND(ISTEXT($DC$17),AND(DC43=0,$KA$65&lt;2))</f>
        <v>0</v>
      </c>
      <c r="KG43" s="509" t="s">
        <v>958</v>
      </c>
      <c r="KZ43" s="533"/>
      <c r="LA43" s="534"/>
      <c r="LB43" s="594" t="b">
        <f>AND(MID(DO42,1,3)="Not",MID(DK42,1,1)="E")</f>
        <v>0</v>
      </c>
      <c r="LC43" s="534"/>
      <c r="LD43" s="535"/>
      <c r="LE43" s="526"/>
      <c r="LF43" s="526"/>
      <c r="LG43" s="526"/>
      <c r="LH43" s="526"/>
      <c r="LK43" s="578" t="s">
        <v>969</v>
      </c>
      <c r="LL43" s="500">
        <f>COUNTIF(LI15:LL42,TRUE())</f>
        <v>0</v>
      </c>
      <c r="LV43" s="563">
        <f t="shared" si="63"/>
        <v>0</v>
      </c>
      <c r="LW43" s="563">
        <f t="shared" si="64"/>
        <v>0</v>
      </c>
      <c r="LY43" s="500">
        <v>6</v>
      </c>
      <c r="LZ43" s="500" t="str">
        <f>$LZ$26</f>
        <v>Direct</v>
      </c>
      <c r="MA43" s="500" t="str">
        <f>$ET$50</f>
        <v>Yes</v>
      </c>
      <c r="MB43" s="500" t="str">
        <f t="shared" si="35"/>
        <v>6DirectYes</v>
      </c>
      <c r="MC43" s="500"/>
      <c r="MD43" s="500"/>
      <c r="ME43" s="510">
        <v>3.72</v>
      </c>
      <c r="MF43" s="511">
        <v>1.06</v>
      </c>
      <c r="MG43" s="512"/>
      <c r="MH43" s="513"/>
      <c r="MM43" s="543"/>
    </row>
    <row r="44" spans="1:351" ht="11.25" customHeight="1">
      <c r="A44" s="577"/>
      <c r="B44" s="516" t="s">
        <v>1000</v>
      </c>
      <c r="C44" s="504"/>
      <c r="D44" s="516"/>
      <c r="E44" s="516"/>
      <c r="F44" s="516"/>
      <c r="G44" s="516" t="s">
        <v>530</v>
      </c>
      <c r="H44" s="516"/>
      <c r="I44" s="504"/>
      <c r="J44" s="516"/>
      <c r="K44" s="516"/>
      <c r="L44" s="516"/>
      <c r="M44" s="516"/>
      <c r="N44" s="516"/>
      <c r="O44" s="516"/>
      <c r="P44" s="516"/>
      <c r="Q44" s="516"/>
      <c r="R44" s="516"/>
      <c r="S44" s="516"/>
      <c r="T44" s="1082"/>
      <c r="U44" s="577"/>
      <c r="V44" s="562"/>
      <c r="W44" s="577"/>
      <c r="X44" s="847">
        <f>IF(ISBLANK(Calculator!C52),"",Calculator!C52)</f>
        <v>16</v>
      </c>
      <c r="Y44" s="972" t="str">
        <f>IF(ISBLANK(Calculator!D52),"",Calculator!D52)</f>
        <v/>
      </c>
      <c r="Z44" s="973"/>
      <c r="AA44" s="845" t="str">
        <f>IF(ISBLANK(Calculator!G52),"",Calculator!G52)</f>
        <v/>
      </c>
      <c r="AB44" s="846" t="str">
        <f>IF(ISBLANK(Calculator!H52),"",Calculator!H52)</f>
        <v/>
      </c>
      <c r="AC44" s="725"/>
      <c r="AD44" s="725"/>
      <c r="AE44" s="504"/>
      <c r="AF44" s="735"/>
      <c r="AG44" s="895"/>
      <c r="AH44" s="608" t="str">
        <f t="shared" si="40"/>
        <v/>
      </c>
      <c r="AI44" s="726"/>
      <c r="AJ44" s="726"/>
      <c r="AK44" s="726"/>
      <c r="AL44" s="726"/>
      <c r="AM44" s="726"/>
      <c r="AN44" s="726"/>
      <c r="AO44" s="726"/>
      <c r="AP44" s="726"/>
      <c r="AQ44" s="726"/>
      <c r="AR44" s="726"/>
      <c r="AS44" s="726"/>
      <c r="AT44" s="726"/>
      <c r="AU44" s="577"/>
      <c r="AV44" s="562"/>
      <c r="AW44" s="577"/>
      <c r="AX44" s="516"/>
      <c r="AY44" s="602" t="str">
        <f>$AY$28</f>
        <v>Altered roof construction</v>
      </c>
      <c r="AZ44" s="621"/>
      <c r="BA44" s="621"/>
      <c r="BB44" s="621"/>
      <c r="BC44" s="621"/>
      <c r="BD44" s="621"/>
      <c r="BE44" s="621"/>
      <c r="BF44" s="621"/>
      <c r="BG44" s="621"/>
      <c r="BH44" s="621"/>
      <c r="BI44" s="974" t="s">
        <v>682</v>
      </c>
      <c r="BJ44" s="781"/>
      <c r="BK44" s="990" t="s">
        <v>642</v>
      </c>
      <c r="BL44" s="781"/>
      <c r="BM44" s="1016" t="s">
        <v>646</v>
      </c>
      <c r="BN44" s="794"/>
      <c r="BO44" s="779"/>
      <c r="BP44" s="779"/>
      <c r="BQ44" s="799"/>
      <c r="BR44" s="577"/>
      <c r="BT44" s="577"/>
      <c r="BU44" s="504"/>
      <c r="BV44" s="504"/>
      <c r="BW44" s="504"/>
      <c r="BX44" s="504"/>
      <c r="BY44" s="504"/>
      <c r="BZ44" s="504"/>
      <c r="CA44" s="504"/>
      <c r="CB44" s="504"/>
      <c r="CC44" s="504"/>
      <c r="CD44" s="504"/>
      <c r="CE44" s="504"/>
      <c r="CF44" s="504"/>
      <c r="CG44" s="504"/>
      <c r="CH44" s="577"/>
      <c r="CI44" s="562"/>
      <c r="CJ44" s="577"/>
      <c r="CK44" s="504"/>
      <c r="CL44" s="538" t="str">
        <f>IF(CL43=$IU$59,$IU$60,IV104)</f>
        <v/>
      </c>
      <c r="CM44" s="515"/>
      <c r="CN44" s="515"/>
      <c r="CO44" s="515"/>
      <c r="CP44" s="515"/>
      <c r="CQ44" s="515"/>
      <c r="CR44" s="515"/>
      <c r="CS44" s="515"/>
      <c r="CT44" s="515"/>
      <c r="CU44" s="515"/>
      <c r="CV44" s="515"/>
      <c r="CW44" s="515"/>
      <c r="CX44" s="504"/>
      <c r="CY44" s="515"/>
      <c r="CZ44" s="868"/>
      <c r="DA44" s="869"/>
      <c r="DB44" s="869"/>
      <c r="DC44" s="870"/>
      <c r="DD44" s="577"/>
      <c r="DE44" s="562"/>
      <c r="DF44" s="577"/>
      <c r="DG44" s="504"/>
      <c r="DH44" s="504"/>
      <c r="DI44" s="504"/>
      <c r="DJ44" s="504"/>
      <c r="DK44" s="504"/>
      <c r="DL44" s="504"/>
      <c r="DM44" s="504"/>
      <c r="DN44" s="504"/>
      <c r="DO44" s="504"/>
      <c r="DP44" s="504"/>
      <c r="DQ44" s="504"/>
      <c r="DR44" s="504"/>
      <c r="DS44" s="754"/>
      <c r="DT44" s="754"/>
      <c r="DU44" s="791" t="s">
        <v>736</v>
      </c>
      <c r="DV44" s="820" t="str">
        <f>IF(ISBLANK(DV16),"",SUM(DV22:DV42))</f>
        <v/>
      </c>
      <c r="DW44" s="792" t="str">
        <f t="shared" ref="DW44:DY44" si="91">IF(ISBLANK(DW16),"",SUM(DW22:DW42))</f>
        <v/>
      </c>
      <c r="DX44" s="792" t="str">
        <f t="shared" si="91"/>
        <v/>
      </c>
      <c r="DY44" s="821" t="str">
        <f t="shared" si="91"/>
        <v/>
      </c>
      <c r="DZ44" s="577"/>
      <c r="EA44" s="562"/>
      <c r="EB44" s="577"/>
      <c r="EC44" s="504"/>
      <c r="ED44" s="504"/>
      <c r="EE44" s="504"/>
      <c r="EF44" s="504"/>
      <c r="EG44" s="504"/>
      <c r="EH44" s="504"/>
      <c r="EI44" s="504"/>
      <c r="EJ44" s="504"/>
      <c r="EK44" s="504"/>
      <c r="EL44" s="560" t="str">
        <f>$EL$27</f>
        <v>Description</v>
      </c>
      <c r="EM44" s="969"/>
      <c r="EN44" s="970"/>
      <c r="EO44" s="971"/>
      <c r="EP44" s="577"/>
      <c r="EQ44" s="562"/>
      <c r="ES44" s="543"/>
      <c r="EV44" s="500" t="b">
        <f t="shared" si="41"/>
        <v>0</v>
      </c>
      <c r="EW44" s="500" t="b">
        <f t="shared" si="65"/>
        <v>0</v>
      </c>
      <c r="EX44" s="500" t="b">
        <f t="shared" si="66"/>
        <v>0</v>
      </c>
      <c r="EY44" s="500" t="b">
        <f t="shared" si="42"/>
        <v>0</v>
      </c>
      <c r="EZ44" s="500" t="b">
        <f t="shared" si="43"/>
        <v>0</v>
      </c>
      <c r="FA44" s="500" t="b">
        <f t="shared" si="44"/>
        <v>0</v>
      </c>
      <c r="FB44" s="500" t="b">
        <f t="shared" si="45"/>
        <v>0</v>
      </c>
      <c r="FC44" s="500" t="b">
        <f t="shared" si="67"/>
        <v>0</v>
      </c>
      <c r="FD44" s="500" t="b">
        <f t="shared" si="68"/>
        <v>0</v>
      </c>
      <c r="FE44" s="500" t="b">
        <f t="shared" si="46"/>
        <v>0</v>
      </c>
      <c r="FF44" s="500" t="b">
        <f t="shared" si="47"/>
        <v>0</v>
      </c>
      <c r="FG44" s="500" t="b">
        <f t="shared" si="48"/>
        <v>0</v>
      </c>
      <c r="FI44" s="611">
        <f t="shared" si="49"/>
        <v>0</v>
      </c>
      <c r="FJ44" s="611">
        <f t="shared" si="50"/>
        <v>0</v>
      </c>
      <c r="FK44" s="611">
        <f t="shared" si="69"/>
        <v>0</v>
      </c>
      <c r="FL44" s="612"/>
      <c r="FM44" s="613">
        <f t="shared" si="51"/>
        <v>0</v>
      </c>
      <c r="FN44" s="613">
        <f t="shared" si="52"/>
        <v>0</v>
      </c>
      <c r="FO44" s="613">
        <f t="shared" si="53"/>
        <v>0</v>
      </c>
      <c r="FP44" s="613">
        <f t="shared" si="54"/>
        <v>0</v>
      </c>
      <c r="FQ44" s="613">
        <f t="shared" si="55"/>
        <v>0</v>
      </c>
      <c r="FR44" s="613">
        <f t="shared" si="56"/>
        <v>0</v>
      </c>
      <c r="FS44" s="613">
        <f t="shared" si="57"/>
        <v>0</v>
      </c>
      <c r="FT44" s="613">
        <f t="shared" si="58"/>
        <v>0</v>
      </c>
      <c r="FU44" s="613">
        <f t="shared" si="59"/>
        <v>0</v>
      </c>
      <c r="FV44" s="613">
        <f t="shared" si="60"/>
        <v>0</v>
      </c>
      <c r="FW44" s="613">
        <f t="shared" si="61"/>
        <v>0</v>
      </c>
      <c r="FX44" s="613">
        <f t="shared" si="62"/>
        <v>0</v>
      </c>
      <c r="GE44" s="578" t="s">
        <v>648</v>
      </c>
      <c r="GF44" s="500" t="str">
        <f>$GF$18</f>
        <v>Tiled cover, P/board cathedral ceiling lining u/s rafter - Ventilated, Up: BCA Fig 3.12.1.1(a)</v>
      </c>
      <c r="HD44" s="533"/>
      <c r="HF44" s="534"/>
      <c r="HG44" s="534"/>
      <c r="HH44" s="535"/>
      <c r="HI44" s="863"/>
      <c r="HJ44" s="779"/>
      <c r="HK44" s="779"/>
      <c r="HL44" s="779"/>
      <c r="HM44" s="533"/>
      <c r="HN44" s="830"/>
      <c r="HO44" s="534"/>
      <c r="HP44" s="535"/>
      <c r="II44" s="501" t="s">
        <v>877</v>
      </c>
      <c r="IJ44" s="705">
        <f>IF(IJ42=0,0,IJ42/CC36)</f>
        <v>0</v>
      </c>
      <c r="IL44" s="694" t="s">
        <v>907</v>
      </c>
      <c r="IM44" s="581"/>
      <c r="IN44" s="581"/>
      <c r="IO44" s="581"/>
      <c r="IP44" s="581"/>
      <c r="IQ44" s="581"/>
      <c r="IR44" s="569"/>
      <c r="IT44" s="500"/>
      <c r="IU44" s="695" t="s">
        <v>827</v>
      </c>
      <c r="IV44" s="500" t="str">
        <f>$IT$47</f>
        <v>Cavity, Ext clay masonry, Int clay masonry with render or p/board lining: BCA Fig 3.12.1.3(e)</v>
      </c>
      <c r="JT44" s="533"/>
      <c r="JU44" s="534"/>
      <c r="JV44" s="594" t="b">
        <f>AND($T$52=$ET$50,CW43=$IY$56)</f>
        <v>0</v>
      </c>
      <c r="JW44" s="535"/>
      <c r="JX44" s="526"/>
      <c r="JY44" s="526"/>
      <c r="JZ44" s="526"/>
      <c r="KA44" s="526"/>
      <c r="KB44" s="533"/>
      <c r="KC44" s="534"/>
      <c r="KD44" s="534"/>
      <c r="KE44" s="535"/>
      <c r="KG44" s="500" t="s">
        <v>959</v>
      </c>
      <c r="KH44" s="627" t="str">
        <f>IF(AND($D$65&lt;4,DG22=$KG$14),INDEX(BC_Floor_TimberUp,MATCH(DK22,BC_Floor_EncloseHt,0),MATCH(DO22,BC_Floor_Enclose,0)),IF(AND($D$65&lt;4,DG22=$KG$15),INDEX(BC_Floor_ConcUp,MATCH(DK22,BC_Floor_EncloseHt,0),MATCH(DO22,BC_Floor_Enclose,0)),IF(AND($D$65&gt;3,DG22=$KG$14),INDEX(BC_Floor_TimberDn,MATCH(DK22,BC_Floor_EncloseHt,0),MATCH(DO22,BC_Floor_Enclose,0)),IF(AND($D$65&gt;3,DG22=$KG$15),INDEX(BC_Floor_ConcDn,MATCH(DK22,BC_Floor_EncloseHt,0),MATCH(DO22,BC_Floor_Enclose,0)),$ET$17))))</f>
        <v>Data</v>
      </c>
      <c r="KZ44" s="905"/>
      <c r="LA44" s="622"/>
      <c r="LB44" s="559" t="b">
        <f>AND(DO42&lt;&gt;$ET$55,MID(DK42,1,1)="U")</f>
        <v>0</v>
      </c>
      <c r="LC44" s="622"/>
      <c r="LD44" s="626"/>
      <c r="LE44" s="526"/>
      <c r="LF44" s="526"/>
      <c r="LG44" s="526"/>
      <c r="LH44" s="526"/>
      <c r="LR44" s="500" t="b">
        <f>AND(ISBLANK(EM44),ISNUMBER(EM46))</f>
        <v>0</v>
      </c>
      <c r="LV44" s="563">
        <f t="shared" si="63"/>
        <v>0</v>
      </c>
      <c r="LW44" s="563">
        <f t="shared" si="64"/>
        <v>0</v>
      </c>
      <c r="LY44" s="500">
        <v>6</v>
      </c>
      <c r="LZ44" s="500" t="str">
        <f>$LZ$28</f>
        <v>Suspended</v>
      </c>
      <c r="MA44" s="500" t="str">
        <f>$ET$51</f>
        <v>No</v>
      </c>
      <c r="MB44" s="500" t="str">
        <f t="shared" si="35"/>
        <v>6SuspendedNo</v>
      </c>
      <c r="MC44" s="500"/>
      <c r="MD44" s="500"/>
      <c r="ME44" s="510">
        <v>3.3</v>
      </c>
      <c r="MF44" s="511">
        <v>1.17</v>
      </c>
      <c r="MG44" s="512"/>
      <c r="MH44" s="513"/>
      <c r="MM44" s="543"/>
    </row>
    <row r="45" spans="1:351" ht="11.25" customHeight="1" thickBot="1">
      <c r="A45" s="577"/>
      <c r="B45" s="504"/>
      <c r="C45" s="504"/>
      <c r="D45" s="504"/>
      <c r="E45" s="504"/>
      <c r="F45" s="504"/>
      <c r="G45" s="1049" t="s">
        <v>1057</v>
      </c>
      <c r="H45" s="1049"/>
      <c r="I45" s="1049"/>
      <c r="J45" s="1049"/>
      <c r="K45" s="1049"/>
      <c r="L45" s="1049"/>
      <c r="M45" s="1049"/>
      <c r="N45" s="1049"/>
      <c r="O45" s="1049"/>
      <c r="P45" s="1049"/>
      <c r="Q45" s="1049"/>
      <c r="R45" s="1049"/>
      <c r="S45" s="515"/>
      <c r="T45" s="1082"/>
      <c r="U45" s="577"/>
      <c r="V45" s="562"/>
      <c r="W45" s="577"/>
      <c r="X45" s="847">
        <f>IF(ISBLANK(Calculator!C53),"",Calculator!C53)</f>
        <v>17</v>
      </c>
      <c r="Y45" s="972" t="str">
        <f>IF(ISBLANK(Calculator!D53),"",Calculator!D53)</f>
        <v/>
      </c>
      <c r="Z45" s="973"/>
      <c r="AA45" s="845" t="str">
        <f>IF(ISBLANK(Calculator!G53),"",Calculator!G53)</f>
        <v/>
      </c>
      <c r="AB45" s="846" t="str">
        <f>IF(ISBLANK(Calculator!H53),"",Calculator!H53)</f>
        <v/>
      </c>
      <c r="AC45" s="725"/>
      <c r="AD45" s="725"/>
      <c r="AE45" s="504"/>
      <c r="AF45" s="735"/>
      <c r="AG45" s="895"/>
      <c r="AH45" s="608" t="str">
        <f t="shared" si="40"/>
        <v/>
      </c>
      <c r="AI45" s="726"/>
      <c r="AJ45" s="726"/>
      <c r="AK45" s="726"/>
      <c r="AL45" s="726"/>
      <c r="AM45" s="726"/>
      <c r="AN45" s="726"/>
      <c r="AO45" s="726"/>
      <c r="AP45" s="726"/>
      <c r="AQ45" s="726"/>
      <c r="AR45" s="726"/>
      <c r="AS45" s="726"/>
      <c r="AT45" s="726"/>
      <c r="AU45" s="577"/>
      <c r="AV45" s="562"/>
      <c r="AW45" s="577"/>
      <c r="AX45" s="516"/>
      <c r="AY45" s="516" t="str">
        <f>CONCATENATE("Roof 2A:"," ",$ET$33)</f>
        <v>Roof 2A: Alteration to existing roof</v>
      </c>
      <c r="AZ45" s="516"/>
      <c r="BA45" s="516"/>
      <c r="BB45" s="516"/>
      <c r="BC45" s="516"/>
      <c r="BD45" s="516"/>
      <c r="BE45" s="516"/>
      <c r="BF45" s="516"/>
      <c r="BG45" s="516"/>
      <c r="BH45" s="516"/>
      <c r="BI45" s="974"/>
      <c r="BJ45" s="781"/>
      <c r="BK45" s="990"/>
      <c r="BL45" s="781"/>
      <c r="BM45" s="1016"/>
      <c r="BN45" s="794"/>
      <c r="BO45" s="779"/>
      <c r="BP45" s="779"/>
      <c r="BQ45" s="799"/>
      <c r="BR45" s="577"/>
      <c r="BT45" s="577"/>
      <c r="BU45" s="504"/>
      <c r="BV45" s="504"/>
      <c r="BW45" s="504"/>
      <c r="BX45" s="504"/>
      <c r="BY45" s="504"/>
      <c r="BZ45" s="504"/>
      <c r="CA45" s="504"/>
      <c r="CB45" s="504"/>
      <c r="CC45" s="504"/>
      <c r="CD45" s="504"/>
      <c r="CE45" s="504"/>
      <c r="CF45" s="504"/>
      <c r="CG45" s="504"/>
      <c r="CH45" s="577"/>
      <c r="CI45" s="562"/>
      <c r="CJ45" s="577"/>
      <c r="CK45" s="504"/>
      <c r="CL45" s="504"/>
      <c r="CM45" s="504"/>
      <c r="CN45" s="504"/>
      <c r="CO45" s="504"/>
      <c r="CP45" s="504"/>
      <c r="CQ45" s="504"/>
      <c r="CR45" s="504"/>
      <c r="CS45" s="504"/>
      <c r="CT45" s="504"/>
      <c r="CU45" s="504"/>
      <c r="CV45" s="504"/>
      <c r="CW45" s="504"/>
      <c r="CX45" s="504"/>
      <c r="CY45" s="515"/>
      <c r="CZ45" s="868"/>
      <c r="DA45" s="869"/>
      <c r="DB45" s="869"/>
      <c r="DC45" s="870"/>
      <c r="DD45" s="577"/>
      <c r="DE45" s="562"/>
      <c r="DF45" s="577"/>
      <c r="DG45" s="504"/>
      <c r="DH45" s="504"/>
      <c r="DI45" s="504"/>
      <c r="DJ45" s="504"/>
      <c r="DK45" s="504"/>
      <c r="DL45" s="504"/>
      <c r="DM45" s="504"/>
      <c r="DN45" s="504"/>
      <c r="DO45" s="504"/>
      <c r="DP45" s="504"/>
      <c r="DQ45" s="504"/>
      <c r="DR45" s="504"/>
      <c r="DS45" s="504"/>
      <c r="DT45" s="504"/>
      <c r="DU45" s="504"/>
      <c r="DV45" s="794"/>
      <c r="DW45" s="779"/>
      <c r="DX45" s="779"/>
      <c r="DY45" s="799"/>
      <c r="DZ45" s="577"/>
      <c r="EA45" s="562"/>
      <c r="EB45" s="577"/>
      <c r="EC45" s="516"/>
      <c r="ED45" s="516"/>
      <c r="EE45" s="516"/>
      <c r="EF45" s="516"/>
      <c r="EG45" s="516"/>
      <c r="EH45" s="516"/>
      <c r="EI45" s="516"/>
      <c r="EJ45" s="516"/>
      <c r="EK45" s="516"/>
      <c r="EL45" s="516"/>
      <c r="EM45" s="788"/>
      <c r="EN45" s="516"/>
      <c r="EO45" s="516"/>
      <c r="EP45" s="577"/>
      <c r="EQ45" s="562"/>
      <c r="ES45" s="543"/>
      <c r="EV45" s="500" t="b">
        <f t="shared" si="41"/>
        <v>0</v>
      </c>
      <c r="EW45" s="500" t="b">
        <f t="shared" si="65"/>
        <v>0</v>
      </c>
      <c r="EX45" s="500" t="b">
        <f t="shared" si="66"/>
        <v>0</v>
      </c>
      <c r="EY45" s="500" t="b">
        <f t="shared" si="42"/>
        <v>0</v>
      </c>
      <c r="EZ45" s="500" t="b">
        <f t="shared" si="43"/>
        <v>0</v>
      </c>
      <c r="FA45" s="500" t="b">
        <f t="shared" si="44"/>
        <v>0</v>
      </c>
      <c r="FB45" s="500" t="b">
        <f t="shared" si="45"/>
        <v>0</v>
      </c>
      <c r="FC45" s="500" t="b">
        <f t="shared" si="67"/>
        <v>0</v>
      </c>
      <c r="FD45" s="500" t="b">
        <f t="shared" si="68"/>
        <v>0</v>
      </c>
      <c r="FE45" s="500" t="b">
        <f t="shared" si="46"/>
        <v>0</v>
      </c>
      <c r="FF45" s="500" t="b">
        <f t="shared" si="47"/>
        <v>0</v>
      </c>
      <c r="FG45" s="500" t="b">
        <f t="shared" si="48"/>
        <v>0</v>
      </c>
      <c r="FI45" s="611">
        <f t="shared" si="49"/>
        <v>0</v>
      </c>
      <c r="FJ45" s="611">
        <f t="shared" si="50"/>
        <v>0</v>
      </c>
      <c r="FK45" s="611">
        <f t="shared" si="69"/>
        <v>0</v>
      </c>
      <c r="FL45" s="612"/>
      <c r="FM45" s="613">
        <f t="shared" si="51"/>
        <v>0</v>
      </c>
      <c r="FN45" s="613">
        <f t="shared" si="52"/>
        <v>0</v>
      </c>
      <c r="FO45" s="613">
        <f t="shared" si="53"/>
        <v>0</v>
      </c>
      <c r="FP45" s="613">
        <f t="shared" si="54"/>
        <v>0</v>
      </c>
      <c r="FQ45" s="613">
        <f t="shared" si="55"/>
        <v>0</v>
      </c>
      <c r="FR45" s="613">
        <f t="shared" si="56"/>
        <v>0</v>
      </c>
      <c r="FS45" s="613">
        <f t="shared" si="57"/>
        <v>0</v>
      </c>
      <c r="FT45" s="613">
        <f t="shared" si="58"/>
        <v>0</v>
      </c>
      <c r="FU45" s="613">
        <f t="shared" si="59"/>
        <v>0</v>
      </c>
      <c r="FV45" s="613">
        <f t="shared" si="60"/>
        <v>0</v>
      </c>
      <c r="FW45" s="613">
        <f t="shared" si="61"/>
        <v>0</v>
      </c>
      <c r="FX45" s="613">
        <f t="shared" si="62"/>
        <v>0</v>
      </c>
      <c r="GE45" s="578" t="s">
        <v>650</v>
      </c>
      <c r="GF45" s="500" t="str">
        <f>$GF$20</f>
        <v>Tiled cover, P/board cathedral ceiling lining u/s rafter - Unventilated, Up: BCA Fig 3.12.1.1(a)</v>
      </c>
      <c r="HD45" s="533" t="s">
        <v>651</v>
      </c>
      <c r="HE45" s="534" t="s">
        <v>652</v>
      </c>
      <c r="HF45" s="534" t="s">
        <v>733</v>
      </c>
      <c r="HG45" s="534" t="s">
        <v>734</v>
      </c>
      <c r="HH45" s="535" t="s">
        <v>418</v>
      </c>
      <c r="HI45" s="863"/>
      <c r="HJ45" s="779"/>
      <c r="HK45" s="779"/>
      <c r="HL45" s="779"/>
      <c r="HM45" s="533"/>
      <c r="HN45" s="830"/>
      <c r="HO45" s="534"/>
      <c r="HP45" s="535"/>
      <c r="IL45" s="593" t="b">
        <f>AND(ISBLANK(CC47),OR(ISTEXT(CC49),ISNUMBER(CC52)))</f>
        <v>0</v>
      </c>
      <c r="IM45" s="534"/>
      <c r="IN45" s="534"/>
      <c r="IO45" s="534"/>
      <c r="IP45" s="534"/>
      <c r="IQ45" s="534"/>
      <c r="IR45" s="535"/>
      <c r="IT45" s="500"/>
      <c r="IU45" s="696" t="s">
        <v>853</v>
      </c>
      <c r="IV45" s="500" t="str">
        <f>$IT$41</f>
        <v>Brick veneer, Ext clay masonry, Int frame with p/board internal lining: BCA Fig 3.12.1.3(c)</v>
      </c>
      <c r="JT45" s="533"/>
      <c r="JU45" s="534"/>
      <c r="JV45" s="534"/>
      <c r="JW45" s="535"/>
      <c r="JX45" s="526"/>
      <c r="JY45" s="526"/>
      <c r="JZ45" s="526"/>
      <c r="KA45" s="526"/>
      <c r="KB45" s="533"/>
      <c r="KC45" s="534"/>
      <c r="KD45" s="534"/>
      <c r="KE45" s="535"/>
      <c r="KG45" s="500"/>
      <c r="KZ45" s="534"/>
      <c r="LA45" s="534"/>
      <c r="LB45" s="534"/>
      <c r="LC45" s="578" t="s">
        <v>969</v>
      </c>
      <c r="LD45" s="500">
        <f>COUNTIF(KZ22:LD44,TRUE())</f>
        <v>0</v>
      </c>
      <c r="LE45" s="526"/>
      <c r="LF45" s="526"/>
      <c r="LG45" s="526"/>
      <c r="LH45" s="526"/>
      <c r="LV45" s="563">
        <f t="shared" si="63"/>
        <v>0</v>
      </c>
      <c r="LW45" s="563">
        <f t="shared" si="64"/>
        <v>0</v>
      </c>
      <c r="LY45" s="500">
        <v>6</v>
      </c>
      <c r="LZ45" s="500" t="str">
        <f>$LZ$28</f>
        <v>Suspended</v>
      </c>
      <c r="MA45" s="500" t="str">
        <f>$ET$50</f>
        <v>Yes</v>
      </c>
      <c r="MB45" s="500" t="str">
        <f t="shared" si="35"/>
        <v>6SuspendedYes</v>
      </c>
      <c r="MC45" s="500"/>
      <c r="MD45" s="500"/>
      <c r="ME45" s="510">
        <v>4.13</v>
      </c>
      <c r="MF45" s="511">
        <v>1.17</v>
      </c>
      <c r="MG45" s="512"/>
      <c r="MH45" s="513"/>
      <c r="MM45" s="543"/>
    </row>
    <row r="46" spans="1:351" ht="11.25" customHeight="1" thickBot="1">
      <c r="A46" s="577"/>
      <c r="B46" s="504"/>
      <c r="C46" s="504"/>
      <c r="D46" s="504"/>
      <c r="E46" s="504"/>
      <c r="F46" s="504"/>
      <c r="G46" s="1049"/>
      <c r="H46" s="1049"/>
      <c r="I46" s="1049"/>
      <c r="J46" s="1049"/>
      <c r="K46" s="1049"/>
      <c r="L46" s="1049"/>
      <c r="M46" s="1049"/>
      <c r="N46" s="1049"/>
      <c r="O46" s="1049"/>
      <c r="P46" s="1049"/>
      <c r="Q46" s="1049"/>
      <c r="R46" s="1049"/>
      <c r="S46" s="515"/>
      <c r="T46" s="1082"/>
      <c r="U46" s="577"/>
      <c r="V46" s="562"/>
      <c r="W46" s="577"/>
      <c r="X46" s="847">
        <f>IF(ISBLANK(Calculator!C54),"",Calculator!C54)</f>
        <v>18</v>
      </c>
      <c r="Y46" s="972" t="str">
        <f>IF(ISBLANK(Calculator!D54),"",Calculator!D54)</f>
        <v/>
      </c>
      <c r="Z46" s="973"/>
      <c r="AA46" s="845" t="str">
        <f>IF(ISBLANK(Calculator!G54),"",Calculator!G54)</f>
        <v/>
      </c>
      <c r="AB46" s="846" t="str">
        <f>IF(ISBLANK(Calculator!H54),"",Calculator!H54)</f>
        <v/>
      </c>
      <c r="AC46" s="725"/>
      <c r="AD46" s="725"/>
      <c r="AE46" s="504"/>
      <c r="AF46" s="735"/>
      <c r="AG46" s="895"/>
      <c r="AH46" s="608" t="str">
        <f t="shared" si="40"/>
        <v/>
      </c>
      <c r="AI46" s="726"/>
      <c r="AJ46" s="726"/>
      <c r="AK46" s="726"/>
      <c r="AL46" s="726"/>
      <c r="AM46" s="726"/>
      <c r="AN46" s="726"/>
      <c r="AO46" s="726"/>
      <c r="AP46" s="726"/>
      <c r="AQ46" s="726"/>
      <c r="AR46" s="726"/>
      <c r="AS46" s="726"/>
      <c r="AT46" s="726"/>
      <c r="AU46" s="577"/>
      <c r="AV46" s="562"/>
      <c r="AW46" s="577"/>
      <c r="AX46" s="516"/>
      <c r="AY46" s="516" t="str">
        <f>$AY$30</f>
        <v>Cover</v>
      </c>
      <c r="AZ46" s="516"/>
      <c r="BA46" s="516"/>
      <c r="BB46" s="516" t="str">
        <f>$BB$30</f>
        <v>Ceiling</v>
      </c>
      <c r="BC46" s="516"/>
      <c r="BD46" s="516"/>
      <c r="BE46" s="516"/>
      <c r="BF46" s="516"/>
      <c r="BG46" s="516"/>
      <c r="BH46" s="516"/>
      <c r="BI46" s="975"/>
      <c r="BJ46" s="781"/>
      <c r="BK46" s="975"/>
      <c r="BL46" s="781"/>
      <c r="BM46" s="1016"/>
      <c r="BN46" s="794"/>
      <c r="BO46" s="779"/>
      <c r="BP46" s="779"/>
      <c r="BQ46" s="799"/>
      <c r="BR46" s="577"/>
      <c r="BT46" s="577"/>
      <c r="BU46" s="504"/>
      <c r="BV46" s="504"/>
      <c r="BW46" s="504"/>
      <c r="BX46" s="504"/>
      <c r="BY46" s="504"/>
      <c r="BZ46" s="504"/>
      <c r="CA46" s="504"/>
      <c r="CB46" s="504"/>
      <c r="CC46" s="504"/>
      <c r="CD46" s="504"/>
      <c r="CE46" s="504"/>
      <c r="CF46" s="504"/>
      <c r="CG46" s="504"/>
      <c r="CH46" s="577"/>
      <c r="CI46" s="562"/>
      <c r="CJ46" s="577"/>
      <c r="CK46" s="504"/>
      <c r="CL46" s="504" t="str">
        <f>CONCATENATE("Wall 2B:"," ",$ET$36," ",$ET$30)</f>
        <v>Wall 2B: Alteration to existing wall (second option)</v>
      </c>
      <c r="CM46" s="504"/>
      <c r="CN46" s="504"/>
      <c r="CO46" s="504"/>
      <c r="CP46" s="504"/>
      <c r="CQ46" s="504"/>
      <c r="CR46" s="504"/>
      <c r="CS46" s="504"/>
      <c r="CT46" s="504"/>
      <c r="CU46" s="504"/>
      <c r="CV46" s="504"/>
      <c r="CW46" s="504"/>
      <c r="CX46" s="504"/>
      <c r="CY46" s="515"/>
      <c r="CZ46" s="868"/>
      <c r="DA46" s="869"/>
      <c r="DB46" s="869"/>
      <c r="DC46" s="870"/>
      <c r="DD46" s="577"/>
      <c r="DE46" s="562"/>
      <c r="DF46" s="577"/>
      <c r="DG46" s="504"/>
      <c r="DH46" s="504"/>
      <c r="DI46" s="504"/>
      <c r="DJ46" s="504"/>
      <c r="DK46" s="504"/>
      <c r="DL46" s="504"/>
      <c r="DM46" s="1020" t="s">
        <v>1060</v>
      </c>
      <c r="DN46" s="1020"/>
      <c r="DO46" s="1020"/>
      <c r="DP46" s="1020"/>
      <c r="DQ46" s="1020"/>
      <c r="DR46" s="1020"/>
      <c r="DS46" s="754"/>
      <c r="DT46" s="754"/>
      <c r="DU46" s="819" t="s">
        <v>728</v>
      </c>
      <c r="DV46" s="834" t="str">
        <f>IF(LE50&lt;2,"",IF($LL$43&gt;0,$ET$17,IF(ISERROR(KU28),$ET$17,KU28)))</f>
        <v/>
      </c>
      <c r="DW46" s="835" t="str">
        <f t="shared" ref="DW46:DY46" si="92">IF(LF50&lt;2,"",IF($LL$43&gt;0,$ET$17,IF(ISERROR(KV28),$ET$17,KV28)))</f>
        <v/>
      </c>
      <c r="DX46" s="835" t="str">
        <f t="shared" si="92"/>
        <v/>
      </c>
      <c r="DY46" s="835" t="str">
        <f t="shared" si="92"/>
        <v/>
      </c>
      <c r="DZ46" s="577"/>
      <c r="EA46" s="562"/>
      <c r="EB46" s="577"/>
      <c r="EC46" s="504"/>
      <c r="ED46" s="504"/>
      <c r="EE46" s="504"/>
      <c r="EF46" s="504"/>
      <c r="EG46" s="504"/>
      <c r="EH46" s="504"/>
      <c r="EI46" s="504"/>
      <c r="EJ46" s="504"/>
      <c r="EK46" s="504"/>
      <c r="EL46" s="573" t="str">
        <f>$EL$29</f>
        <v>Aggregate area</v>
      </c>
      <c r="EM46" s="739"/>
      <c r="EN46" s="516" t="s">
        <v>436</v>
      </c>
      <c r="EO46" s="516"/>
      <c r="EP46" s="577"/>
      <c r="EQ46" s="562"/>
      <c r="ES46" s="543"/>
      <c r="EV46" s="500" t="b">
        <f t="shared" si="41"/>
        <v>0</v>
      </c>
      <c r="EW46" s="500" t="b">
        <f t="shared" si="65"/>
        <v>0</v>
      </c>
      <c r="EX46" s="500" t="b">
        <f t="shared" si="66"/>
        <v>0</v>
      </c>
      <c r="EY46" s="500" t="b">
        <f t="shared" si="42"/>
        <v>0</v>
      </c>
      <c r="EZ46" s="500" t="b">
        <f t="shared" si="43"/>
        <v>0</v>
      </c>
      <c r="FA46" s="500" t="b">
        <f t="shared" si="44"/>
        <v>0</v>
      </c>
      <c r="FB46" s="500" t="b">
        <f t="shared" si="45"/>
        <v>0</v>
      </c>
      <c r="FC46" s="500" t="b">
        <f t="shared" si="67"/>
        <v>0</v>
      </c>
      <c r="FD46" s="500" t="b">
        <f t="shared" si="68"/>
        <v>0</v>
      </c>
      <c r="FE46" s="500" t="b">
        <f t="shared" si="46"/>
        <v>0</v>
      </c>
      <c r="FF46" s="500" t="b">
        <f t="shared" si="47"/>
        <v>0</v>
      </c>
      <c r="FG46" s="500" t="b">
        <f t="shared" si="48"/>
        <v>0</v>
      </c>
      <c r="FI46" s="611">
        <f t="shared" si="49"/>
        <v>0</v>
      </c>
      <c r="FJ46" s="611">
        <f t="shared" si="50"/>
        <v>0</v>
      </c>
      <c r="FK46" s="611">
        <f t="shared" si="69"/>
        <v>0</v>
      </c>
      <c r="FL46" s="612"/>
      <c r="FM46" s="613">
        <f t="shared" si="51"/>
        <v>0</v>
      </c>
      <c r="FN46" s="613">
        <f t="shared" si="52"/>
        <v>0</v>
      </c>
      <c r="FO46" s="613">
        <f t="shared" si="53"/>
        <v>0</v>
      </c>
      <c r="FP46" s="613">
        <f t="shared" si="54"/>
        <v>0</v>
      </c>
      <c r="FQ46" s="613">
        <f t="shared" si="55"/>
        <v>0</v>
      </c>
      <c r="FR46" s="613">
        <f t="shared" si="56"/>
        <v>0</v>
      </c>
      <c r="FS46" s="613">
        <f t="shared" si="57"/>
        <v>0</v>
      </c>
      <c r="FT46" s="613">
        <f t="shared" si="58"/>
        <v>0</v>
      </c>
      <c r="FU46" s="613">
        <f t="shared" si="59"/>
        <v>0</v>
      </c>
      <c r="FV46" s="613">
        <f t="shared" si="60"/>
        <v>0</v>
      </c>
      <c r="FW46" s="613">
        <f t="shared" si="61"/>
        <v>0</v>
      </c>
      <c r="FX46" s="613">
        <f t="shared" si="62"/>
        <v>0</v>
      </c>
      <c r="GF46" s="500" t="str">
        <f>$GF$22</f>
        <v>Metal cover, P/board cathedral ceiling lining u/s rafter - Ventilated, Up: BCA Fig 3.12.1.1(a)</v>
      </c>
      <c r="HD46" s="593" t="b">
        <f>AND(ISBLANK(AY47),OR(ISTEXT(BB47),OR(ISTEXT(BI47),ISTEXT(BK47))))</f>
        <v>0</v>
      </c>
      <c r="HE46" s="594" t="b">
        <f>AND(ISBLANK(BB47),OR(ISTEXT(AY47),OR(ISTEXT(BI47),ISTEXT(BK47))))</f>
        <v>0</v>
      </c>
      <c r="HF46" s="594" t="b">
        <f>AND(ISBLANK(BI47),OR(ISTEXT(BB47),OR(ISTEXT(AY47),ISTEXT(BK47))))</f>
        <v>0</v>
      </c>
      <c r="HG46" s="594" t="b">
        <f>AND(ISBLANK(BK47),OR(ISTEXT(BB47),OR(ISTEXT(BI47),ISTEXT(AY47))))</f>
        <v>0</v>
      </c>
      <c r="HH46" s="614" t="b">
        <f>AND(SUM(BN47:BQ47)&gt;0,AND(ISBLANK(AY47),AND(ISBLANK(BB47),AND(ISBLANK(BI47),ISBLANK(BK47)))))</f>
        <v>0</v>
      </c>
      <c r="HI46" s="863">
        <f>IF(BN47&gt;0,1,0)</f>
        <v>0</v>
      </c>
      <c r="HJ46" s="779">
        <f t="shared" ref="HJ46" si="93">IF(BO47&gt;0,1,0)</f>
        <v>0</v>
      </c>
      <c r="HK46" s="779">
        <f t="shared" ref="HK46" si="94">IF(BP47&gt;0,1,0)</f>
        <v>0</v>
      </c>
      <c r="HL46" s="779">
        <f>IF(BQ47&gt;0,1,0)</f>
        <v>0</v>
      </c>
      <c r="HM46" s="593" t="b">
        <f>AND(ISTEXT($BN$20),AND(BN47=0,$HI$66&lt;2))</f>
        <v>0</v>
      </c>
      <c r="HN46" s="594" t="b">
        <f>AND(ISTEXT($BO$20),AND(BO47=0,$HJ$66&lt;2))</f>
        <v>0</v>
      </c>
      <c r="HO46" s="594" t="b">
        <f>AND(ISTEXT($BP$20),AND(BP47=0,$HK$66&lt;2))</f>
        <v>0</v>
      </c>
      <c r="HP46" s="614" t="b">
        <f>AND(ISTEXT($BQ$20),AND(BQ47=0,$HL$66&lt;2))</f>
        <v>0</v>
      </c>
      <c r="IL46" s="533"/>
      <c r="IM46" s="534"/>
      <c r="IN46" s="534"/>
      <c r="IO46" s="534"/>
      <c r="IP46" s="534"/>
      <c r="IQ46" s="534"/>
      <c r="IR46" s="535"/>
      <c r="IU46" s="623" t="str">
        <f>$IU$59</f>
        <v>Adding render and/or cladding to an existing external wall</v>
      </c>
      <c r="JT46" s="533" t="s">
        <v>833</v>
      </c>
      <c r="JU46" s="534"/>
      <c r="JV46" s="534"/>
      <c r="JW46" s="535"/>
      <c r="JX46" s="526"/>
      <c r="JY46" s="526"/>
      <c r="JZ46" s="526"/>
      <c r="KA46" s="526"/>
      <c r="KB46" s="533"/>
      <c r="KC46" s="534"/>
      <c r="KD46" s="534"/>
      <c r="KE46" s="535"/>
      <c r="KG46" s="500" t="s">
        <v>960</v>
      </c>
      <c r="KH46" s="627" t="str">
        <f>IF(AND($D$65&lt;4,DG28=$KG$14),INDEX(BC_Floor_TimberUp,MATCH(DK28,BC_Floor_EncloseHt,0),MATCH(DO28,BC_Floor_Enclose,0)),IF(AND($D$65&lt;4,DG28=$KG$15),INDEX(BC_Floor_ConcUp,MATCH(DK28,BC_Floor_EncloseHt,0),MATCH(DO28,BC_Floor_Enclose,0)),IF(AND($D$65&gt;3,DG28=$KG$14),INDEX(BC_Floor_TimberDn,MATCH(DK28,BC_Floor_EncloseHt,0),MATCH(DO28,BC_Floor_Enclose,0)),IF(AND($D$65&gt;3,DG28=$KG$15),INDEX(BC_Floor_ConcDn,MATCH(DK28,BC_Floor_EncloseHt,0),MATCH(DO28,BC_Floor_Enclose,0)),$ET$17))))</f>
        <v>Data</v>
      </c>
      <c r="KZ46" s="673"/>
      <c r="LA46" s="673"/>
      <c r="LB46" s="673"/>
      <c r="LC46" s="673"/>
      <c r="LD46" s="534"/>
      <c r="LE46" s="526"/>
      <c r="LF46" s="526"/>
      <c r="LG46" s="526"/>
      <c r="LH46" s="526"/>
      <c r="LN46" s="500" t="s">
        <v>1075</v>
      </c>
      <c r="LO46" s="500"/>
      <c r="LP46" s="500">
        <f>EM46</f>
        <v>0</v>
      </c>
      <c r="LR46" s="500" t="b">
        <f>AND(ISBLANK(EM46),ISTEXT(EM44))</f>
        <v>0</v>
      </c>
      <c r="LV46" s="563">
        <f t="shared" si="63"/>
        <v>0</v>
      </c>
      <c r="LW46" s="563">
        <f t="shared" si="64"/>
        <v>0</v>
      </c>
      <c r="ME46" s="509" t="s">
        <v>1091</v>
      </c>
      <c r="MM46" s="543"/>
    </row>
    <row r="47" spans="1:351" ht="11.25" customHeight="1" thickBot="1">
      <c r="A47" s="577"/>
      <c r="B47" s="505"/>
      <c r="C47" s="505"/>
      <c r="D47" s="505"/>
      <c r="E47" s="505"/>
      <c r="F47" s="505"/>
      <c r="G47" s="1097" t="str">
        <f>IF(ISBLANK(Storey),"",Storey)</f>
        <v/>
      </c>
      <c r="H47" s="1097"/>
      <c r="I47" s="506" t="s">
        <v>522</v>
      </c>
      <c r="J47" s="969"/>
      <c r="K47" s="970"/>
      <c r="L47" s="970"/>
      <c r="M47" s="970"/>
      <c r="N47" s="970"/>
      <c r="O47" s="970"/>
      <c r="P47" s="971"/>
      <c r="Q47" s="588"/>
      <c r="R47" s="588"/>
      <c r="S47" s="588"/>
      <c r="T47" s="1022"/>
      <c r="U47" s="577"/>
      <c r="V47" s="562"/>
      <c r="W47" s="577"/>
      <c r="X47" s="847">
        <f>IF(ISBLANK(Calculator!C55),"",Calculator!C55)</f>
        <v>19</v>
      </c>
      <c r="Y47" s="972" t="str">
        <f>IF(ISBLANK(Calculator!D55),"",Calculator!D55)</f>
        <v/>
      </c>
      <c r="Z47" s="973"/>
      <c r="AA47" s="845" t="str">
        <f>IF(ISBLANK(Calculator!G55),"",Calculator!G55)</f>
        <v/>
      </c>
      <c r="AB47" s="846" t="str">
        <f>IF(ISBLANK(Calculator!H55),"",Calculator!H55)</f>
        <v/>
      </c>
      <c r="AC47" s="725"/>
      <c r="AD47" s="725"/>
      <c r="AE47" s="504"/>
      <c r="AF47" s="735"/>
      <c r="AG47" s="895"/>
      <c r="AH47" s="608" t="str">
        <f t="shared" si="40"/>
        <v/>
      </c>
      <c r="AI47" s="726"/>
      <c r="AJ47" s="726"/>
      <c r="AK47" s="726"/>
      <c r="AL47" s="726"/>
      <c r="AM47" s="726"/>
      <c r="AN47" s="726"/>
      <c r="AO47" s="726"/>
      <c r="AP47" s="726"/>
      <c r="AQ47" s="726"/>
      <c r="AR47" s="726"/>
      <c r="AS47" s="726"/>
      <c r="AT47" s="726"/>
      <c r="AU47" s="577"/>
      <c r="AV47" s="562"/>
      <c r="AW47" s="577"/>
      <c r="AX47" s="516"/>
      <c r="AY47" s="976"/>
      <c r="AZ47" s="978"/>
      <c r="BA47" s="518"/>
      <c r="BB47" s="976"/>
      <c r="BC47" s="977"/>
      <c r="BD47" s="977"/>
      <c r="BE47" s="977"/>
      <c r="BF47" s="977"/>
      <c r="BG47" s="978"/>
      <c r="BH47" s="518"/>
      <c r="BI47" s="729"/>
      <c r="BJ47" s="518"/>
      <c r="BK47" s="730"/>
      <c r="BL47" s="589"/>
      <c r="BM47" s="787" t="str">
        <f>IF(GN105=4,"",IF(ISERROR(GF175),ET17,GF175))</f>
        <v/>
      </c>
      <c r="BN47" s="793"/>
      <c r="BO47" s="728"/>
      <c r="BP47" s="728"/>
      <c r="BQ47" s="798"/>
      <c r="BR47" s="577"/>
      <c r="BT47" s="577"/>
      <c r="BU47" s="504"/>
      <c r="BV47" s="504"/>
      <c r="BW47" s="979" t="s">
        <v>908</v>
      </c>
      <c r="BX47" s="979"/>
      <c r="BY47" s="979"/>
      <c r="BZ47" s="979"/>
      <c r="CA47" s="979"/>
      <c r="CB47" s="980"/>
      <c r="CC47" s="912"/>
      <c r="CD47" s="516"/>
      <c r="CE47" s="504"/>
      <c r="CF47" s="504"/>
      <c r="CG47" s="504"/>
      <c r="CH47" s="577"/>
      <c r="CI47" s="562"/>
      <c r="CJ47" s="577"/>
      <c r="CK47" s="504"/>
      <c r="CL47" s="969"/>
      <c r="CM47" s="970"/>
      <c r="CN47" s="970"/>
      <c r="CO47" s="970"/>
      <c r="CP47" s="970"/>
      <c r="CQ47" s="970"/>
      <c r="CR47" s="970"/>
      <c r="CS47" s="970"/>
      <c r="CT47" s="970"/>
      <c r="CU47" s="971"/>
      <c r="CV47" s="609"/>
      <c r="CW47" s="725"/>
      <c r="CX47" s="610"/>
      <c r="CY47" s="904" t="str">
        <f>IF(JC114=2,"",IF(OR(ISERROR(IV141),ISERROR(JU47)),$ET$17,IV141))</f>
        <v/>
      </c>
      <c r="CZ47" s="866"/>
      <c r="DA47" s="725"/>
      <c r="DB47" s="725"/>
      <c r="DC47" s="867"/>
      <c r="DD47" s="577"/>
      <c r="DE47" s="562"/>
      <c r="DF47" s="577"/>
      <c r="DG47" s="504"/>
      <c r="DH47" s="504"/>
      <c r="DI47" s="504"/>
      <c r="DJ47" s="504"/>
      <c r="DK47" s="504"/>
      <c r="DL47" s="504"/>
      <c r="DM47" s="1020"/>
      <c r="DN47" s="1020"/>
      <c r="DO47" s="1020"/>
      <c r="DP47" s="1020"/>
      <c r="DQ47" s="1020"/>
      <c r="DR47" s="1020"/>
      <c r="DS47" s="577"/>
      <c r="DT47" s="577"/>
      <c r="DU47" s="819" t="s">
        <v>739</v>
      </c>
      <c r="DV47" s="1061" t="str">
        <f>IF(LL43&gt;0,$ET$17,IF(ISERROR(KU32),$ET$17,IF(OR(LE50&gt;1,OR(LF50&gt;1,OR(LG50&gt;1,LH50&gt;1))),KU32,"")))</f>
        <v/>
      </c>
      <c r="DW47" s="1081"/>
      <c r="DX47" s="1081"/>
      <c r="DY47" s="1081"/>
      <c r="DZ47" s="577"/>
      <c r="EA47" s="562"/>
      <c r="EB47" s="577"/>
      <c r="EC47" s="504"/>
      <c r="ED47" s="504"/>
      <c r="EE47" s="504"/>
      <c r="EF47" s="504"/>
      <c r="EG47" s="504"/>
      <c r="EH47" s="504"/>
      <c r="EI47" s="504"/>
      <c r="EJ47" s="504"/>
      <c r="EK47" s="504"/>
      <c r="EL47" s="504"/>
      <c r="EM47" s="517"/>
      <c r="EN47" s="516"/>
      <c r="EO47" s="516"/>
      <c r="EP47" s="577"/>
      <c r="EQ47" s="562"/>
      <c r="ES47" s="543"/>
      <c r="EV47" s="500" t="b">
        <f t="shared" si="41"/>
        <v>0</v>
      </c>
      <c r="EW47" s="500" t="b">
        <f t="shared" si="65"/>
        <v>0</v>
      </c>
      <c r="EX47" s="500" t="b">
        <f t="shared" si="66"/>
        <v>0</v>
      </c>
      <c r="EY47" s="500" t="b">
        <f t="shared" si="42"/>
        <v>0</v>
      </c>
      <c r="EZ47" s="500" t="b">
        <f t="shared" si="43"/>
        <v>0</v>
      </c>
      <c r="FA47" s="500" t="b">
        <f t="shared" si="44"/>
        <v>0</v>
      </c>
      <c r="FB47" s="500" t="b">
        <f t="shared" si="45"/>
        <v>0</v>
      </c>
      <c r="FC47" s="500" t="b">
        <f t="shared" si="67"/>
        <v>0</v>
      </c>
      <c r="FD47" s="500" t="b">
        <f t="shared" si="68"/>
        <v>0</v>
      </c>
      <c r="FE47" s="500" t="b">
        <f t="shared" si="46"/>
        <v>0</v>
      </c>
      <c r="FF47" s="500" t="b">
        <f t="shared" si="47"/>
        <v>0</v>
      </c>
      <c r="FG47" s="500" t="b">
        <f t="shared" si="48"/>
        <v>0</v>
      </c>
      <c r="FI47" s="611">
        <f t="shared" si="49"/>
        <v>0</v>
      </c>
      <c r="FJ47" s="611">
        <f t="shared" si="50"/>
        <v>0</v>
      </c>
      <c r="FK47" s="611">
        <f t="shared" si="69"/>
        <v>0</v>
      </c>
      <c r="FL47" s="612"/>
      <c r="FM47" s="613">
        <f t="shared" si="51"/>
        <v>0</v>
      </c>
      <c r="FN47" s="613">
        <f t="shared" si="52"/>
        <v>0</v>
      </c>
      <c r="FO47" s="613">
        <f t="shared" si="53"/>
        <v>0</v>
      </c>
      <c r="FP47" s="613">
        <f t="shared" si="54"/>
        <v>0</v>
      </c>
      <c r="FQ47" s="613">
        <f t="shared" si="55"/>
        <v>0</v>
      </c>
      <c r="FR47" s="613">
        <f t="shared" si="56"/>
        <v>0</v>
      </c>
      <c r="FS47" s="613">
        <f t="shared" si="57"/>
        <v>0</v>
      </c>
      <c r="FT47" s="613">
        <f t="shared" si="58"/>
        <v>0</v>
      </c>
      <c r="FU47" s="613">
        <f t="shared" si="59"/>
        <v>0</v>
      </c>
      <c r="FV47" s="613">
        <f t="shared" si="60"/>
        <v>0</v>
      </c>
      <c r="FW47" s="613">
        <f t="shared" si="61"/>
        <v>0</v>
      </c>
      <c r="FX47" s="613">
        <f t="shared" si="62"/>
        <v>0</v>
      </c>
      <c r="GF47" s="500" t="str">
        <f>$GF$24</f>
        <v>Metal cover, P/board cathedral ceiling lining u/s rafter - Unventilated, Up: BCA Fig 3.12.1.1(a)</v>
      </c>
      <c r="HD47" s="533"/>
      <c r="HE47" s="534"/>
      <c r="HF47" s="594" t="b">
        <f>AND(ISTEXT(BI47),OR(MID(BI47,9,1)&lt;&gt;MID($GF$89,9,1),MID(BI47,9,1)&lt;&gt;MID($GF$90,9,1)))</f>
        <v>0</v>
      </c>
      <c r="HG47" s="616" t="b">
        <f>AND(BK47=$ET$13,OR(MID(AY47,1,3)=$ET$31,MID(BB47,1,3)=$ET$31))</f>
        <v>0</v>
      </c>
      <c r="HH47" s="535"/>
      <c r="HI47" s="863"/>
      <c r="HJ47" s="779"/>
      <c r="HK47" s="779"/>
      <c r="HL47" s="779"/>
      <c r="HM47" s="533"/>
      <c r="HN47" s="830"/>
      <c r="HO47" s="534"/>
      <c r="HP47" s="535"/>
      <c r="IL47" s="593" t="b">
        <f>AND(ISBLANK(CC49),OR(ISTEXT(CC47),ISNUMBER(CC52)))</f>
        <v>0</v>
      </c>
      <c r="IM47" s="534"/>
      <c r="IN47" s="534"/>
      <c r="IO47" s="534"/>
      <c r="IP47" s="534"/>
      <c r="IQ47" s="534"/>
      <c r="IR47" s="535"/>
      <c r="IT47" s="695" t="s">
        <v>835</v>
      </c>
      <c r="IU47" s="695" t="s">
        <v>820</v>
      </c>
      <c r="IV47" s="500" t="str">
        <f>$IT$47</f>
        <v>Cavity, Ext clay masonry, Int clay masonry with render or p/board lining: BCA Fig 3.12.1.3(e)</v>
      </c>
      <c r="JT47" s="593" t="b">
        <f>AND(ISBLANK(CL47),ISNUMBER(CW47))</f>
        <v>0</v>
      </c>
      <c r="JU47" s="702" t="str">
        <f>IF(ISBLANK(CK38),"",IF(AND(ISTEXT(CK38),ISBLANK(CL47)),"",IF($CK$38=$IT$29,MATCH(CL47,BC_WallAlt_WB,0),IF($CK$38=$IT$35,MATCH(CL47,BC_WallAlt_FC,0),IF($CK$38=$IT$41,MATCH(CL47,BC_WallAlt_BV,0),IF($CK$38=$IT$47,MATCH(CL47,BC_WallAlt_C,0),MATCH(CL47,BC_WallAlt_RBV,0)))))))</f>
        <v/>
      </c>
      <c r="JV47" s="594" t="b">
        <f>AND(ISBLANK(CW47),ISTEXT(CL47))</f>
        <v>0</v>
      </c>
      <c r="JW47" s="614" t="b">
        <f>AND(SUM(CZ47:DC47)&gt;0,AND(ISBLANK(CL47),ISBLANK(CW47)))</f>
        <v>0</v>
      </c>
      <c r="JX47" s="526">
        <f>IF(CZ47&gt;0,1,0)</f>
        <v>0</v>
      </c>
      <c r="JY47" s="526">
        <f t="shared" ref="JY47" si="95">IF(DA47&gt;0,1,0)</f>
        <v>0</v>
      </c>
      <c r="JZ47" s="526">
        <f t="shared" ref="JZ47" si="96">IF(DB47&gt;0,1,0)</f>
        <v>0</v>
      </c>
      <c r="KA47" s="526">
        <f t="shared" ref="KA47" si="97">IF(DC47&gt;0,1,0)</f>
        <v>0</v>
      </c>
      <c r="KB47" s="593" t="b">
        <f>AND(ISTEXT($CZ$17),AND(CZ47=0,$JX$65&lt;2))</f>
        <v>0</v>
      </c>
      <c r="KC47" s="594" t="b">
        <f>AND(ISTEXT($DA$17),AND(DA47=0,$JY$65&lt;2))</f>
        <v>0</v>
      </c>
      <c r="KD47" s="594" t="b">
        <f>AND(ISTEXT($DB$17),AND(DB47=0,$JZ$65&lt;2))</f>
        <v>0</v>
      </c>
      <c r="KE47" s="614" t="b">
        <f>AND(ISTEXT($DC$17),AND(DC47=0,$KA$65&lt;2))</f>
        <v>0</v>
      </c>
      <c r="KG47" s="500"/>
      <c r="KZ47" s="673"/>
      <c r="LA47" s="673"/>
      <c r="LB47" s="673"/>
      <c r="LC47" s="673"/>
      <c r="LD47" s="534"/>
      <c r="LE47" s="526"/>
      <c r="LF47" s="526"/>
      <c r="LG47" s="526"/>
      <c r="LH47" s="526"/>
      <c r="LN47" s="500"/>
      <c r="LO47" s="500"/>
      <c r="LP47" s="500"/>
      <c r="LV47" s="563">
        <f t="shared" si="63"/>
        <v>0</v>
      </c>
      <c r="LW47" s="563">
        <f t="shared" si="64"/>
        <v>0</v>
      </c>
      <c r="MM47" s="543"/>
    </row>
    <row r="48" spans="1:351" ht="11.25" customHeight="1" thickBot="1">
      <c r="A48" s="577"/>
      <c r="B48" s="504"/>
      <c r="C48" s="504"/>
      <c r="D48" s="504"/>
      <c r="E48" s="504"/>
      <c r="F48" s="504"/>
      <c r="G48" s="504"/>
      <c r="H48" s="504"/>
      <c r="I48" s="504"/>
      <c r="J48" s="504"/>
      <c r="K48" s="504"/>
      <c r="L48" s="504"/>
      <c r="M48" s="504"/>
      <c r="N48" s="504"/>
      <c r="O48" s="504"/>
      <c r="P48" s="504"/>
      <c r="Q48" s="504"/>
      <c r="R48" s="504"/>
      <c r="S48" s="504"/>
      <c r="T48" s="504"/>
      <c r="U48" s="577"/>
      <c r="V48" s="562"/>
      <c r="W48" s="577"/>
      <c r="X48" s="847">
        <f>IF(ISBLANK(Calculator!C56),"",Calculator!C56)</f>
        <v>20</v>
      </c>
      <c r="Y48" s="972" t="str">
        <f>IF(ISBLANK(Calculator!D56),"",Calculator!D56)</f>
        <v/>
      </c>
      <c r="Z48" s="973"/>
      <c r="AA48" s="845" t="str">
        <f>IF(ISBLANK(Calculator!G56),"",Calculator!G56)</f>
        <v/>
      </c>
      <c r="AB48" s="846" t="str">
        <f>IF(ISBLANK(Calculator!H56),"",Calculator!H56)</f>
        <v/>
      </c>
      <c r="AC48" s="725"/>
      <c r="AD48" s="725"/>
      <c r="AE48" s="504"/>
      <c r="AF48" s="735"/>
      <c r="AG48" s="895"/>
      <c r="AH48" s="608" t="str">
        <f t="shared" si="40"/>
        <v/>
      </c>
      <c r="AI48" s="726"/>
      <c r="AJ48" s="726"/>
      <c r="AK48" s="726"/>
      <c r="AL48" s="726"/>
      <c r="AM48" s="726"/>
      <c r="AN48" s="726"/>
      <c r="AO48" s="726"/>
      <c r="AP48" s="726"/>
      <c r="AQ48" s="726"/>
      <c r="AR48" s="726"/>
      <c r="AS48" s="726"/>
      <c r="AT48" s="726"/>
      <c r="AU48" s="577"/>
      <c r="AV48" s="562"/>
      <c r="AW48" s="577"/>
      <c r="AX48" s="516"/>
      <c r="AY48" s="521" t="str">
        <f>IF(OR(ISBLANK(AX42),ISBLANK(AY47)),"",IF(AND(AY47=$ET$13,BB47=$ET$13),CONCATENATE($AX$42," R",INDEX(BC_RoofValues,MATCH($AX$42,BC_RoofConst,0),8)),IF(AND(AY47=$ET$13,MID(BB47,1,3)=$ET$31),GF135,IF(AND(MID(AY47,1,3)=$ET$31,BB47=$ET$13),GF136,IF(AND(MID(AY47,1,3)=$ET$31,MID(BB47,1,3)=$ET$31),GF137,$ET$17)))))</f>
        <v/>
      </c>
      <c r="AZ48" s="515"/>
      <c r="BA48" s="515"/>
      <c r="BB48" s="515"/>
      <c r="BC48" s="515"/>
      <c r="BD48" s="515"/>
      <c r="BE48" s="515"/>
      <c r="BF48" s="515"/>
      <c r="BG48" s="515"/>
      <c r="BH48" s="515"/>
      <c r="BI48" s="522"/>
      <c r="BJ48" s="515"/>
      <c r="BK48" s="522"/>
      <c r="BL48" s="599"/>
      <c r="BM48" s="523"/>
      <c r="BN48" s="794"/>
      <c r="BO48" s="779"/>
      <c r="BP48" s="779"/>
      <c r="BQ48" s="799"/>
      <c r="BR48" s="577"/>
      <c r="BT48" s="577"/>
      <c r="BU48" s="504"/>
      <c r="BV48" s="504"/>
      <c r="BW48" s="504"/>
      <c r="BX48" s="504"/>
      <c r="BY48" s="504"/>
      <c r="BZ48" s="504"/>
      <c r="CA48" s="504"/>
      <c r="CB48" s="504"/>
      <c r="CC48" s="575"/>
      <c r="CD48" s="504"/>
      <c r="CE48" s="504"/>
      <c r="CF48" s="504"/>
      <c r="CG48" s="504"/>
      <c r="CH48" s="577"/>
      <c r="CI48" s="562"/>
      <c r="CJ48" s="577"/>
      <c r="CK48" s="504"/>
      <c r="CL48" s="538" t="str">
        <f>IF(CL47=$IU$59,$IU$60,IV122)</f>
        <v/>
      </c>
      <c r="CM48" s="515"/>
      <c r="CN48" s="515"/>
      <c r="CO48" s="515"/>
      <c r="CP48" s="515"/>
      <c r="CQ48" s="515"/>
      <c r="CR48" s="515"/>
      <c r="CS48" s="515"/>
      <c r="CT48" s="515"/>
      <c r="CU48" s="515"/>
      <c r="CV48" s="515"/>
      <c r="CW48" s="515"/>
      <c r="CX48" s="504"/>
      <c r="CY48" s="504"/>
      <c r="CZ48" s="868"/>
      <c r="DA48" s="869"/>
      <c r="DB48" s="869"/>
      <c r="DC48" s="870"/>
      <c r="DD48" s="577"/>
      <c r="DE48" s="562"/>
      <c r="DF48" s="577"/>
      <c r="DG48" s="504"/>
      <c r="DH48" s="504"/>
      <c r="DI48" s="504"/>
      <c r="DJ48" s="504"/>
      <c r="DK48" s="504"/>
      <c r="DL48" s="504"/>
      <c r="DM48" s="504"/>
      <c r="DN48" s="504"/>
      <c r="DO48" s="504"/>
      <c r="DP48" s="504"/>
      <c r="DQ48" s="504"/>
      <c r="DR48" s="504"/>
      <c r="DS48" s="504"/>
      <c r="DT48" s="504"/>
      <c r="DU48" s="504"/>
      <c r="DV48" s="504"/>
      <c r="DW48" s="504"/>
      <c r="DX48" s="504"/>
      <c r="DY48" s="504"/>
      <c r="DZ48" s="577"/>
      <c r="EA48" s="562"/>
      <c r="EB48" s="577"/>
      <c r="EC48" s="504"/>
      <c r="ED48" s="504"/>
      <c r="EE48" s="504"/>
      <c r="EF48" s="504"/>
      <c r="EG48" s="504"/>
      <c r="EH48" s="504"/>
      <c r="EI48" s="504"/>
      <c r="EJ48" s="628"/>
      <c r="EK48" s="628"/>
      <c r="EL48" s="789" t="str">
        <f>$EL$22</f>
        <v>MAXIMUM total wattage</v>
      </c>
      <c r="EM48" s="783" t="str">
        <f>IF(OR(ISBLANK(EM44),ISBLANK(EM46)),"",LP48)</f>
        <v/>
      </c>
      <c r="EN48" s="516"/>
      <c r="EO48" s="516"/>
      <c r="EP48" s="577"/>
      <c r="EQ48" s="562"/>
      <c r="ES48" s="543"/>
      <c r="ET48" s="536" t="s">
        <v>389</v>
      </c>
      <c r="EV48" s="500" t="b">
        <f t="shared" si="41"/>
        <v>0</v>
      </c>
      <c r="EW48" s="500" t="b">
        <f t="shared" si="65"/>
        <v>0</v>
      </c>
      <c r="EX48" s="500" t="b">
        <f t="shared" si="66"/>
        <v>0</v>
      </c>
      <c r="EY48" s="500" t="b">
        <f t="shared" si="42"/>
        <v>0</v>
      </c>
      <c r="EZ48" s="500" t="b">
        <f t="shared" si="43"/>
        <v>0</v>
      </c>
      <c r="FA48" s="500" t="b">
        <f t="shared" si="44"/>
        <v>0</v>
      </c>
      <c r="FB48" s="500" t="b">
        <f t="shared" si="45"/>
        <v>0</v>
      </c>
      <c r="FC48" s="500" t="b">
        <f t="shared" si="67"/>
        <v>0</v>
      </c>
      <c r="FD48" s="500" t="b">
        <f t="shared" si="68"/>
        <v>0</v>
      </c>
      <c r="FE48" s="500" t="b">
        <f t="shared" si="46"/>
        <v>0</v>
      </c>
      <c r="FF48" s="500" t="b">
        <f t="shared" si="47"/>
        <v>0</v>
      </c>
      <c r="FG48" s="500" t="b">
        <f t="shared" si="48"/>
        <v>0</v>
      </c>
      <c r="FI48" s="611">
        <f t="shared" si="49"/>
        <v>0</v>
      </c>
      <c r="FJ48" s="611">
        <f t="shared" si="50"/>
        <v>0</v>
      </c>
      <c r="FK48" s="611">
        <f t="shared" si="69"/>
        <v>0</v>
      </c>
      <c r="FL48" s="612"/>
      <c r="FM48" s="613">
        <f t="shared" si="51"/>
        <v>0</v>
      </c>
      <c r="FN48" s="613">
        <f t="shared" si="52"/>
        <v>0</v>
      </c>
      <c r="FO48" s="613">
        <f t="shared" si="53"/>
        <v>0</v>
      </c>
      <c r="FP48" s="613">
        <f t="shared" si="54"/>
        <v>0</v>
      </c>
      <c r="FQ48" s="613">
        <f t="shared" si="55"/>
        <v>0</v>
      </c>
      <c r="FR48" s="613">
        <f t="shared" si="56"/>
        <v>0</v>
      </c>
      <c r="FS48" s="613">
        <f t="shared" si="57"/>
        <v>0</v>
      </c>
      <c r="FT48" s="613">
        <f t="shared" si="58"/>
        <v>0</v>
      </c>
      <c r="FU48" s="613">
        <f t="shared" si="59"/>
        <v>0</v>
      </c>
      <c r="FV48" s="613">
        <f t="shared" si="60"/>
        <v>0</v>
      </c>
      <c r="FW48" s="613">
        <f t="shared" si="61"/>
        <v>0</v>
      </c>
      <c r="FX48" s="613">
        <f t="shared" si="62"/>
        <v>0</v>
      </c>
      <c r="GF48" s="500" t="str">
        <f>$GF$26</f>
        <v>Tiled cover, P/board cathedral exposed rafter ceiling - Ventilated, Up: BCA Fig 3.12.1.1(b)</v>
      </c>
      <c r="HD48" s="533"/>
      <c r="HE48" s="534"/>
      <c r="HF48" s="616" t="b">
        <f>IF(ISBLANK(BI47),FALSE(),MID(AX42,FIND(":",AX42,1)-2,1)&lt;&gt;MID(BI47,9,1))</f>
        <v>0</v>
      </c>
      <c r="HG48" s="616" t="b">
        <f>AND(BK47&lt;&gt;$GG$72,AND(AY47=$ET$13,MID(BB47,1,3)=$ET$31))</f>
        <v>0</v>
      </c>
      <c r="HH48" s="535"/>
      <c r="HI48" s="863"/>
      <c r="HJ48" s="779"/>
      <c r="HK48" s="779"/>
      <c r="HL48" s="779"/>
      <c r="HM48" s="533"/>
      <c r="HN48" s="830"/>
      <c r="HO48" s="534"/>
      <c r="HP48" s="535"/>
      <c r="IL48" s="533"/>
      <c r="IM48" s="534"/>
      <c r="IN48" s="534"/>
      <c r="IO48" s="534"/>
      <c r="IP48" s="534"/>
      <c r="IQ48" s="534"/>
      <c r="IR48" s="535"/>
      <c r="IT48" s="500"/>
      <c r="IU48" s="695" t="s">
        <v>821</v>
      </c>
      <c r="IV48" s="500" t="str">
        <f>$IT$52</f>
        <v>R/b veneer, Clad ext frame, Int clay masonry with render or p/board lining: BCA Fig 3.12.1.3(f)</v>
      </c>
      <c r="JT48" s="533"/>
      <c r="JU48" s="534"/>
      <c r="JV48" s="594" t="b">
        <f>AND($T$52=$ET$50,CW47=$IY$56)</f>
        <v>0</v>
      </c>
      <c r="JW48" s="535"/>
      <c r="JX48" s="526"/>
      <c r="JY48" s="526"/>
      <c r="JZ48" s="526"/>
      <c r="KA48" s="526"/>
      <c r="KB48" s="533"/>
      <c r="KC48" s="534"/>
      <c r="KD48" s="534"/>
      <c r="KE48" s="535"/>
      <c r="KG48" s="500" t="s">
        <v>961</v>
      </c>
      <c r="KH48" s="928" t="str">
        <f>IF(AND($D$65&lt;4,DG36=$KG$14),INDEX(BC_Floor_TimberUp,MATCH(DK36,BC_Floor_EncloseHt,0),MATCH(DO36,BC_Floor_Enclose,0)),IF(AND($D$65&lt;4,DG36=$KG$15),INDEX(BC_Floor_ConcUp,MATCH(DK36,BC_Floor_EncloseHt,0),MATCH(DO36,BC_Floor_Enclose,0)),IF(AND($D$65&gt;3,DG36=$KG$14),INDEX(BC_Floor_TimberDn,MATCH(DK36,BC_Floor_EncloseHt,0),MATCH(DO36,BC_Floor_Enclose,0)),IF(AND($D$65&gt;3,DG36=$KG$15),INDEX(BC_Floor_ConcDn,MATCH(DK36,BC_Floor_EncloseHt,0),MATCH(DO36,BC_Floor_Enclose,0)),$ET$17))))</f>
        <v>Data</v>
      </c>
      <c r="KI48" s="929" t="e">
        <f>INDEX(BC_FloorR,MATCH($D$65,$KG$60:$KG$64,0),1)</f>
        <v>#N/A</v>
      </c>
      <c r="KJ48" s="930" t="s">
        <v>1126</v>
      </c>
      <c r="LD48" s="578" t="s">
        <v>1083</v>
      </c>
      <c r="LE48" s="526">
        <f>SUM(LE22:LE35)</f>
        <v>0</v>
      </c>
      <c r="LF48" s="526">
        <f>SUM(LF22:LF35)</f>
        <v>0</v>
      </c>
      <c r="LG48" s="526">
        <f>SUM(LG22:LG35)</f>
        <v>0</v>
      </c>
      <c r="LH48" s="526">
        <f>SUM(LH22:LH35)</f>
        <v>0</v>
      </c>
      <c r="LN48" s="584">
        <v>3</v>
      </c>
      <c r="LO48" s="500" t="s">
        <v>496</v>
      </c>
      <c r="LP48" s="500">
        <f>LP46*$LN$48</f>
        <v>0</v>
      </c>
      <c r="LV48" s="563">
        <f t="shared" si="63"/>
        <v>0</v>
      </c>
      <c r="LW48" s="563">
        <f t="shared" si="64"/>
        <v>0</v>
      </c>
      <c r="LZ48" s="509" t="s">
        <v>602</v>
      </c>
      <c r="MM48" s="543"/>
    </row>
    <row r="49" spans="1:351" ht="11.25" customHeight="1" thickBot="1">
      <c r="A49" s="577"/>
      <c r="B49" s="504" t="s">
        <v>547</v>
      </c>
      <c r="C49" s="504"/>
      <c r="D49" s="516"/>
      <c r="E49" s="516"/>
      <c r="F49" s="516"/>
      <c r="G49" s="505" t="s">
        <v>980</v>
      </c>
      <c r="H49" s="590"/>
      <c r="I49" s="590"/>
      <c r="J49" s="590"/>
      <c r="K49" s="590"/>
      <c r="L49" s="590"/>
      <c r="M49" s="590"/>
      <c r="N49" s="590"/>
      <c r="O49" s="505"/>
      <c r="P49" s="505"/>
      <c r="Q49" s="505"/>
      <c r="R49" s="505"/>
      <c r="S49" s="719"/>
      <c r="T49" s="722"/>
      <c r="U49" s="577"/>
      <c r="V49" s="562"/>
      <c r="W49" s="577"/>
      <c r="X49" s="847">
        <f>IF(ISBLANK(Calculator!C57),"",Calculator!C57)</f>
        <v>21</v>
      </c>
      <c r="Y49" s="972" t="str">
        <f>IF(ISBLANK(Calculator!D57),"",Calculator!D57)</f>
        <v/>
      </c>
      <c r="Z49" s="973"/>
      <c r="AA49" s="845" t="str">
        <f>IF(ISBLANK(Calculator!G57),"",Calculator!G57)</f>
        <v/>
      </c>
      <c r="AB49" s="846" t="str">
        <f>IF(ISBLANK(Calculator!H57),"",Calculator!H57)</f>
        <v/>
      </c>
      <c r="AC49" s="725"/>
      <c r="AD49" s="725"/>
      <c r="AE49" s="504"/>
      <c r="AF49" s="735"/>
      <c r="AG49" s="895"/>
      <c r="AH49" s="608" t="str">
        <f t="shared" si="40"/>
        <v/>
      </c>
      <c r="AI49" s="726"/>
      <c r="AJ49" s="726"/>
      <c r="AK49" s="726"/>
      <c r="AL49" s="726"/>
      <c r="AM49" s="726"/>
      <c r="AN49" s="726"/>
      <c r="AO49" s="726"/>
      <c r="AP49" s="726"/>
      <c r="AQ49" s="726"/>
      <c r="AR49" s="726"/>
      <c r="AS49" s="726"/>
      <c r="AT49" s="726"/>
      <c r="AU49" s="577"/>
      <c r="AV49" s="562"/>
      <c r="AW49" s="577"/>
      <c r="AX49" s="516"/>
      <c r="AY49" s="516"/>
      <c r="AZ49" s="516"/>
      <c r="BA49" s="516"/>
      <c r="BB49" s="516"/>
      <c r="BC49" s="516"/>
      <c r="BD49" s="516"/>
      <c r="BE49" s="516"/>
      <c r="BF49" s="516"/>
      <c r="BG49" s="516"/>
      <c r="BH49" s="516"/>
      <c r="BI49" s="516"/>
      <c r="BJ49" s="516"/>
      <c r="BK49" s="516"/>
      <c r="BL49" s="516"/>
      <c r="BM49" s="621"/>
      <c r="BN49" s="794"/>
      <c r="BO49" s="779"/>
      <c r="BP49" s="779"/>
      <c r="BQ49" s="799"/>
      <c r="BR49" s="577"/>
      <c r="BT49" s="577"/>
      <c r="BU49" s="504"/>
      <c r="BV49" s="504"/>
      <c r="BW49" s="967" t="s">
        <v>1101</v>
      </c>
      <c r="BX49" s="967"/>
      <c r="BY49" s="967"/>
      <c r="BZ49" s="967"/>
      <c r="CA49" s="967"/>
      <c r="CB49" s="968"/>
      <c r="CC49" s="969"/>
      <c r="CD49" s="970"/>
      <c r="CE49" s="970"/>
      <c r="CF49" s="970"/>
      <c r="CG49" s="971"/>
      <c r="CH49" s="577"/>
      <c r="CI49" s="562"/>
      <c r="CJ49" s="577"/>
      <c r="CK49" s="504"/>
      <c r="CL49" s="504"/>
      <c r="CM49" s="504"/>
      <c r="CN49" s="504"/>
      <c r="CO49" s="504"/>
      <c r="CP49" s="504"/>
      <c r="CQ49" s="504"/>
      <c r="CR49" s="504"/>
      <c r="CS49" s="504"/>
      <c r="CT49" s="504"/>
      <c r="CU49" s="504"/>
      <c r="CV49" s="504"/>
      <c r="CW49" s="504"/>
      <c r="CX49" s="504"/>
      <c r="CY49" s="504"/>
      <c r="CZ49" s="868"/>
      <c r="DA49" s="869"/>
      <c r="DB49" s="869"/>
      <c r="DC49" s="870"/>
      <c r="DD49" s="577"/>
      <c r="DE49" s="562"/>
      <c r="DF49" s="577"/>
      <c r="DG49" s="504"/>
      <c r="DH49" s="504"/>
      <c r="DI49" s="504"/>
      <c r="DJ49" s="504"/>
      <c r="DK49" s="504"/>
      <c r="DL49" s="504"/>
      <c r="DM49" s="504"/>
      <c r="DN49" s="504"/>
      <c r="DO49" s="504"/>
      <c r="DP49" s="504"/>
      <c r="DQ49" s="504"/>
      <c r="DR49" s="504"/>
      <c r="DS49" s="504"/>
      <c r="DT49" s="504"/>
      <c r="DU49" s="504"/>
      <c r="DV49" s="504"/>
      <c r="DW49" s="504"/>
      <c r="DX49" s="504"/>
      <c r="DY49" s="504"/>
      <c r="DZ49" s="577"/>
      <c r="EA49" s="562"/>
      <c r="EB49" s="577"/>
      <c r="EC49" s="504"/>
      <c r="ED49" s="504"/>
      <c r="EE49" s="504"/>
      <c r="EF49" s="504"/>
      <c r="EG49" s="504"/>
      <c r="EH49" s="504"/>
      <c r="EI49" s="504"/>
      <c r="EJ49" s="504"/>
      <c r="EK49" s="504"/>
      <c r="EL49" s="504"/>
      <c r="EM49" s="517"/>
      <c r="EN49" s="516"/>
      <c r="EO49" s="516"/>
      <c r="EP49" s="577"/>
      <c r="EQ49" s="562"/>
      <c r="ES49" s="543"/>
      <c r="ET49" s="536" t="s">
        <v>1005</v>
      </c>
      <c r="EV49" s="500" t="b">
        <f t="shared" si="41"/>
        <v>0</v>
      </c>
      <c r="EW49" s="500" t="b">
        <f t="shared" si="65"/>
        <v>0</v>
      </c>
      <c r="EX49" s="500" t="b">
        <f t="shared" si="66"/>
        <v>0</v>
      </c>
      <c r="EY49" s="500" t="b">
        <f t="shared" si="42"/>
        <v>0</v>
      </c>
      <c r="EZ49" s="500" t="b">
        <f t="shared" si="43"/>
        <v>0</v>
      </c>
      <c r="FA49" s="500" t="b">
        <f t="shared" si="44"/>
        <v>0</v>
      </c>
      <c r="FB49" s="500" t="b">
        <f t="shared" si="45"/>
        <v>0</v>
      </c>
      <c r="FC49" s="500" t="b">
        <f t="shared" si="67"/>
        <v>0</v>
      </c>
      <c r="FD49" s="500" t="b">
        <f t="shared" si="68"/>
        <v>0</v>
      </c>
      <c r="FE49" s="500" t="b">
        <f t="shared" si="46"/>
        <v>0</v>
      </c>
      <c r="FF49" s="500" t="b">
        <f t="shared" si="47"/>
        <v>0</v>
      </c>
      <c r="FG49" s="500" t="b">
        <f t="shared" si="48"/>
        <v>0</v>
      </c>
      <c r="FI49" s="611">
        <f t="shared" si="49"/>
        <v>0</v>
      </c>
      <c r="FJ49" s="611">
        <f t="shared" si="50"/>
        <v>0</v>
      </c>
      <c r="FK49" s="611">
        <f t="shared" si="69"/>
        <v>0</v>
      </c>
      <c r="FL49" s="612"/>
      <c r="FM49" s="613">
        <f t="shared" si="51"/>
        <v>0</v>
      </c>
      <c r="FN49" s="613">
        <f t="shared" si="52"/>
        <v>0</v>
      </c>
      <c r="FO49" s="613">
        <f t="shared" si="53"/>
        <v>0</v>
      </c>
      <c r="FP49" s="613">
        <f t="shared" si="54"/>
        <v>0</v>
      </c>
      <c r="FQ49" s="613">
        <f t="shared" si="55"/>
        <v>0</v>
      </c>
      <c r="FR49" s="613">
        <f t="shared" si="56"/>
        <v>0</v>
      </c>
      <c r="FS49" s="613">
        <f t="shared" si="57"/>
        <v>0</v>
      </c>
      <c r="FT49" s="613">
        <f t="shared" si="58"/>
        <v>0</v>
      </c>
      <c r="FU49" s="613">
        <f t="shared" si="59"/>
        <v>0</v>
      </c>
      <c r="FV49" s="613">
        <f t="shared" si="60"/>
        <v>0</v>
      </c>
      <c r="FW49" s="613">
        <f t="shared" si="61"/>
        <v>0</v>
      </c>
      <c r="FX49" s="613">
        <f t="shared" si="62"/>
        <v>0</v>
      </c>
      <c r="GF49" s="500" t="str">
        <f>$GF$28</f>
        <v>Tiled cover, P/board cathedral exposed rafter ceiling - Unventilated, Up: BCA Fig 3.12.1.1(b)</v>
      </c>
      <c r="HD49" s="533"/>
      <c r="HE49" s="534"/>
      <c r="HF49" s="534"/>
      <c r="HG49" s="616" t="b">
        <f>AND(BK47&lt;&gt;$ET$13,AND(AY47=$ET$13,BB47=$ET$13))</f>
        <v>0</v>
      </c>
      <c r="HH49" s="535"/>
      <c r="HI49" s="863"/>
      <c r="HJ49" s="779"/>
      <c r="HK49" s="779"/>
      <c r="HL49" s="779"/>
      <c r="HM49" s="533"/>
      <c r="HN49" s="830"/>
      <c r="HO49" s="534"/>
      <c r="HP49" s="535"/>
      <c r="IL49" s="533"/>
      <c r="IM49" s="534"/>
      <c r="IN49" s="534"/>
      <c r="IO49" s="534"/>
      <c r="IP49" s="534"/>
      <c r="IQ49" s="534"/>
      <c r="IR49" s="535"/>
      <c r="IT49" s="500"/>
      <c r="IU49" s="500" t="s">
        <v>827</v>
      </c>
      <c r="IV49" s="500" t="str">
        <f>$IT$47</f>
        <v>Cavity, Ext clay masonry, Int clay masonry with render or p/board lining: BCA Fig 3.12.1.3(e)</v>
      </c>
      <c r="JT49" s="533"/>
      <c r="JU49" s="534"/>
      <c r="JV49" s="534"/>
      <c r="JW49" s="535"/>
      <c r="JX49" s="526"/>
      <c r="JY49" s="526"/>
      <c r="JZ49" s="526"/>
      <c r="KA49" s="526"/>
      <c r="KB49" s="533"/>
      <c r="KC49" s="534"/>
      <c r="KD49" s="534"/>
      <c r="KE49" s="535"/>
      <c r="KG49" s="500"/>
      <c r="KJ49" s="543"/>
      <c r="LD49" s="578" t="s">
        <v>1030</v>
      </c>
      <c r="LE49" s="526">
        <f>LE36</f>
        <v>0</v>
      </c>
      <c r="LF49" s="526">
        <f>LF36</f>
        <v>0</v>
      </c>
      <c r="LG49" s="526">
        <f>LG36</f>
        <v>0</v>
      </c>
      <c r="LH49" s="526">
        <f>LH36</f>
        <v>0</v>
      </c>
      <c r="LN49" s="500"/>
      <c r="LO49" s="500"/>
      <c r="LP49" s="500"/>
      <c r="LV49" s="563">
        <f t="shared" si="63"/>
        <v>0</v>
      </c>
      <c r="LW49" s="563">
        <f t="shared" si="64"/>
        <v>0</v>
      </c>
      <c r="LY49" s="578" t="s">
        <v>603</v>
      </c>
      <c r="LZ49" s="500" t="str">
        <f>CONCATENATE(D65,LZ26,IF(Calculator!$H$29=$LZ$53,$ET$51,$ET$50))</f>
        <v>DataDirectYes</v>
      </c>
      <c r="MA49" s="500"/>
      <c r="MB49" s="500"/>
      <c r="MC49" s="500"/>
      <c r="MD49" s="500"/>
      <c r="ME49" s="631" t="e">
        <f>INDEX(BC_DataTable,MATCH($LZ$49,BC_DataColumn,0),1)</f>
        <v>#N/A</v>
      </c>
      <c r="MF49" s="631" t="e">
        <f>INDEX(BC_DataTable,MATCH($LZ$49,BC_DataColumn,0),2)</f>
        <v>#N/A</v>
      </c>
      <c r="MG49" s="632">
        <f>$MG$26</f>
        <v>1</v>
      </c>
      <c r="MH49" s="632">
        <f>$MH$26</f>
        <v>1</v>
      </c>
      <c r="MM49" s="543"/>
    </row>
    <row r="50" spans="1:351" ht="11.25" customHeight="1" thickBot="1">
      <c r="A50" s="577"/>
      <c r="B50" s="505" t="s">
        <v>1000</v>
      </c>
      <c r="C50" s="505"/>
      <c r="D50" s="505"/>
      <c r="E50" s="505"/>
      <c r="F50" s="505"/>
      <c r="G50" s="505" t="str">
        <f>IF(OR(T49=ET51,ISBLANK(T49)),ML64,"")</f>
        <v>B3.1 (existing or altered building sealing)</v>
      </c>
      <c r="H50" s="590"/>
      <c r="I50" s="590"/>
      <c r="J50" s="590"/>
      <c r="K50" s="590"/>
      <c r="L50" s="590"/>
      <c r="M50" s="590"/>
      <c r="N50" s="590"/>
      <c r="O50" s="505"/>
      <c r="P50" s="505"/>
      <c r="Q50" s="505"/>
      <c r="R50" s="505"/>
      <c r="S50" s="505"/>
      <c r="T50" s="721"/>
      <c r="U50" s="577"/>
      <c r="V50" s="562"/>
      <c r="W50" s="577"/>
      <c r="X50" s="847">
        <f>IF(ISBLANK(Calculator!C58),"",Calculator!C58)</f>
        <v>22</v>
      </c>
      <c r="Y50" s="972" t="str">
        <f>IF(ISBLANK(Calculator!D58),"",Calculator!D58)</f>
        <v/>
      </c>
      <c r="Z50" s="973"/>
      <c r="AA50" s="845" t="str">
        <f>IF(ISBLANK(Calculator!G58),"",Calculator!G58)</f>
        <v/>
      </c>
      <c r="AB50" s="846" t="str">
        <f>IF(ISBLANK(Calculator!H58),"",Calculator!H58)</f>
        <v/>
      </c>
      <c r="AC50" s="725"/>
      <c r="AD50" s="725"/>
      <c r="AE50" s="504"/>
      <c r="AF50" s="735"/>
      <c r="AG50" s="895"/>
      <c r="AH50" s="608" t="str">
        <f t="shared" si="40"/>
        <v/>
      </c>
      <c r="AI50" s="726"/>
      <c r="AJ50" s="726"/>
      <c r="AK50" s="726"/>
      <c r="AL50" s="726"/>
      <c r="AM50" s="726"/>
      <c r="AN50" s="726"/>
      <c r="AO50" s="726"/>
      <c r="AP50" s="726"/>
      <c r="AQ50" s="726"/>
      <c r="AR50" s="726"/>
      <c r="AS50" s="726"/>
      <c r="AT50" s="726"/>
      <c r="AU50" s="577"/>
      <c r="AV50" s="562"/>
      <c r="AW50" s="577"/>
      <c r="AX50" s="516"/>
      <c r="AY50" s="516" t="str">
        <f>CONCATENATE("Roof 2B:"," ",$ET$33," ",$ET$30)</f>
        <v>Roof 2B: Alteration to existing roof (second option)</v>
      </c>
      <c r="AZ50" s="516"/>
      <c r="BA50" s="516"/>
      <c r="BB50" s="516"/>
      <c r="BC50" s="516"/>
      <c r="BD50" s="516"/>
      <c r="BE50" s="516"/>
      <c r="BF50" s="516"/>
      <c r="BG50" s="516"/>
      <c r="BH50" s="516"/>
      <c r="BI50" s="516"/>
      <c r="BJ50" s="516"/>
      <c r="BK50" s="516"/>
      <c r="BL50" s="516"/>
      <c r="BM50" s="621"/>
      <c r="BN50" s="794"/>
      <c r="BO50" s="779"/>
      <c r="BP50" s="779"/>
      <c r="BQ50" s="799"/>
      <c r="BR50" s="577"/>
      <c r="BT50" s="577"/>
      <c r="BU50" s="504"/>
      <c r="BV50" s="701"/>
      <c r="BW50" s="967"/>
      <c r="BX50" s="967"/>
      <c r="BY50" s="967"/>
      <c r="BZ50" s="967"/>
      <c r="CA50" s="967"/>
      <c r="CB50" s="968"/>
      <c r="CC50" s="504"/>
      <c r="CD50" s="504"/>
      <c r="CE50" s="504"/>
      <c r="CF50" s="504"/>
      <c r="CG50" s="504"/>
      <c r="CH50" s="577"/>
      <c r="CI50" s="562"/>
      <c r="CJ50" s="577"/>
      <c r="CK50" s="516"/>
      <c r="CL50" s="516"/>
      <c r="CM50" s="516"/>
      <c r="CN50" s="516"/>
      <c r="CO50" s="516"/>
      <c r="CP50" s="516"/>
      <c r="CQ50" s="516"/>
      <c r="CR50" s="516"/>
      <c r="CS50" s="516"/>
      <c r="CT50" s="516"/>
      <c r="CU50" s="516"/>
      <c r="CV50" s="504"/>
      <c r="CW50" s="990" t="s">
        <v>799</v>
      </c>
      <c r="CX50" s="782"/>
      <c r="CY50" s="1016" t="s">
        <v>1125</v>
      </c>
      <c r="CZ50" s="868"/>
      <c r="DA50" s="869"/>
      <c r="DB50" s="869"/>
      <c r="DC50" s="870"/>
      <c r="DD50" s="577"/>
      <c r="DE50" s="562"/>
      <c r="DF50" s="577"/>
      <c r="DG50" s="504"/>
      <c r="DH50" s="504"/>
      <c r="DI50" s="504"/>
      <c r="DJ50" s="504"/>
      <c r="DK50" s="504"/>
      <c r="DL50" s="504"/>
      <c r="DM50" s="504"/>
      <c r="DN50" s="504"/>
      <c r="DO50" s="504"/>
      <c r="DP50" s="504"/>
      <c r="DQ50" s="504"/>
      <c r="DR50" s="504"/>
      <c r="DS50" s="504"/>
      <c r="DT50" s="504"/>
      <c r="DU50" s="504"/>
      <c r="DV50" s="504"/>
      <c r="DW50" s="504"/>
      <c r="DX50" s="504"/>
      <c r="DY50" s="504"/>
      <c r="DZ50" s="577"/>
      <c r="EA50" s="562"/>
      <c r="EB50" s="577"/>
      <c r="EC50" s="504"/>
      <c r="ED50" s="504"/>
      <c r="EE50" s="504"/>
      <c r="EF50" s="504"/>
      <c r="EG50" s="504"/>
      <c r="EH50" s="504"/>
      <c r="EI50" s="504"/>
      <c r="EJ50" s="504"/>
      <c r="EK50" s="504"/>
      <c r="EL50" s="504"/>
      <c r="EM50" s="517"/>
      <c r="EN50" s="516"/>
      <c r="EO50" s="516"/>
      <c r="EP50" s="577"/>
      <c r="EQ50" s="562"/>
      <c r="ES50" s="543"/>
      <c r="ET50" s="500" t="s">
        <v>387</v>
      </c>
      <c r="EV50" s="500" t="b">
        <f t="shared" si="41"/>
        <v>0</v>
      </c>
      <c r="EW50" s="500" t="b">
        <f t="shared" si="65"/>
        <v>0</v>
      </c>
      <c r="EX50" s="500" t="b">
        <f t="shared" si="66"/>
        <v>0</v>
      </c>
      <c r="EY50" s="500" t="b">
        <f t="shared" si="42"/>
        <v>0</v>
      </c>
      <c r="EZ50" s="500" t="b">
        <f t="shared" si="43"/>
        <v>0</v>
      </c>
      <c r="FA50" s="500" t="b">
        <f t="shared" si="44"/>
        <v>0</v>
      </c>
      <c r="FB50" s="500" t="b">
        <f t="shared" si="45"/>
        <v>0</v>
      </c>
      <c r="FC50" s="500" t="b">
        <f t="shared" si="67"/>
        <v>0</v>
      </c>
      <c r="FD50" s="500" t="b">
        <f t="shared" si="68"/>
        <v>0</v>
      </c>
      <c r="FE50" s="500" t="b">
        <f t="shared" si="46"/>
        <v>0</v>
      </c>
      <c r="FF50" s="500" t="b">
        <f t="shared" si="47"/>
        <v>0</v>
      </c>
      <c r="FG50" s="500" t="b">
        <f t="shared" si="48"/>
        <v>0</v>
      </c>
      <c r="FI50" s="611">
        <f t="shared" si="49"/>
        <v>0</v>
      </c>
      <c r="FJ50" s="611">
        <f t="shared" si="50"/>
        <v>0</v>
      </c>
      <c r="FK50" s="611">
        <f t="shared" si="69"/>
        <v>0</v>
      </c>
      <c r="FL50" s="612"/>
      <c r="FM50" s="613">
        <f t="shared" si="51"/>
        <v>0</v>
      </c>
      <c r="FN50" s="613">
        <f t="shared" si="52"/>
        <v>0</v>
      </c>
      <c r="FO50" s="613">
        <f t="shared" si="53"/>
        <v>0</v>
      </c>
      <c r="FP50" s="613">
        <f t="shared" si="54"/>
        <v>0</v>
      </c>
      <c r="FQ50" s="613">
        <f t="shared" si="55"/>
        <v>0</v>
      </c>
      <c r="FR50" s="613">
        <f t="shared" si="56"/>
        <v>0</v>
      </c>
      <c r="FS50" s="613">
        <f t="shared" si="57"/>
        <v>0</v>
      </c>
      <c r="FT50" s="613">
        <f t="shared" si="58"/>
        <v>0</v>
      </c>
      <c r="FU50" s="613">
        <f t="shared" si="59"/>
        <v>0</v>
      </c>
      <c r="FV50" s="613">
        <f t="shared" si="60"/>
        <v>0</v>
      </c>
      <c r="FW50" s="613">
        <f t="shared" si="61"/>
        <v>0</v>
      </c>
      <c r="FX50" s="613">
        <f t="shared" si="62"/>
        <v>0</v>
      </c>
      <c r="GF50" s="500" t="str">
        <f>$GF$30</f>
        <v>Metal cover, P/board cathedral exposed rafter ceiling - Ventilated, Up: BCA Fig 3.12.1.1(b)</v>
      </c>
      <c r="HD50" s="533"/>
      <c r="HE50" s="534"/>
      <c r="HF50" s="534"/>
      <c r="HG50" s="534"/>
      <c r="HH50" s="535"/>
      <c r="HI50" s="863"/>
      <c r="HJ50" s="779"/>
      <c r="HK50" s="779"/>
      <c r="HL50" s="779"/>
      <c r="HM50" s="533"/>
      <c r="HN50" s="830"/>
      <c r="HO50" s="534"/>
      <c r="HP50" s="535"/>
      <c r="IL50" s="593" t="b">
        <f>AND(ISBLANK(CC52),OR(ISTEXT(CC49),ISTEXT(CC47)))</f>
        <v>0</v>
      </c>
      <c r="IM50" s="534"/>
      <c r="IN50" s="534"/>
      <c r="IO50" s="534"/>
      <c r="IP50" s="534"/>
      <c r="IQ50" s="534"/>
      <c r="IR50" s="535"/>
      <c r="IT50" s="500"/>
      <c r="IU50" s="695" t="s">
        <v>823</v>
      </c>
      <c r="IV50" s="500" t="str">
        <f>$IT$41</f>
        <v>Brick veneer, Ext clay masonry, Int frame with p/board internal lining: BCA Fig 3.12.1.3(c)</v>
      </c>
      <c r="JT50" s="533"/>
      <c r="JU50" s="534"/>
      <c r="JV50" s="534"/>
      <c r="JW50" s="535"/>
      <c r="JX50" s="526"/>
      <c r="JY50" s="526"/>
      <c r="JZ50" s="526"/>
      <c r="KA50" s="526"/>
      <c r="KB50" s="533"/>
      <c r="KC50" s="534"/>
      <c r="KD50" s="534"/>
      <c r="KE50" s="535"/>
      <c r="KG50" s="500" t="s">
        <v>962</v>
      </c>
      <c r="KH50" s="928" t="str">
        <f>IF(AND($D$65&lt;4,DG42=$KG$14),INDEX(BC_Floor_TimberUp,MATCH(DK42,BC_Floor_EncloseHt,0),MATCH(DO42,BC_Floor_Enclose,0)),IF(AND($D$65&lt;4,DG42=$KG$15),INDEX(BC_Floor_ConcUp,MATCH(DK42,BC_Floor_EncloseHt,0),MATCH(DO42,BC_Floor_Enclose,0)),IF(AND($D$65&gt;3,DG42=$KG$14),INDEX(BC_Floor_TimberDn,MATCH(DK42,BC_Floor_EncloseHt,0),MATCH(DO42,BC_Floor_Enclose,0)),IF(AND($D$65&gt;3,DG42=$KG$15),INDEX(BC_Floor_ConcDn,MATCH(DK42,BC_Floor_EncloseHt,0),MATCH(DO42,BC_Floor_Enclose,0)),$ET$17))))</f>
        <v>Data</v>
      </c>
      <c r="KI50" s="929" t="e">
        <f>INDEX(BC_FloorR,MATCH($D$65,$KG$60:$KG$64,0),1)</f>
        <v>#N/A</v>
      </c>
      <c r="KJ50" s="930"/>
      <c r="LE50" s="595">
        <f>SUM(LE48:LE49)</f>
        <v>0</v>
      </c>
      <c r="LF50" s="595">
        <f t="shared" ref="LF50:LH50" si="98">SUM(LF48:LF49)</f>
        <v>0</v>
      </c>
      <c r="LG50" s="595">
        <f t="shared" si="98"/>
        <v>0</v>
      </c>
      <c r="LH50" s="595">
        <f t="shared" si="98"/>
        <v>0</v>
      </c>
      <c r="LP50" s="500"/>
      <c r="LV50" s="563">
        <f t="shared" si="63"/>
        <v>0</v>
      </c>
      <c r="LW50" s="563">
        <f t="shared" si="64"/>
        <v>0</v>
      </c>
      <c r="LZ50" s="500" t="str">
        <f>CONCATENATE(D65,LZ28,IF(Calculator!$H$29=$LZ$53,$ET$51,$ET$50))</f>
        <v>DataSuspendedYes</v>
      </c>
      <c r="MA50" s="500"/>
      <c r="MB50" s="500"/>
      <c r="MC50" s="500"/>
      <c r="MD50" s="500"/>
      <c r="ME50" s="631" t="e">
        <f>INDEX(BC_DataTable,MATCH($LZ$50,BC_DataColumn,0),1)</f>
        <v>#N/A</v>
      </c>
      <c r="MF50" s="631" t="e">
        <f>INDEX(BC_DataTable,MATCH($LZ$50,BC_DataColumn,0),2)</f>
        <v>#N/A</v>
      </c>
      <c r="MG50" s="632">
        <f>$MG$26</f>
        <v>1</v>
      </c>
      <c r="MH50" s="632">
        <f>$MH$26</f>
        <v>1</v>
      </c>
      <c r="MM50" s="543"/>
    </row>
    <row r="51" spans="1:351" ht="11.25" customHeight="1" thickBot="1">
      <c r="A51" s="577"/>
      <c r="B51" s="504"/>
      <c r="C51" s="504"/>
      <c r="D51" s="504"/>
      <c r="E51" s="504"/>
      <c r="F51" s="504"/>
      <c r="G51" s="504"/>
      <c r="H51" s="504"/>
      <c r="I51" s="504"/>
      <c r="J51" s="504"/>
      <c r="K51" s="504"/>
      <c r="L51" s="504"/>
      <c r="M51" s="504"/>
      <c r="N51" s="504"/>
      <c r="O51" s="504"/>
      <c r="P51" s="504"/>
      <c r="Q51" s="504"/>
      <c r="R51" s="504"/>
      <c r="S51" s="504"/>
      <c r="T51" s="504"/>
      <c r="U51" s="577"/>
      <c r="V51" s="562"/>
      <c r="W51" s="577"/>
      <c r="X51" s="847">
        <f>IF(ISBLANK(Calculator!C59),"",Calculator!C59)</f>
        <v>23</v>
      </c>
      <c r="Y51" s="972" t="str">
        <f>IF(ISBLANK(Calculator!D59),"",Calculator!D59)</f>
        <v/>
      </c>
      <c r="Z51" s="973"/>
      <c r="AA51" s="845" t="str">
        <f>IF(ISBLANK(Calculator!G59),"",Calculator!G59)</f>
        <v/>
      </c>
      <c r="AB51" s="846" t="str">
        <f>IF(ISBLANK(Calculator!H59),"",Calculator!H59)</f>
        <v/>
      </c>
      <c r="AC51" s="725"/>
      <c r="AD51" s="725"/>
      <c r="AE51" s="504"/>
      <c r="AF51" s="735"/>
      <c r="AG51" s="895"/>
      <c r="AH51" s="608" t="str">
        <f t="shared" si="40"/>
        <v/>
      </c>
      <c r="AI51" s="726"/>
      <c r="AJ51" s="726"/>
      <c r="AK51" s="726"/>
      <c r="AL51" s="726"/>
      <c r="AM51" s="726"/>
      <c r="AN51" s="726"/>
      <c r="AO51" s="726"/>
      <c r="AP51" s="726"/>
      <c r="AQ51" s="726"/>
      <c r="AR51" s="726"/>
      <c r="AS51" s="726"/>
      <c r="AT51" s="726"/>
      <c r="AU51" s="577"/>
      <c r="AV51" s="562"/>
      <c r="AW51" s="577"/>
      <c r="AX51" s="516"/>
      <c r="AY51" s="516" t="str">
        <f>$AY$30</f>
        <v>Cover</v>
      </c>
      <c r="AZ51" s="516"/>
      <c r="BA51" s="516"/>
      <c r="BB51" s="516" t="str">
        <f>$BB$30</f>
        <v>Ceiling</v>
      </c>
      <c r="BC51" s="516"/>
      <c r="BD51" s="516"/>
      <c r="BE51" s="516"/>
      <c r="BF51" s="516"/>
      <c r="BG51" s="516"/>
      <c r="BH51" s="516"/>
      <c r="BI51" s="516"/>
      <c r="BJ51" s="516"/>
      <c r="BK51" s="516"/>
      <c r="BL51" s="516"/>
      <c r="BM51" s="621"/>
      <c r="BN51" s="794"/>
      <c r="BO51" s="779"/>
      <c r="BP51" s="779"/>
      <c r="BQ51" s="799"/>
      <c r="BR51" s="577"/>
      <c r="BT51" s="577"/>
      <c r="BU51" s="570"/>
      <c r="BV51" s="570"/>
      <c r="BW51" s="570"/>
      <c r="BX51" s="570"/>
      <c r="BY51" s="570"/>
      <c r="BZ51" s="570"/>
      <c r="CA51" s="570"/>
      <c r="CB51" s="504"/>
      <c r="CC51" s="517"/>
      <c r="CD51" s="516"/>
      <c r="CE51" s="504"/>
      <c r="CF51" s="504"/>
      <c r="CG51" s="504"/>
      <c r="CH51" s="577"/>
      <c r="CI51" s="562"/>
      <c r="CJ51" s="577"/>
      <c r="CK51" s="516"/>
      <c r="CL51" s="516"/>
      <c r="CM51" s="516"/>
      <c r="CN51" s="516"/>
      <c r="CO51" s="516"/>
      <c r="CP51" s="516"/>
      <c r="CQ51" s="516"/>
      <c r="CR51" s="516"/>
      <c r="CS51" s="516"/>
      <c r="CT51" s="516"/>
      <c r="CU51" s="516"/>
      <c r="CV51" s="504"/>
      <c r="CW51" s="990"/>
      <c r="CX51" s="782"/>
      <c r="CY51" s="1016"/>
      <c r="CZ51" s="868"/>
      <c r="DA51" s="869"/>
      <c r="DB51" s="869"/>
      <c r="DC51" s="870"/>
      <c r="DD51" s="577"/>
      <c r="DE51" s="562"/>
      <c r="DF51" s="577"/>
      <c r="DG51" s="802"/>
      <c r="DH51" s="802"/>
      <c r="DI51" s="802"/>
      <c r="DJ51" s="802"/>
      <c r="DK51" s="813"/>
      <c r="DL51" s="813"/>
      <c r="DM51" s="813"/>
      <c r="DN51" s="813"/>
      <c r="DO51" s="813"/>
      <c r="DP51" s="1050" t="s">
        <v>1102</v>
      </c>
      <c r="DQ51" s="1050"/>
      <c r="DR51" s="1050"/>
      <c r="DS51" s="1050"/>
      <c r="DT51" s="813"/>
      <c r="DU51" s="813"/>
      <c r="DV51" s="1064" t="s">
        <v>1048</v>
      </c>
      <c r="DW51" s="1064"/>
      <c r="DX51" s="1064"/>
      <c r="DY51" s="802"/>
      <c r="DZ51" s="577"/>
      <c r="EA51" s="562"/>
      <c r="EB51" s="577"/>
      <c r="EC51" s="884" t="str">
        <f>CONCATENATE($EC$43," ",$ET$30)</f>
        <v>Associated Class 10a building (second option)</v>
      </c>
      <c r="ED51" s="885"/>
      <c r="EE51" s="885"/>
      <c r="EF51" s="885"/>
      <c r="EG51" s="885"/>
      <c r="EH51" s="885"/>
      <c r="EI51" s="886"/>
      <c r="EJ51" s="886"/>
      <c r="EK51" s="886"/>
      <c r="EL51" s="886"/>
      <c r="EM51" s="517"/>
      <c r="EN51" s="516"/>
      <c r="EO51" s="516"/>
      <c r="EP51" s="577"/>
      <c r="EQ51" s="562"/>
      <c r="ES51" s="543"/>
      <c r="ET51" s="500" t="s">
        <v>388</v>
      </c>
      <c r="EV51" s="500" t="b">
        <f t="shared" si="41"/>
        <v>0</v>
      </c>
      <c r="EW51" s="500" t="b">
        <f t="shared" si="65"/>
        <v>0</v>
      </c>
      <c r="EX51" s="500" t="b">
        <f t="shared" si="66"/>
        <v>0</v>
      </c>
      <c r="EY51" s="500" t="b">
        <f t="shared" si="42"/>
        <v>0</v>
      </c>
      <c r="EZ51" s="500" t="b">
        <f t="shared" si="43"/>
        <v>0</v>
      </c>
      <c r="FA51" s="500" t="b">
        <f t="shared" si="44"/>
        <v>0</v>
      </c>
      <c r="FB51" s="500" t="b">
        <f t="shared" si="45"/>
        <v>0</v>
      </c>
      <c r="FC51" s="500" t="b">
        <f t="shared" si="67"/>
        <v>0</v>
      </c>
      <c r="FD51" s="500" t="b">
        <f t="shared" si="68"/>
        <v>0</v>
      </c>
      <c r="FE51" s="500" t="b">
        <f t="shared" si="46"/>
        <v>0</v>
      </c>
      <c r="FF51" s="500" t="b">
        <f t="shared" si="47"/>
        <v>0</v>
      </c>
      <c r="FG51" s="500" t="b">
        <f t="shared" si="48"/>
        <v>0</v>
      </c>
      <c r="FI51" s="611">
        <f t="shared" si="49"/>
        <v>0</v>
      </c>
      <c r="FJ51" s="611">
        <f t="shared" si="50"/>
        <v>0</v>
      </c>
      <c r="FK51" s="611">
        <f t="shared" si="69"/>
        <v>0</v>
      </c>
      <c r="FL51" s="612"/>
      <c r="FM51" s="613">
        <f t="shared" si="51"/>
        <v>0</v>
      </c>
      <c r="FN51" s="613">
        <f t="shared" si="52"/>
        <v>0</v>
      </c>
      <c r="FO51" s="613">
        <f t="shared" si="53"/>
        <v>0</v>
      </c>
      <c r="FP51" s="613">
        <f t="shared" si="54"/>
        <v>0</v>
      </c>
      <c r="FQ51" s="613">
        <f t="shared" si="55"/>
        <v>0</v>
      </c>
      <c r="FR51" s="613">
        <f t="shared" si="56"/>
        <v>0</v>
      </c>
      <c r="FS51" s="613">
        <f t="shared" si="57"/>
        <v>0</v>
      </c>
      <c r="FT51" s="613">
        <f t="shared" si="58"/>
        <v>0</v>
      </c>
      <c r="FU51" s="613">
        <f t="shared" si="59"/>
        <v>0</v>
      </c>
      <c r="FV51" s="613">
        <f t="shared" si="60"/>
        <v>0</v>
      </c>
      <c r="FW51" s="613">
        <f t="shared" si="61"/>
        <v>0</v>
      </c>
      <c r="FX51" s="613">
        <f t="shared" si="62"/>
        <v>0</v>
      </c>
      <c r="GF51" s="500" t="str">
        <f>$GF$32</f>
        <v>Metal cover, P/board cathedral exposed rafter ceiling - Unventilated, Up: BCA Fig 3.12.1.1(b)</v>
      </c>
      <c r="HD51" s="593" t="b">
        <f>AND(ISBLANK(AY52),OR(ISTEXT(BB52),OR(ISTEXT(BI52),ISTEXT(BK52))))</f>
        <v>0</v>
      </c>
      <c r="HE51" s="594" t="b">
        <f>AND(ISBLANK(BB52),OR(ISTEXT(AY52),OR(ISTEXT(BI52),ISTEXT(BK52))))</f>
        <v>0</v>
      </c>
      <c r="HF51" s="594" t="b">
        <f>AND(ISBLANK(BI52),OR(ISTEXT(BB52),OR(ISTEXT(AY52),ISTEXT(BK52))))</f>
        <v>0</v>
      </c>
      <c r="HG51" s="594" t="b">
        <f>AND(ISBLANK(BK52),OR(ISTEXT(BB52),OR(ISTEXT(BI52),ISTEXT(AY52))))</f>
        <v>0</v>
      </c>
      <c r="HH51" s="614" t="b">
        <f>AND(SUM(BN52:BQ52)&gt;0,AND(ISBLANK(AY52),AND(ISBLANK(BB52),AND(ISBLANK(BI52),ISBLANK(BK52)))))</f>
        <v>0</v>
      </c>
      <c r="HI51" s="863">
        <f>IF(BN52&gt;0,1,0)</f>
        <v>0</v>
      </c>
      <c r="HJ51" s="779">
        <f t="shared" ref="HJ51" si="99">IF(BO52&gt;0,1,0)</f>
        <v>0</v>
      </c>
      <c r="HK51" s="779">
        <f t="shared" ref="HK51" si="100">IF(BP52&gt;0,1,0)</f>
        <v>0</v>
      </c>
      <c r="HL51" s="779">
        <f>IF(BQ52&gt;0,1,0)</f>
        <v>0</v>
      </c>
      <c r="HM51" s="593" t="b">
        <f>AND(ISTEXT($BN$20),AND(BN52=0,$HI$66&lt;2))</f>
        <v>0</v>
      </c>
      <c r="HN51" s="594" t="b">
        <f>AND(ISTEXT($BO$20),AND(BO52=0,$HJ$66&lt;2))</f>
        <v>0</v>
      </c>
      <c r="HO51" s="594" t="b">
        <f>AND(ISTEXT($BP$20),AND(BP52=0,$HK$66&lt;2))</f>
        <v>0</v>
      </c>
      <c r="HP51" s="614" t="b">
        <f>AND(ISTEXT($BQ$20),AND(BQ52=0,$HL$66&lt;2))</f>
        <v>0</v>
      </c>
      <c r="IL51" s="716"/>
      <c r="IM51" s="673"/>
      <c r="IN51" s="673"/>
      <c r="IO51" s="673"/>
      <c r="IP51" s="673"/>
      <c r="IQ51" s="673"/>
      <c r="IR51" s="717"/>
      <c r="IU51" s="623" t="str">
        <f>$IU$59</f>
        <v>Adding render and/or cladding to an existing external wall</v>
      </c>
      <c r="JT51" s="533"/>
      <c r="JU51" s="534"/>
      <c r="JV51" s="534"/>
      <c r="JW51" s="535"/>
      <c r="JX51" s="526"/>
      <c r="JY51" s="526"/>
      <c r="JZ51" s="526"/>
      <c r="KA51" s="526"/>
      <c r="KB51" s="533"/>
      <c r="KC51" s="534"/>
      <c r="KD51" s="534"/>
      <c r="KE51" s="535"/>
      <c r="LP51" s="500"/>
      <c r="LV51" s="563">
        <f t="shared" si="63"/>
        <v>0</v>
      </c>
      <c r="LW51" s="563">
        <f t="shared" si="64"/>
        <v>0</v>
      </c>
      <c r="MM51" s="543"/>
    </row>
    <row r="52" spans="1:351" ht="11.25" customHeight="1" thickBot="1">
      <c r="A52" s="577"/>
      <c r="B52" s="504" t="s">
        <v>548</v>
      </c>
      <c r="C52" s="504"/>
      <c r="D52" s="504"/>
      <c r="E52" s="504"/>
      <c r="F52" s="504"/>
      <c r="G52" s="505" t="s">
        <v>549</v>
      </c>
      <c r="H52" s="505"/>
      <c r="I52" s="505"/>
      <c r="J52" s="505"/>
      <c r="K52" s="505"/>
      <c r="L52" s="505"/>
      <c r="M52" s="505"/>
      <c r="N52" s="505"/>
      <c r="O52" s="505"/>
      <c r="P52" s="505"/>
      <c r="Q52" s="505"/>
      <c r="R52" s="505"/>
      <c r="S52" s="719"/>
      <c r="T52" s="722"/>
      <c r="U52" s="577"/>
      <c r="V52" s="562"/>
      <c r="W52" s="577"/>
      <c r="X52" s="847">
        <f>IF(ISBLANK(Calculator!C60),"",Calculator!C60)</f>
        <v>24</v>
      </c>
      <c r="Y52" s="972" t="str">
        <f>IF(ISBLANK(Calculator!D60),"",Calculator!D60)</f>
        <v/>
      </c>
      <c r="Z52" s="973"/>
      <c r="AA52" s="845" t="str">
        <f>IF(ISBLANK(Calculator!G60),"",Calculator!G60)</f>
        <v/>
      </c>
      <c r="AB52" s="846" t="str">
        <f>IF(ISBLANK(Calculator!H60),"",Calculator!H60)</f>
        <v/>
      </c>
      <c r="AC52" s="725"/>
      <c r="AD52" s="725"/>
      <c r="AE52" s="504"/>
      <c r="AF52" s="735"/>
      <c r="AG52" s="895"/>
      <c r="AH52" s="608" t="str">
        <f t="shared" si="40"/>
        <v/>
      </c>
      <c r="AI52" s="726"/>
      <c r="AJ52" s="726"/>
      <c r="AK52" s="726"/>
      <c r="AL52" s="726"/>
      <c r="AM52" s="726"/>
      <c r="AN52" s="726"/>
      <c r="AO52" s="726"/>
      <c r="AP52" s="726"/>
      <c r="AQ52" s="726"/>
      <c r="AR52" s="726"/>
      <c r="AS52" s="726"/>
      <c r="AT52" s="726"/>
      <c r="AU52" s="577"/>
      <c r="AV52" s="562"/>
      <c r="AW52" s="577"/>
      <c r="AX52" s="516"/>
      <c r="AY52" s="976"/>
      <c r="AZ52" s="978"/>
      <c r="BA52" s="518"/>
      <c r="BB52" s="976"/>
      <c r="BC52" s="977"/>
      <c r="BD52" s="977"/>
      <c r="BE52" s="977"/>
      <c r="BF52" s="977"/>
      <c r="BG52" s="978"/>
      <c r="BH52" s="518"/>
      <c r="BI52" s="729"/>
      <c r="BJ52" s="518"/>
      <c r="BK52" s="730"/>
      <c r="BL52" s="610"/>
      <c r="BM52" s="787" t="str">
        <f>IF(GN107=4,"",IF(ISERROR(GF176),ET17,GF176))</f>
        <v/>
      </c>
      <c r="BN52" s="793"/>
      <c r="BO52" s="728"/>
      <c r="BP52" s="728"/>
      <c r="BQ52" s="798"/>
      <c r="BR52" s="577"/>
      <c r="BT52" s="577"/>
      <c r="BU52" s="504"/>
      <c r="BV52" s="504"/>
      <c r="BW52" s="504"/>
      <c r="BX52" s="504"/>
      <c r="BY52" s="504"/>
      <c r="BZ52" s="504"/>
      <c r="CA52" s="504"/>
      <c r="CB52" s="574" t="s">
        <v>909</v>
      </c>
      <c r="CC52" s="915"/>
      <c r="CD52" s="516"/>
      <c r="CE52" s="504"/>
      <c r="CF52" s="504"/>
      <c r="CG52" s="504"/>
      <c r="CH52" s="577"/>
      <c r="CI52" s="562"/>
      <c r="CJ52" s="577"/>
      <c r="CK52" s="532" t="str">
        <f>CONCATENATE("Wall 3:"," ",$ET$38)</f>
        <v>Wall 3: Added wall construction</v>
      </c>
      <c r="CL52" s="532"/>
      <c r="CM52" s="585"/>
      <c r="CN52" s="585"/>
      <c r="CO52" s="585"/>
      <c r="CP52" s="585"/>
      <c r="CQ52" s="585"/>
      <c r="CR52" s="585"/>
      <c r="CS52" s="585"/>
      <c r="CT52" s="585"/>
      <c r="CU52" s="585"/>
      <c r="CV52" s="504"/>
      <c r="CW52" s="975"/>
      <c r="CX52" s="782"/>
      <c r="CY52" s="1016"/>
      <c r="CZ52" s="868"/>
      <c r="DA52" s="869"/>
      <c r="DB52" s="869"/>
      <c r="DC52" s="870"/>
      <c r="DD52" s="577"/>
      <c r="DE52" s="562"/>
      <c r="DF52" s="577"/>
      <c r="DG52" s="1062" t="s">
        <v>1063</v>
      </c>
      <c r="DH52" s="1062"/>
      <c r="DI52" s="1062"/>
      <c r="DJ52" s="1062"/>
      <c r="DK52" s="1062"/>
      <c r="DL52" s="1062"/>
      <c r="DM52" s="1050" t="s">
        <v>1061</v>
      </c>
      <c r="DN52" s="1050"/>
      <c r="DO52" s="1050"/>
      <c r="DP52" s="1050"/>
      <c r="DQ52" s="1050"/>
      <c r="DR52" s="1050"/>
      <c r="DS52" s="1050"/>
      <c r="DT52" s="813"/>
      <c r="DU52" s="813"/>
      <c r="DV52" s="1064"/>
      <c r="DW52" s="1064"/>
      <c r="DX52" s="1064"/>
      <c r="DY52" s="802"/>
      <c r="DZ52" s="577"/>
      <c r="EA52" s="562"/>
      <c r="EB52" s="577"/>
      <c r="EC52" s="504"/>
      <c r="ED52" s="504"/>
      <c r="EE52" s="504"/>
      <c r="EF52" s="504"/>
      <c r="EG52" s="504"/>
      <c r="EH52" s="504"/>
      <c r="EI52" s="504"/>
      <c r="EJ52" s="504"/>
      <c r="EK52" s="504"/>
      <c r="EL52" s="560" t="str">
        <f>CONCATENATE(EL27," ",$ET$30)</f>
        <v>Description (second option)</v>
      </c>
      <c r="EM52" s="969"/>
      <c r="EN52" s="970"/>
      <c r="EO52" s="971"/>
      <c r="EP52" s="577"/>
      <c r="EQ52" s="562"/>
      <c r="ES52" s="543"/>
      <c r="EV52" s="500" t="b">
        <f t="shared" si="41"/>
        <v>0</v>
      </c>
      <c r="EW52" s="500" t="b">
        <f t="shared" si="65"/>
        <v>0</v>
      </c>
      <c r="EX52" s="500" t="b">
        <f t="shared" si="66"/>
        <v>0</v>
      </c>
      <c r="EY52" s="500" t="b">
        <f t="shared" si="42"/>
        <v>0</v>
      </c>
      <c r="EZ52" s="500" t="b">
        <f t="shared" si="43"/>
        <v>0</v>
      </c>
      <c r="FA52" s="500" t="b">
        <f t="shared" si="44"/>
        <v>0</v>
      </c>
      <c r="FB52" s="500" t="b">
        <f t="shared" si="45"/>
        <v>0</v>
      </c>
      <c r="FC52" s="500" t="b">
        <f t="shared" si="67"/>
        <v>0</v>
      </c>
      <c r="FD52" s="500" t="b">
        <f t="shared" si="68"/>
        <v>0</v>
      </c>
      <c r="FE52" s="500" t="b">
        <f t="shared" si="46"/>
        <v>0</v>
      </c>
      <c r="FF52" s="500" t="b">
        <f t="shared" si="47"/>
        <v>0</v>
      </c>
      <c r="FG52" s="500" t="b">
        <f t="shared" si="48"/>
        <v>0</v>
      </c>
      <c r="FI52" s="611">
        <f t="shared" si="49"/>
        <v>0</v>
      </c>
      <c r="FJ52" s="611">
        <f t="shared" si="50"/>
        <v>0</v>
      </c>
      <c r="FK52" s="611">
        <f t="shared" si="69"/>
        <v>0</v>
      </c>
      <c r="FL52" s="612"/>
      <c r="FM52" s="613">
        <f t="shared" si="51"/>
        <v>0</v>
      </c>
      <c r="FN52" s="613">
        <f t="shared" si="52"/>
        <v>0</v>
      </c>
      <c r="FO52" s="613">
        <f t="shared" si="53"/>
        <v>0</v>
      </c>
      <c r="FP52" s="613">
        <f t="shared" si="54"/>
        <v>0</v>
      </c>
      <c r="FQ52" s="613">
        <f t="shared" si="55"/>
        <v>0</v>
      </c>
      <c r="FR52" s="613">
        <f t="shared" si="56"/>
        <v>0</v>
      </c>
      <c r="FS52" s="613">
        <f t="shared" si="57"/>
        <v>0</v>
      </c>
      <c r="FT52" s="613">
        <f t="shared" si="58"/>
        <v>0</v>
      </c>
      <c r="FU52" s="613">
        <f t="shared" si="59"/>
        <v>0</v>
      </c>
      <c r="FV52" s="613">
        <f t="shared" si="60"/>
        <v>0</v>
      </c>
      <c r="FW52" s="613">
        <f t="shared" si="61"/>
        <v>0</v>
      </c>
      <c r="FX52" s="613">
        <f t="shared" si="62"/>
        <v>0</v>
      </c>
      <c r="GF52" s="500" t="str">
        <f>$GF$34</f>
        <v>Tiled cover, P/board flat ceiling - Ventilated, Up: BCA Fig 3.12.1.1(c)</v>
      </c>
      <c r="HD52" s="533"/>
      <c r="HE52" s="534"/>
      <c r="HF52" s="594" t="b">
        <f>AND(ISTEXT(BI52),OR(MID(BI52,9,1)&lt;&gt;MID($GF$89,9,1),MID(BI52,9,1)&lt;&gt;MID($GF$90,9,1)))</f>
        <v>0</v>
      </c>
      <c r="HG52" s="616" t="b">
        <f>AND(BK52=$ET$13,OR(MID(AY52,1,3)=$ET$31,MID(BB52,1,3)=$ET$31))</f>
        <v>0</v>
      </c>
      <c r="HH52" s="535"/>
      <c r="HI52" s="863"/>
      <c r="HJ52" s="779"/>
      <c r="HK52" s="779"/>
      <c r="HL52" s="779"/>
      <c r="HM52" s="533"/>
      <c r="HN52" s="830"/>
      <c r="HO52" s="534"/>
      <c r="HP52" s="535"/>
      <c r="ID52" s="562"/>
      <c r="IF52" s="558" t="s">
        <v>472</v>
      </c>
      <c r="IG52" s="562"/>
      <c r="II52" s="714" t="s">
        <v>924</v>
      </c>
      <c r="IL52" s="716"/>
      <c r="IM52" s="673"/>
      <c r="IN52" s="673"/>
      <c r="IO52" s="673"/>
      <c r="IP52" s="673"/>
      <c r="IQ52" s="673"/>
      <c r="IR52" s="717"/>
      <c r="IT52" s="695" t="s">
        <v>818</v>
      </c>
      <c r="IU52" s="500" t="s">
        <v>821</v>
      </c>
      <c r="IV52" s="500" t="str">
        <f>$IT$52</f>
        <v>R/b veneer, Clad ext frame, Int clay masonry with render or p/board lining: BCA Fig 3.12.1.3(f)</v>
      </c>
      <c r="JT52" s="533" t="s">
        <v>838</v>
      </c>
      <c r="JU52" s="534"/>
      <c r="JV52" s="534"/>
      <c r="JW52" s="535"/>
      <c r="JX52" s="526"/>
      <c r="JY52" s="526"/>
      <c r="JZ52" s="526"/>
      <c r="KA52" s="526"/>
      <c r="KB52" s="533"/>
      <c r="KC52" s="534"/>
      <c r="KD52" s="534"/>
      <c r="KE52" s="535"/>
      <c r="LP52" s="500"/>
      <c r="LR52" s="500" t="b">
        <f>AND(ISBLANK(EM52),ISNUMBER(EM54))</f>
        <v>0</v>
      </c>
      <c r="LV52" s="563">
        <f t="shared" si="63"/>
        <v>0</v>
      </c>
      <c r="LW52" s="563">
        <f t="shared" si="64"/>
        <v>0</v>
      </c>
      <c r="LZ52" s="509" t="s">
        <v>604</v>
      </c>
      <c r="MM52" s="543"/>
    </row>
    <row r="53" spans="1:351" ht="11.25" customHeight="1" thickBot="1">
      <c r="A53" s="577"/>
      <c r="B53" s="516" t="s">
        <v>1000</v>
      </c>
      <c r="C53" s="504"/>
      <c r="D53" s="504"/>
      <c r="E53" s="504"/>
      <c r="F53" s="504"/>
      <c r="G53" s="504" t="str">
        <f>IF(OR(ISBLANK(T52),T52=$ET$51),FZ65,ET12)</f>
        <v>Protocol B4.1.1 (existing and altered air movement)</v>
      </c>
      <c r="H53" s="504"/>
      <c r="I53" s="504"/>
      <c r="J53" s="504"/>
      <c r="K53" s="504"/>
      <c r="L53" s="504"/>
      <c r="M53" s="504"/>
      <c r="N53" s="516"/>
      <c r="O53" s="516"/>
      <c r="P53" s="516"/>
      <c r="Q53" s="516"/>
      <c r="R53" s="516"/>
      <c r="S53" s="516"/>
      <c r="T53" s="1021"/>
      <c r="U53" s="577"/>
      <c r="V53" s="562"/>
      <c r="W53" s="577"/>
      <c r="X53" s="847">
        <f>IF(ISBLANK(Calculator!C61),"",Calculator!C61)</f>
        <v>25</v>
      </c>
      <c r="Y53" s="972" t="str">
        <f>IF(ISBLANK(Calculator!D61),"",Calculator!D61)</f>
        <v/>
      </c>
      <c r="Z53" s="973"/>
      <c r="AA53" s="845" t="str">
        <f>IF(ISBLANK(Calculator!G61),"",Calculator!G61)</f>
        <v/>
      </c>
      <c r="AB53" s="846" t="str">
        <f>IF(ISBLANK(Calculator!H61),"",Calculator!H61)</f>
        <v/>
      </c>
      <c r="AC53" s="725"/>
      <c r="AD53" s="725"/>
      <c r="AE53" s="504"/>
      <c r="AF53" s="735"/>
      <c r="AG53" s="895"/>
      <c r="AH53" s="608" t="str">
        <f t="shared" si="40"/>
        <v/>
      </c>
      <c r="AI53" s="726"/>
      <c r="AJ53" s="726"/>
      <c r="AK53" s="726"/>
      <c r="AL53" s="726"/>
      <c r="AM53" s="726"/>
      <c r="AN53" s="726"/>
      <c r="AO53" s="726"/>
      <c r="AP53" s="726"/>
      <c r="AQ53" s="726"/>
      <c r="AR53" s="726"/>
      <c r="AS53" s="726"/>
      <c r="AT53" s="726"/>
      <c r="AU53" s="577"/>
      <c r="AV53" s="562"/>
      <c r="AW53" s="577"/>
      <c r="AX53" s="516"/>
      <c r="AY53" s="521" t="str">
        <f>IF(OR(ISBLANK(AX42),ISBLANK(AY52)),"",IF(AND(AY52=$ET$13,BB52=$ET$13),CONCATENATE($AX$42," R",INDEX(BC_RoofValues,MATCH($AX$42,BC_RoofConst,0),8)),IF(AND(AY52=$ET$13,MID(BB52,1,3)=$ET$31),GF154,IF(AND(MID(AY52,1,3)=$ET$31,BB52=$ET$13),GF155,IF(AND(MID(AY52,1,3)=$ET$31,MID(BB52,1,3)=$ET$31),GF156,$ET$17)))))</f>
        <v/>
      </c>
      <c r="AZ53" s="621"/>
      <c r="BA53" s="621"/>
      <c r="BB53" s="621"/>
      <c r="BC53" s="621"/>
      <c r="BD53" s="621"/>
      <c r="BE53" s="621"/>
      <c r="BF53" s="621"/>
      <c r="BG53" s="621"/>
      <c r="BH53" s="621"/>
      <c r="BI53" s="621"/>
      <c r="BJ53" s="621"/>
      <c r="BK53" s="621"/>
      <c r="BL53" s="516"/>
      <c r="BM53" s="516"/>
      <c r="BN53" s="794"/>
      <c r="BO53" s="779"/>
      <c r="BP53" s="779"/>
      <c r="BQ53" s="799"/>
      <c r="BR53" s="577"/>
      <c r="BT53" s="577"/>
      <c r="BU53" s="504"/>
      <c r="BV53" s="504"/>
      <c r="BW53" s="504"/>
      <c r="BX53" s="504"/>
      <c r="BY53" s="504"/>
      <c r="BZ53" s="504"/>
      <c r="CA53" s="504"/>
      <c r="CB53" s="504"/>
      <c r="CC53" s="517"/>
      <c r="CD53" s="516"/>
      <c r="CE53" s="504"/>
      <c r="CF53" s="516"/>
      <c r="CG53" s="516"/>
      <c r="CH53" s="577"/>
      <c r="CI53" s="562"/>
      <c r="CJ53" s="577"/>
      <c r="CK53" s="976"/>
      <c r="CL53" s="977"/>
      <c r="CM53" s="977"/>
      <c r="CN53" s="977"/>
      <c r="CO53" s="977"/>
      <c r="CP53" s="977"/>
      <c r="CQ53" s="977"/>
      <c r="CR53" s="977"/>
      <c r="CS53" s="977"/>
      <c r="CT53" s="977"/>
      <c r="CU53" s="978"/>
      <c r="CV53" s="633"/>
      <c r="CW53" s="725"/>
      <c r="CX53" s="610"/>
      <c r="CY53" s="784" t="str">
        <f>IF(JC116=2,"",IF(ISERROR(INDEX(BC_WallR,MATCH($D$65,BC_WAZones,0),MATCH(CW53,BC_WallShade,0))),$ET$17,INDEX(BC_WallR,MATCH($D$65,BC_WAZones,0),MATCH(CW53,BC_WallShade,0))))</f>
        <v/>
      </c>
      <c r="CZ53" s="866"/>
      <c r="DA53" s="725"/>
      <c r="DB53" s="725"/>
      <c r="DC53" s="867"/>
      <c r="DD53" s="577"/>
      <c r="DE53" s="562"/>
      <c r="DF53" s="577"/>
      <c r="DG53" s="1063"/>
      <c r="DH53" s="1063"/>
      <c r="DI53" s="1063"/>
      <c r="DJ53" s="1063"/>
      <c r="DK53" s="1063"/>
      <c r="DL53" s="1063"/>
      <c r="DM53" s="1051"/>
      <c r="DN53" s="1051"/>
      <c r="DO53" s="1051"/>
      <c r="DP53" s="1051"/>
      <c r="DQ53" s="1051"/>
      <c r="DR53" s="1051"/>
      <c r="DS53" s="1051"/>
      <c r="DT53" s="824"/>
      <c r="DU53" s="824"/>
      <c r="DV53" s="1064"/>
      <c r="DW53" s="1064"/>
      <c r="DX53" s="1064"/>
      <c r="DY53" s="802"/>
      <c r="DZ53" s="577"/>
      <c r="EA53" s="562"/>
      <c r="EB53" s="577"/>
      <c r="EC53" s="504"/>
      <c r="ED53" s="504"/>
      <c r="EE53" s="504"/>
      <c r="EF53" s="504"/>
      <c r="EG53" s="504"/>
      <c r="EH53" s="504"/>
      <c r="EI53" s="504"/>
      <c r="EJ53" s="516"/>
      <c r="EK53" s="516"/>
      <c r="EL53" s="516"/>
      <c r="EM53" s="788"/>
      <c r="EN53" s="516"/>
      <c r="EO53" s="516"/>
      <c r="EP53" s="577"/>
      <c r="EQ53" s="562"/>
      <c r="ES53" s="543"/>
      <c r="ET53" s="536" t="s">
        <v>519</v>
      </c>
      <c r="EV53" s="500" t="b">
        <f t="shared" si="41"/>
        <v>0</v>
      </c>
      <c r="EW53" s="500" t="b">
        <f t="shared" si="65"/>
        <v>0</v>
      </c>
      <c r="EX53" s="500" t="b">
        <f t="shared" si="66"/>
        <v>0</v>
      </c>
      <c r="EY53" s="500" t="b">
        <f t="shared" si="42"/>
        <v>0</v>
      </c>
      <c r="EZ53" s="500" t="b">
        <f t="shared" si="43"/>
        <v>0</v>
      </c>
      <c r="FA53" s="500" t="b">
        <f t="shared" si="44"/>
        <v>0</v>
      </c>
      <c r="FB53" s="500" t="b">
        <f t="shared" si="45"/>
        <v>0</v>
      </c>
      <c r="FC53" s="500" t="b">
        <f t="shared" si="67"/>
        <v>0</v>
      </c>
      <c r="FD53" s="500" t="b">
        <f t="shared" si="68"/>
        <v>0</v>
      </c>
      <c r="FE53" s="500" t="b">
        <f t="shared" si="46"/>
        <v>0</v>
      </c>
      <c r="FF53" s="500" t="b">
        <f t="shared" si="47"/>
        <v>0</v>
      </c>
      <c r="FG53" s="500" t="b">
        <f t="shared" si="48"/>
        <v>0</v>
      </c>
      <c r="FI53" s="611">
        <f t="shared" si="49"/>
        <v>0</v>
      </c>
      <c r="FJ53" s="611">
        <f t="shared" si="50"/>
        <v>0</v>
      </c>
      <c r="FK53" s="611">
        <f t="shared" si="69"/>
        <v>0</v>
      </c>
      <c r="FL53" s="612"/>
      <c r="FM53" s="613">
        <f t="shared" si="51"/>
        <v>0</v>
      </c>
      <c r="FN53" s="613">
        <f t="shared" si="52"/>
        <v>0</v>
      </c>
      <c r="FO53" s="613">
        <f t="shared" si="53"/>
        <v>0</v>
      </c>
      <c r="FP53" s="613">
        <f t="shared" si="54"/>
        <v>0</v>
      </c>
      <c r="FQ53" s="613">
        <f t="shared" si="55"/>
        <v>0</v>
      </c>
      <c r="FR53" s="613">
        <f t="shared" si="56"/>
        <v>0</v>
      </c>
      <c r="FS53" s="613">
        <f t="shared" si="57"/>
        <v>0</v>
      </c>
      <c r="FT53" s="613">
        <f t="shared" si="58"/>
        <v>0</v>
      </c>
      <c r="FU53" s="613">
        <f t="shared" si="59"/>
        <v>0</v>
      </c>
      <c r="FV53" s="613">
        <f t="shared" si="60"/>
        <v>0</v>
      </c>
      <c r="FW53" s="613">
        <f t="shared" si="61"/>
        <v>0</v>
      </c>
      <c r="FX53" s="613">
        <f t="shared" si="62"/>
        <v>0</v>
      </c>
      <c r="GF53" s="500" t="str">
        <f>$GF$36</f>
        <v>Tiled cover, P/board flat ceiling - Unventilated, Up: BCA Fig 3.12.1.1(c)</v>
      </c>
      <c r="HD53" s="533"/>
      <c r="HE53" s="534"/>
      <c r="HF53" s="616" t="b">
        <f>IF(ISBLANK(BI52),FALSE(),MID(AX42,FIND(":",AX42,1)-2,1)&lt;&gt;MID(BI52,9,1))</f>
        <v>0</v>
      </c>
      <c r="HG53" s="616" t="b">
        <f>AND(BK52&lt;&gt;$GG$72,AND(AY52=$ET$13,MID(BB52,1,3)=$ET$31))</f>
        <v>0</v>
      </c>
      <c r="HH53" s="535"/>
      <c r="HI53" s="863"/>
      <c r="HJ53" s="779"/>
      <c r="HK53" s="779"/>
      <c r="HL53" s="779"/>
      <c r="HM53" s="533"/>
      <c r="HN53" s="830"/>
      <c r="HO53" s="534"/>
      <c r="HP53" s="535"/>
      <c r="ID53" s="624" t="s">
        <v>875</v>
      </c>
      <c r="IF53" s="562" t="s">
        <v>473</v>
      </c>
      <c r="IG53" s="562" t="s">
        <v>474</v>
      </c>
      <c r="IH53" s="497" t="s">
        <v>475</v>
      </c>
      <c r="II53" s="497" t="s">
        <v>878</v>
      </c>
      <c r="IJ53" s="497" t="s">
        <v>472</v>
      </c>
      <c r="IL53" s="716" t="s">
        <v>1084</v>
      </c>
      <c r="IM53" s="673" t="s">
        <v>8</v>
      </c>
      <c r="IN53" s="534"/>
      <c r="IO53" s="673" t="s">
        <v>926</v>
      </c>
      <c r="IP53" s="673"/>
      <c r="IQ53" s="673" t="s">
        <v>927</v>
      </c>
      <c r="IR53" s="717"/>
      <c r="IT53" s="500"/>
      <c r="IU53" s="500" t="s">
        <v>820</v>
      </c>
      <c r="IV53" s="500" t="str">
        <f>$IT$47</f>
        <v>Cavity, Ext clay masonry, Int clay masonry with render or p/board lining: BCA Fig 3.12.1.3(e)</v>
      </c>
      <c r="JT53" s="593" t="b">
        <f>AND(ISBLANK(CK53),ISNUMBER(CW53))</f>
        <v>0</v>
      </c>
      <c r="JU53" s="534"/>
      <c r="JV53" s="594" t="b">
        <f>AND(ISBLANK(CW53),ISTEXT(CK53))</f>
        <v>0</v>
      </c>
      <c r="JW53" s="614" t="b">
        <f>AND(SUM(CZ53:DC53)&gt;0,AND(ISBLANK(CK53),ISBLANK(CW53)))</f>
        <v>0</v>
      </c>
      <c r="JX53" s="577">
        <f>IF(OR(CZ53&gt;0,CZ56&gt;0),1,0)</f>
        <v>0</v>
      </c>
      <c r="JY53" s="577">
        <f t="shared" ref="JY53:KA53" si="101">IF(OR(DA53&gt;0,DA56&gt;0),1,0)</f>
        <v>0</v>
      </c>
      <c r="JZ53" s="577">
        <f t="shared" si="101"/>
        <v>0</v>
      </c>
      <c r="KA53" s="577">
        <f t="shared" si="101"/>
        <v>0</v>
      </c>
      <c r="KB53" s="593" t="b">
        <f>AND(ISTEXT($CZ$17),AND(CZ53=0,$JX$65&lt;2))</f>
        <v>0</v>
      </c>
      <c r="KC53" s="594" t="b">
        <f>AND(ISTEXT($DA$17),AND(DA53=0,$JY$65&lt;2))</f>
        <v>0</v>
      </c>
      <c r="KD53" s="594" t="b">
        <f>AND(ISTEXT($DB$17),AND(DB53=0,$JZ$65&lt;2))</f>
        <v>0</v>
      </c>
      <c r="KE53" s="614" t="b">
        <f>AND(ISTEXT($DC$17),AND(DC53=0,$KA$65&lt;2))</f>
        <v>0</v>
      </c>
      <c r="LP53" s="500"/>
      <c r="LV53" s="563">
        <f t="shared" si="63"/>
        <v>0</v>
      </c>
      <c r="LW53" s="563">
        <f t="shared" si="64"/>
        <v>0</v>
      </c>
      <c r="LZ53" s="514" t="s">
        <v>297</v>
      </c>
      <c r="MA53" s="514"/>
      <c r="MB53" s="514"/>
      <c r="MM53" s="543"/>
    </row>
    <row r="54" spans="1:351" ht="11.25" customHeight="1" thickBot="1">
      <c r="A54" s="577"/>
      <c r="B54" s="504"/>
      <c r="C54" s="504"/>
      <c r="D54" s="504"/>
      <c r="E54" s="504"/>
      <c r="F54" s="504"/>
      <c r="G54" s="516" t="str">
        <f>IF(OR(ISBLANK(T52),T52=$ET$51),FZ68,FZ69)</f>
        <v>Protocol B4.1.2 (breeze path connected to an existing ventilation opening)</v>
      </c>
      <c r="H54" s="504"/>
      <c r="I54" s="504"/>
      <c r="J54" s="504"/>
      <c r="K54" s="504"/>
      <c r="L54" s="504"/>
      <c r="M54" s="504"/>
      <c r="N54" s="504"/>
      <c r="O54" s="504"/>
      <c r="P54" s="504"/>
      <c r="Q54" s="504"/>
      <c r="R54" s="504"/>
      <c r="S54" s="504"/>
      <c r="T54" s="1082"/>
      <c r="U54" s="577"/>
      <c r="V54" s="562"/>
      <c r="W54" s="577"/>
      <c r="X54" s="847">
        <f>IF(ISBLANK(Calculator!C62),"",Calculator!C62)</f>
        <v>26</v>
      </c>
      <c r="Y54" s="972" t="str">
        <f>IF(ISBLANK(Calculator!D62),"",Calculator!D62)</f>
        <v/>
      </c>
      <c r="Z54" s="973"/>
      <c r="AA54" s="845" t="str">
        <f>IF(ISBLANK(Calculator!G62),"",Calculator!G62)</f>
        <v/>
      </c>
      <c r="AB54" s="846" t="str">
        <f>IF(ISBLANK(Calculator!H62),"",Calculator!H62)</f>
        <v/>
      </c>
      <c r="AC54" s="725"/>
      <c r="AD54" s="725"/>
      <c r="AE54" s="504"/>
      <c r="AF54" s="735"/>
      <c r="AG54" s="895"/>
      <c r="AH54" s="608" t="str">
        <f t="shared" si="40"/>
        <v/>
      </c>
      <c r="AI54" s="726"/>
      <c r="AJ54" s="726"/>
      <c r="AK54" s="726"/>
      <c r="AL54" s="726"/>
      <c r="AM54" s="726"/>
      <c r="AN54" s="726"/>
      <c r="AO54" s="726"/>
      <c r="AP54" s="726"/>
      <c r="AQ54" s="726"/>
      <c r="AR54" s="726"/>
      <c r="AS54" s="726"/>
      <c r="AT54" s="726"/>
      <c r="AU54" s="577"/>
      <c r="AV54" s="562"/>
      <c r="AW54" s="577"/>
      <c r="AX54" s="516"/>
      <c r="AY54" s="516"/>
      <c r="AZ54" s="516"/>
      <c r="BA54" s="516"/>
      <c r="BB54" s="516"/>
      <c r="BC54" s="516"/>
      <c r="BD54" s="516"/>
      <c r="BE54" s="516"/>
      <c r="BF54" s="516"/>
      <c r="BG54" s="516"/>
      <c r="BH54" s="516"/>
      <c r="BI54" s="516"/>
      <c r="BJ54" s="516"/>
      <c r="BK54" s="516"/>
      <c r="BL54" s="516"/>
      <c r="BM54" s="516"/>
      <c r="BN54" s="794"/>
      <c r="BO54" s="779"/>
      <c r="BP54" s="779"/>
      <c r="BQ54" s="799"/>
      <c r="BR54" s="577"/>
      <c r="BT54" s="577"/>
      <c r="BU54" s="504"/>
      <c r="BV54" s="568" t="str">
        <f>$BV$22</f>
        <v>Roof opening dimension</v>
      </c>
      <c r="BW54" s="504"/>
      <c r="BX54" s="504"/>
      <c r="BY54" s="504"/>
      <c r="BZ54" s="504"/>
      <c r="CA54" s="504"/>
      <c r="CB54" s="504"/>
      <c r="CC54" s="517"/>
      <c r="CD54" s="504"/>
      <c r="CE54" s="504"/>
      <c r="CF54" s="504"/>
      <c r="CG54" s="504"/>
      <c r="CH54" s="577"/>
      <c r="CI54" s="562"/>
      <c r="CJ54" s="577"/>
      <c r="CK54" s="504"/>
      <c r="CL54" s="504"/>
      <c r="CM54" s="504"/>
      <c r="CN54" s="504"/>
      <c r="CO54" s="504"/>
      <c r="CP54" s="504"/>
      <c r="CQ54" s="504"/>
      <c r="CR54" s="504"/>
      <c r="CS54" s="504"/>
      <c r="CT54" s="504"/>
      <c r="CU54" s="504"/>
      <c r="CV54" s="504"/>
      <c r="CW54" s="504"/>
      <c r="CX54" s="504"/>
      <c r="CY54" s="515"/>
      <c r="CZ54" s="868"/>
      <c r="DA54" s="869"/>
      <c r="DB54" s="869"/>
      <c r="DC54" s="870"/>
      <c r="DD54" s="577"/>
      <c r="DE54" s="562"/>
      <c r="DF54" s="577"/>
      <c r="DG54" s="802" t="s">
        <v>959</v>
      </c>
      <c r="DH54" s="802" t="str">
        <f>MID(DG20,10,30)</f>
        <v>Existing floor construction</v>
      </c>
      <c r="DI54" s="802"/>
      <c r="DJ54" s="802"/>
      <c r="DK54" s="802"/>
      <c r="DL54" s="802"/>
      <c r="DM54" s="738"/>
      <c r="DN54" s="1071" t="s">
        <v>1062</v>
      </c>
      <c r="DO54" s="1071"/>
      <c r="DP54" s="872" t="str">
        <f>IF(OR(ISBLANK(DM54),KL68=5),"",IF($DV$47=$ET$17,$ET$17,KH44))</f>
        <v/>
      </c>
      <c r="DQ54" s="802"/>
      <c r="DR54" s="802"/>
      <c r="DS54" s="802"/>
      <c r="DT54" s="802"/>
      <c r="DU54" s="802"/>
      <c r="DV54" s="1069" t="str">
        <f>IF(ISBLANK(DM54),"",IF(ISERROR(DM54-DP54),$ET$17,IF((DM54-DP54)&lt;0,0,DM54-DP54)))</f>
        <v/>
      </c>
      <c r="DW54" s="1070"/>
      <c r="DX54" s="802"/>
      <c r="DY54" s="802"/>
      <c r="DZ54" s="577"/>
      <c r="EA54" s="562"/>
      <c r="EB54" s="577"/>
      <c r="EC54" s="504"/>
      <c r="ED54" s="504"/>
      <c r="EE54" s="504"/>
      <c r="EF54" s="504"/>
      <c r="EG54" s="504"/>
      <c r="EH54" s="504"/>
      <c r="EI54" s="504"/>
      <c r="EJ54" s="504"/>
      <c r="EK54" s="504"/>
      <c r="EL54" s="573" t="str">
        <f>$EL$20</f>
        <v>Aggregate area of all spaces</v>
      </c>
      <c r="EM54" s="739"/>
      <c r="EN54" s="516"/>
      <c r="EO54" s="516"/>
      <c r="EP54" s="577"/>
      <c r="EQ54" s="562"/>
      <c r="ES54" s="543"/>
      <c r="ET54" s="500" t="s">
        <v>518</v>
      </c>
      <c r="EV54" s="500" t="b">
        <f t="shared" si="41"/>
        <v>0</v>
      </c>
      <c r="EW54" s="500" t="b">
        <f t="shared" si="65"/>
        <v>0</v>
      </c>
      <c r="EX54" s="500" t="b">
        <f t="shared" si="66"/>
        <v>0</v>
      </c>
      <c r="EY54" s="500" t="b">
        <f t="shared" si="42"/>
        <v>0</v>
      </c>
      <c r="EZ54" s="500" t="b">
        <f t="shared" si="43"/>
        <v>0</v>
      </c>
      <c r="FA54" s="500" t="b">
        <f t="shared" si="44"/>
        <v>0</v>
      </c>
      <c r="FB54" s="500" t="b">
        <f t="shared" si="45"/>
        <v>0</v>
      </c>
      <c r="FC54" s="500" t="b">
        <f t="shared" si="67"/>
        <v>0</v>
      </c>
      <c r="FD54" s="500" t="b">
        <f t="shared" si="68"/>
        <v>0</v>
      </c>
      <c r="FE54" s="500" t="b">
        <f t="shared" si="46"/>
        <v>0</v>
      </c>
      <c r="FF54" s="500" t="b">
        <f t="shared" si="47"/>
        <v>0</v>
      </c>
      <c r="FG54" s="500" t="b">
        <f t="shared" si="48"/>
        <v>0</v>
      </c>
      <c r="FI54" s="611">
        <f t="shared" si="49"/>
        <v>0</v>
      </c>
      <c r="FJ54" s="611">
        <f t="shared" si="50"/>
        <v>0</v>
      </c>
      <c r="FK54" s="611">
        <f t="shared" si="69"/>
        <v>0</v>
      </c>
      <c r="FL54" s="612"/>
      <c r="FM54" s="613">
        <f t="shared" si="51"/>
        <v>0</v>
      </c>
      <c r="FN54" s="613">
        <f t="shared" si="52"/>
        <v>0</v>
      </c>
      <c r="FO54" s="613">
        <f t="shared" si="53"/>
        <v>0</v>
      </c>
      <c r="FP54" s="613">
        <f t="shared" si="54"/>
        <v>0</v>
      </c>
      <c r="FQ54" s="613">
        <f t="shared" si="55"/>
        <v>0</v>
      </c>
      <c r="FR54" s="613">
        <f t="shared" si="56"/>
        <v>0</v>
      </c>
      <c r="FS54" s="613">
        <f t="shared" si="57"/>
        <v>0</v>
      </c>
      <c r="FT54" s="613">
        <f t="shared" si="58"/>
        <v>0</v>
      </c>
      <c r="FU54" s="613">
        <f t="shared" si="59"/>
        <v>0</v>
      </c>
      <c r="FV54" s="613">
        <f t="shared" si="60"/>
        <v>0</v>
      </c>
      <c r="FW54" s="613">
        <f t="shared" si="61"/>
        <v>0</v>
      </c>
      <c r="FX54" s="613">
        <f t="shared" si="62"/>
        <v>0</v>
      </c>
      <c r="GF54" s="500" t="str">
        <f>$GF$38</f>
        <v>Metal cover, P/board flat ceiling - Ventilated, Up: BCA Fig 3.12.1.1(d)</v>
      </c>
      <c r="HD54" s="533"/>
      <c r="HE54" s="534"/>
      <c r="HF54" s="534"/>
      <c r="HG54" s="616" t="b">
        <f>AND(BK52&lt;&gt;$ET$13,AND(AY52=$ET$13,BB52=$ET$13))</f>
        <v>0</v>
      </c>
      <c r="HH54" s="535"/>
      <c r="HI54" s="863"/>
      <c r="HJ54" s="779"/>
      <c r="HK54" s="779"/>
      <c r="HL54" s="779"/>
      <c r="HM54" s="533"/>
      <c r="HN54" s="830"/>
      <c r="HO54" s="534"/>
      <c r="HP54" s="535"/>
      <c r="ID54" s="500">
        <f>COUNTIF(BV57:BW57,"&gt;0")</f>
        <v>0</v>
      </c>
      <c r="IE54" s="500">
        <f>COUNTIF(BY57,"&gt;0")</f>
        <v>0</v>
      </c>
      <c r="IF54" s="563">
        <f>IF(IE54=1,0,(BV57/1000)*(BW57/1000))</f>
        <v>0</v>
      </c>
      <c r="IG54" s="563">
        <f>IF(OR(ID54=1,ID54=2),0,PI()*POWER(BY57/2000,2))</f>
        <v>0</v>
      </c>
      <c r="IH54" s="563">
        <f>IF(IF54=0,BY57/1000,AVERAGE(BV57:BW57)/1000)</f>
        <v>0</v>
      </c>
      <c r="II54" s="563">
        <f>IF(IH54=0,0,CA57/1000/IH54)</f>
        <v>0</v>
      </c>
      <c r="IJ54" s="563">
        <f>SUM($IF54:$IG54)</f>
        <v>0</v>
      </c>
      <c r="IL54" s="593" t="b">
        <f>AND(ISNUMBER(BY57),OR(ISNUMBER(BW57),ISNUMBER(BV57)))</f>
        <v>0</v>
      </c>
      <c r="IM54" s="594" t="b">
        <f>AND(ISBLANK(BV57),ISNUMBER(BW57))</f>
        <v>0</v>
      </c>
      <c r="IN54" s="594" t="b">
        <f>AND(ISNUMBER(BV57),ISNUMBER(BY57))</f>
        <v>0</v>
      </c>
      <c r="IO54" s="594" t="b">
        <f>AND(ISBLANK(BW57),ISNUMBER(BV57))</f>
        <v>0</v>
      </c>
      <c r="IP54" s="594" t="b">
        <f>AND(ISNUMBER(BW57),ISNUMBER(BY57))</f>
        <v>0</v>
      </c>
      <c r="IQ54" s="594" t="b">
        <f>AND(ISBLANK(CA57),SUM(BV57:BY57)&gt;0)</f>
        <v>0</v>
      </c>
      <c r="IR54" s="614" t="b">
        <f>AND(ISNUMBER(CA57),SUM(BV57:BY57)=0)</f>
        <v>0</v>
      </c>
      <c r="IT54" s="500"/>
      <c r="IU54" s="500" t="s">
        <v>828</v>
      </c>
      <c r="IV54" s="500" t="str">
        <f>$IT$29</f>
        <v>Framed, Weatherboard external cladding, P/board internal lining: BCA Fig 3.12.1.3(a)</v>
      </c>
      <c r="JT54" s="533"/>
      <c r="JU54" s="534"/>
      <c r="JV54" s="594" t="b">
        <f>AND($T$52=$ET$50,CW54=$IY$56)</f>
        <v>0</v>
      </c>
      <c r="JW54" s="535"/>
      <c r="JX54" s="577"/>
      <c r="JY54" s="577"/>
      <c r="JZ54" s="577"/>
      <c r="KA54" s="577"/>
      <c r="KB54" s="533"/>
      <c r="KC54" s="534"/>
      <c r="KD54" s="534"/>
      <c r="KE54" s="535"/>
      <c r="LP54" s="500">
        <f>EM54</f>
        <v>0</v>
      </c>
      <c r="LR54" s="500" t="b">
        <f>AND(ISBLANK(EM54),ISTEXT(EM52))</f>
        <v>0</v>
      </c>
      <c r="LV54" s="563">
        <f t="shared" si="63"/>
        <v>0</v>
      </c>
      <c r="LW54" s="563">
        <f t="shared" si="64"/>
        <v>0</v>
      </c>
      <c r="MM54" s="543"/>
    </row>
    <row r="55" spans="1:351" ht="11.25" customHeight="1" thickBot="1">
      <c r="A55" s="577"/>
      <c r="B55" s="505"/>
      <c r="C55" s="505"/>
      <c r="D55" s="505"/>
      <c r="E55" s="505"/>
      <c r="F55" s="505"/>
      <c r="G55" s="588" t="str">
        <f>IF(OR(ISBLANK(T52),T52=$ET$51),FZ66,"")</f>
        <v>GLAZING &amp; AIR M/MENT D/SHEET(s) report calculations per storey for:</v>
      </c>
      <c r="H55" s="588"/>
      <c r="I55" s="588"/>
      <c r="J55" s="588"/>
      <c r="K55" s="588"/>
      <c r="L55" s="588"/>
      <c r="M55" s="588"/>
      <c r="N55" s="588"/>
      <c r="O55" s="588"/>
      <c r="P55" s="588" t="str">
        <f>IF(OR(ISBLANK(T52),T52=$ET$51),GA67,"")</f>
        <v xml:space="preserve"> </v>
      </c>
      <c r="Q55" s="588"/>
      <c r="R55" s="588"/>
      <c r="S55" s="588"/>
      <c r="T55" s="1022"/>
      <c r="U55" s="577"/>
      <c r="V55" s="562"/>
      <c r="W55" s="577"/>
      <c r="X55" s="847">
        <f>IF(ISBLANK(Calculator!C63),"",Calculator!C63)</f>
        <v>27</v>
      </c>
      <c r="Y55" s="972" t="str">
        <f>IF(ISBLANK(Calculator!D63),"",Calculator!D63)</f>
        <v/>
      </c>
      <c r="Z55" s="973"/>
      <c r="AA55" s="845" t="str">
        <f>IF(ISBLANK(Calculator!G63),"",Calculator!G63)</f>
        <v/>
      </c>
      <c r="AB55" s="846" t="str">
        <f>IF(ISBLANK(Calculator!H63),"",Calculator!H63)</f>
        <v/>
      </c>
      <c r="AC55" s="725"/>
      <c r="AD55" s="725"/>
      <c r="AE55" s="504"/>
      <c r="AF55" s="735"/>
      <c r="AG55" s="895"/>
      <c r="AH55" s="608" t="str">
        <f t="shared" si="40"/>
        <v/>
      </c>
      <c r="AI55" s="726"/>
      <c r="AJ55" s="726"/>
      <c r="AK55" s="726"/>
      <c r="AL55" s="726"/>
      <c r="AM55" s="726"/>
      <c r="AN55" s="726"/>
      <c r="AO55" s="726"/>
      <c r="AP55" s="726"/>
      <c r="AQ55" s="726"/>
      <c r="AR55" s="726"/>
      <c r="AS55" s="726"/>
      <c r="AT55" s="726"/>
      <c r="AU55" s="577"/>
      <c r="AV55" s="562"/>
      <c r="AW55" s="577"/>
      <c r="AX55" s="504"/>
      <c r="AY55" s="504"/>
      <c r="AZ55" s="504"/>
      <c r="BA55" s="504"/>
      <c r="BB55" s="504"/>
      <c r="BC55" s="504"/>
      <c r="BD55" s="504"/>
      <c r="BE55" s="504"/>
      <c r="BF55" s="504"/>
      <c r="BG55" s="504"/>
      <c r="BH55" s="504"/>
      <c r="BI55" s="504"/>
      <c r="BJ55" s="516"/>
      <c r="BK55" s="990" t="s">
        <v>642</v>
      </c>
      <c r="BL55" s="781"/>
      <c r="BM55" s="1016" t="s">
        <v>647</v>
      </c>
      <c r="BN55" s="794"/>
      <c r="BO55" s="779"/>
      <c r="BP55" s="779"/>
      <c r="BQ55" s="799"/>
      <c r="BR55" s="577"/>
      <c r="BT55" s="577"/>
      <c r="BU55" s="504"/>
      <c r="BV55" s="990" t="s">
        <v>1077</v>
      </c>
      <c r="BW55" s="990"/>
      <c r="BX55" s="519"/>
      <c r="BY55" s="990" t="s">
        <v>1078</v>
      </c>
      <c r="BZ55" s="519"/>
      <c r="CA55" s="990" t="s">
        <v>1079</v>
      </c>
      <c r="CB55" s="1005" t="s">
        <v>1080</v>
      </c>
      <c r="CC55" s="1033" t="s">
        <v>1099</v>
      </c>
      <c r="CD55" s="990"/>
      <c r="CE55" s="504"/>
      <c r="CF55" s="994" t="s">
        <v>987</v>
      </c>
      <c r="CG55" s="994" t="s">
        <v>1100</v>
      </c>
      <c r="CH55" s="577"/>
      <c r="CI55" s="562"/>
      <c r="CJ55" s="577"/>
      <c r="CK55" s="532" t="str">
        <f>CONCATENATE("Wall 4:"," ",$ET$38," ",$ET$30)</f>
        <v>Wall 4: Added wall construction (second option)</v>
      </c>
      <c r="CL55" s="532"/>
      <c r="CM55" s="585"/>
      <c r="CN55" s="585"/>
      <c r="CO55" s="585"/>
      <c r="CP55" s="585"/>
      <c r="CQ55" s="585"/>
      <c r="CR55" s="585"/>
      <c r="CS55" s="585"/>
      <c r="CT55" s="585"/>
      <c r="CU55" s="585"/>
      <c r="CV55" s="504"/>
      <c r="CW55" s="504"/>
      <c r="CX55" s="504"/>
      <c r="CY55" s="515"/>
      <c r="CZ55" s="868"/>
      <c r="DA55" s="869"/>
      <c r="DB55" s="869"/>
      <c r="DC55" s="870"/>
      <c r="DD55" s="577"/>
      <c r="DE55" s="562"/>
      <c r="DF55" s="577"/>
      <c r="DG55" s="802" t="s">
        <v>960</v>
      </c>
      <c r="DH55" s="802" t="str">
        <f>MID(DG26,10,FIND("(",DG26,1)-10)</f>
        <v xml:space="preserve">Existing floor construction </v>
      </c>
      <c r="DI55" s="802"/>
      <c r="DJ55" s="802"/>
      <c r="DK55" s="802"/>
      <c r="DL55" s="802"/>
      <c r="DM55" s="727"/>
      <c r="DN55" s="1071"/>
      <c r="DO55" s="1071"/>
      <c r="DP55" s="872" t="str">
        <f>IF(OR(ISBLANK(DM55),KL69=5),"",IF($DV$47=$ET$17,$ET$17,KH46))</f>
        <v/>
      </c>
      <c r="DQ55" s="802"/>
      <c r="DR55" s="802"/>
      <c r="DS55" s="802"/>
      <c r="DT55" s="802"/>
      <c r="DU55" s="802"/>
      <c r="DV55" s="1069" t="str">
        <f>IF(ISBLANK(DM55),"",IF(ISERROR(DM55-DP55),$ET$17,IF((DM55-DP55)&lt;0,0,DM55-DP55)))</f>
        <v/>
      </c>
      <c r="DW55" s="1070"/>
      <c r="DX55" s="802"/>
      <c r="DY55" s="802"/>
      <c r="DZ55" s="577"/>
      <c r="EA55" s="562"/>
      <c r="EB55" s="577"/>
      <c r="EC55" s="504"/>
      <c r="ED55" s="504"/>
      <c r="EE55" s="504"/>
      <c r="EF55" s="504"/>
      <c r="EG55" s="504"/>
      <c r="EH55" s="504"/>
      <c r="EI55" s="504"/>
      <c r="EJ55" s="504"/>
      <c r="EK55" s="504"/>
      <c r="EL55" s="504"/>
      <c r="EM55" s="517"/>
      <c r="EN55" s="516"/>
      <c r="EO55" s="516"/>
      <c r="EP55" s="577"/>
      <c r="EQ55" s="562"/>
      <c r="ES55" s="543"/>
      <c r="ET55" s="500" t="s">
        <v>385</v>
      </c>
      <c r="EV55" s="500" t="b">
        <f t="shared" si="41"/>
        <v>0</v>
      </c>
      <c r="EW55" s="500" t="b">
        <f t="shared" si="65"/>
        <v>0</v>
      </c>
      <c r="EX55" s="500" t="b">
        <f t="shared" si="66"/>
        <v>0</v>
      </c>
      <c r="EY55" s="500" t="b">
        <f t="shared" si="42"/>
        <v>0</v>
      </c>
      <c r="EZ55" s="500" t="b">
        <f t="shared" si="43"/>
        <v>0</v>
      </c>
      <c r="FA55" s="500" t="b">
        <f t="shared" si="44"/>
        <v>0</v>
      </c>
      <c r="FB55" s="500" t="b">
        <f t="shared" si="45"/>
        <v>0</v>
      </c>
      <c r="FC55" s="500" t="b">
        <f t="shared" si="67"/>
        <v>0</v>
      </c>
      <c r="FD55" s="500" t="b">
        <f t="shared" si="68"/>
        <v>0</v>
      </c>
      <c r="FE55" s="500" t="b">
        <f t="shared" si="46"/>
        <v>0</v>
      </c>
      <c r="FF55" s="500" t="b">
        <f t="shared" si="47"/>
        <v>0</v>
      </c>
      <c r="FG55" s="500" t="b">
        <f t="shared" si="48"/>
        <v>0</v>
      </c>
      <c r="FI55" s="611">
        <f t="shared" si="49"/>
        <v>0</v>
      </c>
      <c r="FJ55" s="611">
        <f t="shared" si="50"/>
        <v>0</v>
      </c>
      <c r="FK55" s="611">
        <f t="shared" si="69"/>
        <v>0</v>
      </c>
      <c r="FL55" s="612"/>
      <c r="FM55" s="613">
        <f t="shared" si="51"/>
        <v>0</v>
      </c>
      <c r="FN55" s="613">
        <f t="shared" si="52"/>
        <v>0</v>
      </c>
      <c r="FO55" s="613">
        <f t="shared" si="53"/>
        <v>0</v>
      </c>
      <c r="FP55" s="613">
        <f t="shared" si="54"/>
        <v>0</v>
      </c>
      <c r="FQ55" s="613">
        <f t="shared" si="55"/>
        <v>0</v>
      </c>
      <c r="FR55" s="613">
        <f t="shared" si="56"/>
        <v>0</v>
      </c>
      <c r="FS55" s="613">
        <f t="shared" si="57"/>
        <v>0</v>
      </c>
      <c r="FT55" s="613">
        <f t="shared" si="58"/>
        <v>0</v>
      </c>
      <c r="FU55" s="613">
        <f t="shared" si="59"/>
        <v>0</v>
      </c>
      <c r="FV55" s="613">
        <f t="shared" si="60"/>
        <v>0</v>
      </c>
      <c r="FW55" s="613">
        <f t="shared" si="61"/>
        <v>0</v>
      </c>
      <c r="FX55" s="613">
        <f t="shared" si="62"/>
        <v>0</v>
      </c>
      <c r="GF55" s="500" t="str">
        <f>$GF$40</f>
        <v>Metal cover, P/board flat ceiling - Unventilated, Up: BCA Fig 3.12.1.1(d)</v>
      </c>
      <c r="HD55" s="999" t="s">
        <v>735</v>
      </c>
      <c r="HE55" s="534"/>
      <c r="HF55" s="534"/>
      <c r="HG55" s="534"/>
      <c r="HH55" s="535"/>
      <c r="HI55" s="863"/>
      <c r="HJ55" s="779"/>
      <c r="HK55" s="779"/>
      <c r="HL55" s="779"/>
      <c r="HM55" s="533"/>
      <c r="HN55" s="830"/>
      <c r="HO55" s="534"/>
      <c r="HP55" s="535"/>
      <c r="ID55" s="500">
        <f>COUNTIF(BV58:BW58,"&gt;0")</f>
        <v>0</v>
      </c>
      <c r="IE55" s="500">
        <f>COUNTIF(BY58,"&gt;0")</f>
        <v>0</v>
      </c>
      <c r="IF55" s="563">
        <f>IF(IE55=1,0,(BV58/1000)*(BW58/1000))</f>
        <v>0</v>
      </c>
      <c r="IG55" s="563">
        <f>IF(OR(ID55=1,ID55=2),0,PI()*POWER(BY58/2000,2))</f>
        <v>0</v>
      </c>
      <c r="IH55" s="563">
        <f>IF(IF55=0,BY58/1000,AVERAGE(BV58:BW58)/1000)</f>
        <v>0</v>
      </c>
      <c r="II55" s="563">
        <f>IF(IH55=0,0,CA58/1000/IH55)</f>
        <v>0</v>
      </c>
      <c r="IJ55" s="563">
        <f t="shared" ref="IJ55:IJ56" si="102">SUM($IF55:$IG55)</f>
        <v>0</v>
      </c>
      <c r="IL55" s="593" t="b">
        <f>AND(ISNUMBER(BY58),OR(ISNUMBER(BW58),ISNUMBER(BV58)))</f>
        <v>0</v>
      </c>
      <c r="IM55" s="594" t="b">
        <f>AND(ISBLANK(BV58),ISNUMBER(BW58))</f>
        <v>0</v>
      </c>
      <c r="IN55" s="594" t="b">
        <f>AND(ISNUMBER(BV58),ISNUMBER(BY58))</f>
        <v>0</v>
      </c>
      <c r="IO55" s="594" t="b">
        <f>AND(ISBLANK(BW58),ISNUMBER(BV58))</f>
        <v>0</v>
      </c>
      <c r="IP55" s="594" t="b">
        <f>AND(ISNUMBER(BW58),ISNUMBER(BY58))</f>
        <v>0</v>
      </c>
      <c r="IQ55" s="594" t="b">
        <f>AND(ISBLANK(CA58),SUM(BV58:BY58)&gt;0)</f>
        <v>0</v>
      </c>
      <c r="IR55" s="614" t="b">
        <f>AND(ISNUMBER(CA58),SUM(BV58:BY58)=0)</f>
        <v>0</v>
      </c>
      <c r="IT55" s="500"/>
      <c r="IU55" s="500" t="s">
        <v>822</v>
      </c>
      <c r="IV55" s="500" t="str">
        <f>$IT$35</f>
        <v>Framed, Fibre cement external cladding, P/board internal lining: BCA Fig 3.12.1.3(b)</v>
      </c>
      <c r="IX55" s="536" t="s">
        <v>486</v>
      </c>
      <c r="JT55" s="533" t="s">
        <v>839</v>
      </c>
      <c r="JU55" s="534"/>
      <c r="JV55" s="534"/>
      <c r="JW55" s="535"/>
      <c r="JX55" s="577"/>
      <c r="JY55" s="577"/>
      <c r="JZ55" s="577"/>
      <c r="KA55" s="577"/>
      <c r="KB55" s="533"/>
      <c r="KC55" s="534"/>
      <c r="KD55" s="534"/>
      <c r="KE55" s="535"/>
      <c r="LP55" s="500"/>
      <c r="LV55" s="563">
        <f t="shared" si="63"/>
        <v>0</v>
      </c>
      <c r="LW55" s="563">
        <f t="shared" si="64"/>
        <v>0</v>
      </c>
      <c r="LZ55" s="497" t="s">
        <v>607</v>
      </c>
      <c r="MA55" s="497" t="s">
        <v>608</v>
      </c>
      <c r="MD55" s="500" t="e">
        <f>INDEX(BC_SHG_Constants,MATCH(MA55,BC_Glaz_F_A,0),MATCH($D$65,BC_WAZones_Glaz,0))</f>
        <v>#N/A</v>
      </c>
      <c r="MM55" s="543"/>
    </row>
    <row r="56" spans="1:351" ht="11.25" customHeight="1" thickBot="1">
      <c r="A56" s="577"/>
      <c r="B56" s="504"/>
      <c r="C56" s="504"/>
      <c r="D56" s="504"/>
      <c r="E56" s="504"/>
      <c r="F56" s="504"/>
      <c r="G56" s="504"/>
      <c r="H56" s="504"/>
      <c r="I56" s="504"/>
      <c r="J56" s="504"/>
      <c r="K56" s="504"/>
      <c r="L56" s="504"/>
      <c r="M56" s="504"/>
      <c r="N56" s="504"/>
      <c r="O56" s="504"/>
      <c r="P56" s="504"/>
      <c r="Q56" s="504"/>
      <c r="R56" s="504"/>
      <c r="S56" s="504"/>
      <c r="T56" s="504"/>
      <c r="U56" s="577"/>
      <c r="V56" s="562"/>
      <c r="W56" s="577"/>
      <c r="X56" s="847">
        <f>IF(ISBLANK(Calculator!C64),"",Calculator!C64)</f>
        <v>28</v>
      </c>
      <c r="Y56" s="972" t="str">
        <f>IF(ISBLANK(Calculator!D64),"",Calculator!D64)</f>
        <v/>
      </c>
      <c r="Z56" s="973"/>
      <c r="AA56" s="845" t="str">
        <f>IF(ISBLANK(Calculator!G64),"",Calculator!G64)</f>
        <v/>
      </c>
      <c r="AB56" s="846" t="str">
        <f>IF(ISBLANK(Calculator!H64),"",Calculator!H64)</f>
        <v/>
      </c>
      <c r="AC56" s="725"/>
      <c r="AD56" s="725"/>
      <c r="AE56" s="504"/>
      <c r="AF56" s="735"/>
      <c r="AG56" s="895"/>
      <c r="AH56" s="608" t="str">
        <f t="shared" si="40"/>
        <v/>
      </c>
      <c r="AI56" s="726"/>
      <c r="AJ56" s="726"/>
      <c r="AK56" s="726"/>
      <c r="AL56" s="726"/>
      <c r="AM56" s="726"/>
      <c r="AN56" s="726"/>
      <c r="AO56" s="726"/>
      <c r="AP56" s="726"/>
      <c r="AQ56" s="726"/>
      <c r="AR56" s="726"/>
      <c r="AS56" s="726"/>
      <c r="AT56" s="726"/>
      <c r="AU56" s="577"/>
      <c r="AV56" s="562"/>
      <c r="AW56" s="577"/>
      <c r="AX56" s="504"/>
      <c r="AY56" s="504"/>
      <c r="AZ56" s="504"/>
      <c r="BA56" s="504"/>
      <c r="BB56" s="504"/>
      <c r="BC56" s="504"/>
      <c r="BD56" s="504"/>
      <c r="BE56" s="504"/>
      <c r="BF56" s="504"/>
      <c r="BG56" s="504"/>
      <c r="BH56" s="504"/>
      <c r="BI56" s="504"/>
      <c r="BJ56" s="504"/>
      <c r="BK56" s="990"/>
      <c r="BL56" s="781"/>
      <c r="BM56" s="1016"/>
      <c r="BN56" s="794"/>
      <c r="BO56" s="779"/>
      <c r="BP56" s="779"/>
      <c r="BQ56" s="799"/>
      <c r="BR56" s="577"/>
      <c r="BT56" s="577"/>
      <c r="BU56" s="505"/>
      <c r="BV56" s="975"/>
      <c r="BW56" s="975"/>
      <c r="BX56" s="786"/>
      <c r="BY56" s="975"/>
      <c r="BZ56" s="786"/>
      <c r="CA56" s="975"/>
      <c r="CB56" s="1006"/>
      <c r="CC56" s="1034"/>
      <c r="CD56" s="1035"/>
      <c r="CE56" s="505"/>
      <c r="CF56" s="994"/>
      <c r="CG56" s="995"/>
      <c r="CH56" s="577"/>
      <c r="CJ56" s="577"/>
      <c r="CK56" s="976"/>
      <c r="CL56" s="977"/>
      <c r="CM56" s="977"/>
      <c r="CN56" s="977"/>
      <c r="CO56" s="977"/>
      <c r="CP56" s="977"/>
      <c r="CQ56" s="977"/>
      <c r="CR56" s="977"/>
      <c r="CS56" s="977"/>
      <c r="CT56" s="977"/>
      <c r="CU56" s="978"/>
      <c r="CV56" s="633"/>
      <c r="CW56" s="725"/>
      <c r="CX56" s="610"/>
      <c r="CY56" s="784" t="str">
        <f>IF(JC118=2,"",IF(ISERROR(INDEX(BC_WallR,MATCH($D$65,BC_WAZones,0),MATCH(CW56,BC_WallShade,0))),$ET$17,INDEX(BC_WallR,MATCH($D$65,BC_WAZones,0),MATCH(CW56,BC_WallShade,0))))</f>
        <v/>
      </c>
      <c r="CZ56" s="866"/>
      <c r="DA56" s="725"/>
      <c r="DB56" s="725"/>
      <c r="DC56" s="867"/>
      <c r="DD56" s="577"/>
      <c r="DE56" s="562"/>
      <c r="DF56" s="577"/>
      <c r="DG56" s="802"/>
      <c r="DH56" s="802"/>
      <c r="DI56" s="802"/>
      <c r="DJ56" s="802"/>
      <c r="DK56" s="802"/>
      <c r="DL56" s="802"/>
      <c r="DM56" s="810"/>
      <c r="DN56" s="1071"/>
      <c r="DO56" s="1071"/>
      <c r="DP56" s="805"/>
      <c r="DQ56" s="802"/>
      <c r="DR56" s="802"/>
      <c r="DS56" s="802"/>
      <c r="DT56" s="802"/>
      <c r="DU56" s="802"/>
      <c r="DV56" s="875"/>
      <c r="DW56" s="813"/>
      <c r="DX56" s="802"/>
      <c r="DY56" s="802"/>
      <c r="DZ56" s="577"/>
      <c r="EA56" s="562"/>
      <c r="EB56" s="577"/>
      <c r="EC56" s="504"/>
      <c r="ED56" s="504"/>
      <c r="EE56" s="504"/>
      <c r="EF56" s="504"/>
      <c r="EG56" s="504"/>
      <c r="EH56" s="504"/>
      <c r="EI56" s="504"/>
      <c r="EJ56" s="628"/>
      <c r="EK56" s="628"/>
      <c r="EL56" s="789" t="str">
        <f>$EL$22</f>
        <v>MAXIMUM total wattage</v>
      </c>
      <c r="EM56" s="783" t="str">
        <f>IF(OR(ISBLANK(EM52),ISBLANK(EM54)),"",LP56)</f>
        <v/>
      </c>
      <c r="EN56" s="516"/>
      <c r="EO56" s="516"/>
      <c r="EP56" s="577"/>
      <c r="EQ56" s="562"/>
      <c r="ES56" s="543"/>
      <c r="EV56" s="500" t="b">
        <f t="shared" si="41"/>
        <v>0</v>
      </c>
      <c r="EW56" s="500" t="b">
        <f t="shared" si="65"/>
        <v>0</v>
      </c>
      <c r="EX56" s="500" t="b">
        <f t="shared" si="66"/>
        <v>0</v>
      </c>
      <c r="EY56" s="500" t="b">
        <f t="shared" si="42"/>
        <v>0</v>
      </c>
      <c r="EZ56" s="500" t="b">
        <f t="shared" si="43"/>
        <v>0</v>
      </c>
      <c r="FA56" s="500" t="b">
        <f t="shared" si="44"/>
        <v>0</v>
      </c>
      <c r="FB56" s="500" t="b">
        <f t="shared" si="45"/>
        <v>0</v>
      </c>
      <c r="FC56" s="500" t="b">
        <f t="shared" si="67"/>
        <v>0</v>
      </c>
      <c r="FD56" s="500" t="b">
        <f t="shared" si="68"/>
        <v>0</v>
      </c>
      <c r="FE56" s="500" t="b">
        <f t="shared" si="46"/>
        <v>0</v>
      </c>
      <c r="FF56" s="500" t="b">
        <f t="shared" si="47"/>
        <v>0</v>
      </c>
      <c r="FG56" s="500" t="b">
        <f t="shared" si="48"/>
        <v>0</v>
      </c>
      <c r="FI56" s="611">
        <f t="shared" si="49"/>
        <v>0</v>
      </c>
      <c r="FJ56" s="611">
        <f t="shared" si="50"/>
        <v>0</v>
      </c>
      <c r="FK56" s="611">
        <f t="shared" si="69"/>
        <v>0</v>
      </c>
      <c r="FL56" s="612"/>
      <c r="FM56" s="613">
        <f t="shared" si="51"/>
        <v>0</v>
      </c>
      <c r="FN56" s="613">
        <f t="shared" si="52"/>
        <v>0</v>
      </c>
      <c r="FO56" s="613">
        <f t="shared" si="53"/>
        <v>0</v>
      </c>
      <c r="FP56" s="613">
        <f t="shared" si="54"/>
        <v>0</v>
      </c>
      <c r="FQ56" s="613">
        <f t="shared" si="55"/>
        <v>0</v>
      </c>
      <c r="FR56" s="613">
        <f t="shared" si="56"/>
        <v>0</v>
      </c>
      <c r="FS56" s="613">
        <f t="shared" si="57"/>
        <v>0</v>
      </c>
      <c r="FT56" s="613">
        <f t="shared" si="58"/>
        <v>0</v>
      </c>
      <c r="FU56" s="613">
        <f t="shared" si="59"/>
        <v>0</v>
      </c>
      <c r="FV56" s="613">
        <f t="shared" si="60"/>
        <v>0</v>
      </c>
      <c r="FW56" s="613">
        <f t="shared" si="61"/>
        <v>0</v>
      </c>
      <c r="FX56" s="613">
        <f t="shared" si="62"/>
        <v>0</v>
      </c>
      <c r="HD56" s="999"/>
      <c r="HE56" s="534" t="s">
        <v>734</v>
      </c>
      <c r="HF56" s="534" t="s">
        <v>418</v>
      </c>
      <c r="HG56" s="534"/>
      <c r="HH56" s="535"/>
      <c r="HI56" s="902" t="s">
        <v>1028</v>
      </c>
      <c r="HJ56" s="779"/>
      <c r="HK56" s="779"/>
      <c r="HL56" s="779"/>
      <c r="HM56" s="533"/>
      <c r="HN56" s="830"/>
      <c r="HO56" s="534"/>
      <c r="HP56" s="535"/>
      <c r="ID56" s="500">
        <f>COUNTIF(BV59:BW59,"&gt;0")</f>
        <v>0</v>
      </c>
      <c r="IE56" s="500">
        <f>COUNTIF(BY59,"&gt;0")</f>
        <v>0</v>
      </c>
      <c r="IF56" s="563">
        <f>IF(IE56=1,0,(BV59/1000)*(BW59/1000))</f>
        <v>0</v>
      </c>
      <c r="IG56" s="563">
        <f>IF(OR(ID56=1,ID56=2),0,PI()*POWER(BY59/2000,2))</f>
        <v>0</v>
      </c>
      <c r="IH56" s="563">
        <f>IF(IF56=0,BY59/1000,AVERAGE(BV59:BW59)/1000)</f>
        <v>0</v>
      </c>
      <c r="II56" s="563">
        <f>IF(IH56=0,0,CA59/1000/IH56)</f>
        <v>0</v>
      </c>
      <c r="IJ56" s="563">
        <f t="shared" si="102"/>
        <v>0</v>
      </c>
      <c r="IL56" s="625" t="b">
        <f>AND(ISNUMBER(BY59),OR(ISNUMBER(BW59),ISNUMBER(BV59)))</f>
        <v>0</v>
      </c>
      <c r="IM56" s="559" t="b">
        <f>AND(ISBLANK(BV59),ISNUMBER(BW59))</f>
        <v>0</v>
      </c>
      <c r="IN56" s="559" t="b">
        <f>AND(ISNUMBER(BV59),ISNUMBER(BY59))</f>
        <v>0</v>
      </c>
      <c r="IO56" s="559" t="b">
        <f>AND(ISBLANK(BW59),ISNUMBER(BV59))</f>
        <v>0</v>
      </c>
      <c r="IP56" s="559" t="b">
        <f>AND(ISNUMBER(BW59),ISNUMBER(BY59))</f>
        <v>0</v>
      </c>
      <c r="IQ56" s="559" t="b">
        <f>AND(ISBLANK(CA59),SUM(BV59:BY59)&gt;0)</f>
        <v>0</v>
      </c>
      <c r="IR56" s="698" t="b">
        <f>AND(ISNUMBER(CA59),SUM(BV59:BY59)=0)</f>
        <v>0</v>
      </c>
      <c r="IT56" s="500"/>
      <c r="IU56" s="500" t="s">
        <v>824</v>
      </c>
      <c r="IV56" s="500" t="str">
        <f>$IT$52</f>
        <v>R/b veneer, Clad ext frame, Int clay masonry with render or p/board lining: BCA Fig 3.12.1.3(f)</v>
      </c>
      <c r="IX56" s="500" t="s">
        <v>487</v>
      </c>
      <c r="IY56" s="500" t="s">
        <v>488</v>
      </c>
      <c r="JT56" s="593" t="b">
        <f>AND(ISBLANK(CK56),ISNUMBER(CW56))</f>
        <v>0</v>
      </c>
      <c r="JU56" s="534"/>
      <c r="JV56" s="594" t="b">
        <f>AND(ISBLANK(CW56),ISTEXT(CK56))</f>
        <v>0</v>
      </c>
      <c r="JW56" s="614" t="b">
        <f>AND(SUM(CZ56:DC56)&gt;0,AND(ISBLANK(CK56),ISBLANK(CW56)))</f>
        <v>0</v>
      </c>
      <c r="JX56" s="577"/>
      <c r="JY56" s="577"/>
      <c r="JZ56" s="577"/>
      <c r="KA56" s="577"/>
      <c r="KB56" s="625" t="b">
        <f>AND(ISTEXT($CZ$17),AND(CZ56=0,$JX$65&lt;2))</f>
        <v>0</v>
      </c>
      <c r="KC56" s="559" t="b">
        <f>AND(ISTEXT($DA$17),AND(DA56=0,$JY$65&lt;2))</f>
        <v>0</v>
      </c>
      <c r="KD56" s="559" t="b">
        <f>AND(ISTEXT($DB$17),AND(DB56=0,$JZ$65&lt;2))</f>
        <v>0</v>
      </c>
      <c r="KE56" s="698" t="b">
        <f>AND(ISTEXT($DC$17),AND(DC56=0,$KA$65&lt;2))</f>
        <v>0</v>
      </c>
      <c r="LP56" s="500">
        <f>LP54*$LN$48</f>
        <v>0</v>
      </c>
      <c r="LV56" s="563">
        <f t="shared" si="63"/>
        <v>0</v>
      </c>
      <c r="LW56" s="563">
        <f t="shared" si="64"/>
        <v>0</v>
      </c>
      <c r="MA56" s="497" t="s">
        <v>609</v>
      </c>
      <c r="MD56" s="500" t="e">
        <f>INDEX(BC_SHG_Constants,MATCH(MA56,BC_Glaz_F_A,0),MATCH($D$65,BC_WAZones_Glaz,0))</f>
        <v>#N/A</v>
      </c>
      <c r="MM56" s="543"/>
    </row>
    <row r="57" spans="1:351" ht="11.25" customHeight="1" thickBot="1">
      <c r="A57" s="577"/>
      <c r="B57" s="516" t="s">
        <v>550</v>
      </c>
      <c r="C57" s="516"/>
      <c r="D57" s="516"/>
      <c r="E57" s="516"/>
      <c r="F57" s="516"/>
      <c r="G57" s="516" t="s">
        <v>512</v>
      </c>
      <c r="H57" s="516"/>
      <c r="I57" s="504"/>
      <c r="J57" s="516"/>
      <c r="K57" s="516"/>
      <c r="L57" s="516"/>
      <c r="M57" s="516"/>
      <c r="N57" s="516"/>
      <c r="O57" s="516"/>
      <c r="P57" s="516"/>
      <c r="Q57" s="516"/>
      <c r="R57" s="516"/>
      <c r="S57" s="516"/>
      <c r="T57" s="1021"/>
      <c r="U57" s="577"/>
      <c r="V57" s="562"/>
      <c r="W57" s="577"/>
      <c r="X57" s="847">
        <f>IF(ISBLANK(Calculator!C65),"",Calculator!C65)</f>
        <v>29</v>
      </c>
      <c r="Y57" s="972" t="str">
        <f>IF(ISBLANK(Calculator!D65),"",Calculator!D65)</f>
        <v/>
      </c>
      <c r="Z57" s="973"/>
      <c r="AA57" s="845" t="str">
        <f>IF(ISBLANK(Calculator!G65),"",Calculator!G65)</f>
        <v/>
      </c>
      <c r="AB57" s="846" t="str">
        <f>IF(ISBLANK(Calculator!H65),"",Calculator!H65)</f>
        <v/>
      </c>
      <c r="AC57" s="725"/>
      <c r="AD57" s="725"/>
      <c r="AE57" s="504"/>
      <c r="AF57" s="735"/>
      <c r="AG57" s="895"/>
      <c r="AH57" s="608" t="str">
        <f t="shared" si="40"/>
        <v/>
      </c>
      <c r="AI57" s="726"/>
      <c r="AJ57" s="726"/>
      <c r="AK57" s="726"/>
      <c r="AL57" s="726"/>
      <c r="AM57" s="726"/>
      <c r="AN57" s="726"/>
      <c r="AO57" s="726"/>
      <c r="AP57" s="726"/>
      <c r="AQ57" s="726"/>
      <c r="AR57" s="726"/>
      <c r="AS57" s="726"/>
      <c r="AT57" s="726"/>
      <c r="AU57" s="577"/>
      <c r="AV57" s="562"/>
      <c r="AW57" s="577"/>
      <c r="AX57" s="634" t="str">
        <f>CONCATENATE("Roof 3:"," ",$ET$35)</f>
        <v>Roof 3: Added roof construction</v>
      </c>
      <c r="AY57" s="629"/>
      <c r="AZ57" s="629"/>
      <c r="BA57" s="629"/>
      <c r="BB57" s="629"/>
      <c r="BC57" s="629"/>
      <c r="BD57" s="629"/>
      <c r="BE57" s="629"/>
      <c r="BF57" s="629"/>
      <c r="BG57" s="629"/>
      <c r="BH57" s="629"/>
      <c r="BI57" s="629"/>
      <c r="BJ57" s="504"/>
      <c r="BK57" s="975"/>
      <c r="BL57" s="781"/>
      <c r="BM57" s="1016"/>
      <c r="BN57" s="794"/>
      <c r="BO57" s="779"/>
      <c r="BP57" s="779"/>
      <c r="BQ57" s="799"/>
      <c r="BR57" s="577"/>
      <c r="BT57" s="577"/>
      <c r="BU57" s="560" t="s">
        <v>471</v>
      </c>
      <c r="BV57" s="913"/>
      <c r="BW57" s="913"/>
      <c r="BX57" s="917"/>
      <c r="BY57" s="913"/>
      <c r="BZ57" s="917"/>
      <c r="CA57" s="913"/>
      <c r="CB57" s="710" t="str">
        <f>IF(II54=0,"",II54)</f>
        <v/>
      </c>
      <c r="CC57" s="707" t="str">
        <f>IF(OR(ISERROR(IJ59),IR57&gt;0),$ET$17,IF(IJ59=0,"",IJ59))</f>
        <v/>
      </c>
      <c r="CD57" s="708" t="str">
        <f>IF(OR(CC57=$ET$17,CC57=""),"",IF(CC57&gt;5%,$ET$16,$ET$15))</f>
        <v/>
      </c>
      <c r="CE57" s="504"/>
      <c r="CF57" s="709" t="str">
        <f>IF(OR(ISERROR($IJ$59),$IR$57&gt;0),$ET$17,IF($CC$57="","",IF($CC$57&gt;5%,$ET$39,IF(SUM(BV57:BY57)=0,"",INDEX(BC_RLight_U,MATCH(CB57,BC_RLight_Shaft,-1),MATCH($CC$57,BC_RLight_Percent,-1))))))</f>
        <v/>
      </c>
      <c r="CG57" s="709" t="str">
        <f>IF(OR(ISERROR($IJ$59),$IR$57&gt;0),$ET$17,IF($CC$57="","",IF($CC$57&gt;5%,$ET$39,IF(SUM(BV57:BY57)=0,"",INDEX(BC_RLight_SHGC,MATCH(CB57,BC_RLight_Shaft,-1),MATCH($CC$57,BC_RLight_Percent,-1))))))</f>
        <v/>
      </c>
      <c r="CH57" s="577"/>
      <c r="CJ57" s="577"/>
      <c r="CK57" s="504"/>
      <c r="CL57" s="504"/>
      <c r="CM57" s="504"/>
      <c r="CN57" s="504"/>
      <c r="CO57" s="504"/>
      <c r="CP57" s="504"/>
      <c r="CQ57" s="504"/>
      <c r="CR57" s="504"/>
      <c r="CS57" s="504"/>
      <c r="CT57" s="504"/>
      <c r="CU57" s="504"/>
      <c r="CV57" s="504"/>
      <c r="CW57" s="504"/>
      <c r="CX57" s="504"/>
      <c r="CY57" s="504"/>
      <c r="CZ57" s="794"/>
      <c r="DA57" s="779"/>
      <c r="DB57" s="779"/>
      <c r="DC57" s="799"/>
      <c r="DD57" s="577"/>
      <c r="DE57" s="562"/>
      <c r="DF57" s="577"/>
      <c r="DG57" s="802" t="s">
        <v>961</v>
      </c>
      <c r="DH57" s="802" t="str">
        <f>MID(DG34,10,30)</f>
        <v>Added floor construction</v>
      </c>
      <c r="DI57" s="802"/>
      <c r="DJ57" s="802"/>
      <c r="DK57" s="802"/>
      <c r="DL57" s="802"/>
      <c r="DM57" s="727"/>
      <c r="DN57" s="1071"/>
      <c r="DO57" s="1071"/>
      <c r="DP57" s="872" t="str">
        <f>IF(OR(ISBLANK(DM57),KL70=4),"",IF($DV$47=$ET$17,$ET$17,KH48))</f>
        <v/>
      </c>
      <c r="DQ57" s="802"/>
      <c r="DR57" s="802"/>
      <c r="DS57" s="802"/>
      <c r="DT57" s="802"/>
      <c r="DU57" s="802"/>
      <c r="DV57" s="1069" t="str">
        <f>IF(ISBLANK(DM57),"",IF(ISERROR(DM57-DP57),$ET$17,IF((DM57-DP57)&lt;0,0,DM57-DP57)))</f>
        <v/>
      </c>
      <c r="DW57" s="1070"/>
      <c r="DX57" s="802"/>
      <c r="DY57" s="802"/>
      <c r="DZ57" s="577"/>
      <c r="EA57" s="562"/>
      <c r="EB57" s="577"/>
      <c r="EC57" s="504"/>
      <c r="ED57" s="504"/>
      <c r="EE57" s="504"/>
      <c r="EF57" s="504"/>
      <c r="EG57" s="504"/>
      <c r="EH57" s="504"/>
      <c r="EI57" s="504"/>
      <c r="EJ57" s="504"/>
      <c r="EK57" s="504"/>
      <c r="EL57" s="504"/>
      <c r="EM57" s="504"/>
      <c r="EN57" s="504"/>
      <c r="EO57" s="504"/>
      <c r="EP57" s="577"/>
      <c r="EQ57" s="562"/>
      <c r="ES57" s="543"/>
      <c r="ET57" s="536" t="s">
        <v>910</v>
      </c>
      <c r="EV57" s="500" t="b">
        <f t="shared" si="41"/>
        <v>0</v>
      </c>
      <c r="EW57" s="500" t="b">
        <f t="shared" si="65"/>
        <v>0</v>
      </c>
      <c r="EX57" s="500" t="b">
        <f t="shared" si="66"/>
        <v>0</v>
      </c>
      <c r="EY57" s="500" t="b">
        <f t="shared" si="42"/>
        <v>0</v>
      </c>
      <c r="EZ57" s="500" t="b">
        <f t="shared" si="43"/>
        <v>0</v>
      </c>
      <c r="FA57" s="500" t="b">
        <f t="shared" si="44"/>
        <v>0</v>
      </c>
      <c r="FB57" s="500" t="b">
        <f t="shared" si="45"/>
        <v>0</v>
      </c>
      <c r="FC57" s="500" t="b">
        <f t="shared" si="67"/>
        <v>0</v>
      </c>
      <c r="FD57" s="500" t="b">
        <f t="shared" si="68"/>
        <v>0</v>
      </c>
      <c r="FE57" s="500" t="b">
        <f t="shared" si="46"/>
        <v>0</v>
      </c>
      <c r="FF57" s="500" t="b">
        <f t="shared" si="47"/>
        <v>0</v>
      </c>
      <c r="FG57" s="500" t="b">
        <f t="shared" si="48"/>
        <v>0</v>
      </c>
      <c r="FI57" s="611">
        <f t="shared" si="49"/>
        <v>0</v>
      </c>
      <c r="FJ57" s="611">
        <f t="shared" si="50"/>
        <v>0</v>
      </c>
      <c r="FK57" s="611">
        <f t="shared" si="69"/>
        <v>0</v>
      </c>
      <c r="FL57" s="612"/>
      <c r="FM57" s="613">
        <f t="shared" si="51"/>
        <v>0</v>
      </c>
      <c r="FN57" s="613">
        <f t="shared" si="52"/>
        <v>0</v>
      </c>
      <c r="FO57" s="613">
        <f t="shared" si="53"/>
        <v>0</v>
      </c>
      <c r="FP57" s="613">
        <f t="shared" si="54"/>
        <v>0</v>
      </c>
      <c r="FQ57" s="613">
        <f t="shared" si="55"/>
        <v>0</v>
      </c>
      <c r="FR57" s="613">
        <f t="shared" si="56"/>
        <v>0</v>
      </c>
      <c r="FS57" s="613">
        <f t="shared" si="57"/>
        <v>0</v>
      </c>
      <c r="FT57" s="613">
        <f t="shared" si="58"/>
        <v>0</v>
      </c>
      <c r="FU57" s="613">
        <f t="shared" si="59"/>
        <v>0</v>
      </c>
      <c r="FV57" s="613">
        <f t="shared" si="60"/>
        <v>0</v>
      </c>
      <c r="FW57" s="613">
        <f t="shared" si="61"/>
        <v>0</v>
      </c>
      <c r="FX57" s="613">
        <f t="shared" si="62"/>
        <v>0</v>
      </c>
      <c r="GF57" s="536" t="s">
        <v>450</v>
      </c>
      <c r="HD57" s="593" t="b">
        <f>AND(ISBLANK(AX58),ISTEXT(BK58))</f>
        <v>0</v>
      </c>
      <c r="HE57" s="594" t="b">
        <f>AND(ISBLANK(BK58),ISTEXT(AX58))</f>
        <v>0</v>
      </c>
      <c r="HF57" s="594" t="b">
        <f>AND(SUM(BN58:BQ58)&gt;0,AND(ISBLANK(AX58),ISBLANK(BK58)))</f>
        <v>0</v>
      </c>
      <c r="HG57" s="534"/>
      <c r="HH57" s="535"/>
      <c r="HI57" s="831">
        <f>IF(OR(BN58&gt;0,BN61&gt;0),1,0)</f>
        <v>0</v>
      </c>
      <c r="HJ57" s="832">
        <f t="shared" ref="HJ57:HL57" si="103">IF(OR(BO58&gt;0,BO61&gt;0),1,0)</f>
        <v>0</v>
      </c>
      <c r="HK57" s="832">
        <f t="shared" si="103"/>
        <v>0</v>
      </c>
      <c r="HL57" s="832">
        <f t="shared" si="103"/>
        <v>0</v>
      </c>
      <c r="HM57" s="593" t="b">
        <f>AND(ISTEXT($BN$20),AND(BN58=0,$HI$66&lt;2))</f>
        <v>0</v>
      </c>
      <c r="HN57" s="594" t="b">
        <f>AND(ISTEXT($BO$20),AND(BO58=0,$HJ$66&lt;2))</f>
        <v>0</v>
      </c>
      <c r="HO57" s="594" t="b">
        <f>AND(ISTEXT($BP$20),AND(BP58=0,$HK$66&lt;2))</f>
        <v>0</v>
      </c>
      <c r="HP57" s="614" t="b">
        <f>AND(ISTEXT($BQ$20),AND(BQ58=0,$HL$66&lt;2))</f>
        <v>0</v>
      </c>
      <c r="IF57" s="502">
        <f>SUM(IF54:IF56)</f>
        <v>0</v>
      </c>
      <c r="IG57" s="502">
        <f>SUM(IG54:IG56)</f>
        <v>0</v>
      </c>
      <c r="II57" s="715">
        <f>SUM(II54:II56)</f>
        <v>0</v>
      </c>
      <c r="IJ57" s="502">
        <f>SUM(IJ54:IJ56)</f>
        <v>0</v>
      </c>
      <c r="IQ57" s="578" t="s">
        <v>928</v>
      </c>
      <c r="IR57" s="514">
        <f>COUNTIF(IL44:IR56,TRUE())</f>
        <v>0</v>
      </c>
      <c r="IU57" s="623" t="str">
        <f>$IU$59</f>
        <v>Adding render and/or cladding to an existing external wall</v>
      </c>
      <c r="IX57" s="536" t="s">
        <v>485</v>
      </c>
      <c r="JT57" s="533"/>
      <c r="JU57" s="534"/>
      <c r="JV57" s="594" t="b">
        <f>AND($T$52=$ET$50,CW57=$IY$56)</f>
        <v>0</v>
      </c>
      <c r="JW57" s="535"/>
      <c r="JX57" s="526"/>
      <c r="JY57" s="526"/>
      <c r="JZ57" s="526"/>
      <c r="KA57" s="526"/>
      <c r="KD57" s="684" t="s">
        <v>781</v>
      </c>
      <c r="KE57" s="500">
        <f>COUNTIF(KB16:KE56,"true")</f>
        <v>0</v>
      </c>
      <c r="LV57" s="563">
        <f t="shared" si="63"/>
        <v>0</v>
      </c>
      <c r="LW57" s="563">
        <f t="shared" si="64"/>
        <v>0</v>
      </c>
      <c r="MA57" s="497" t="s">
        <v>610</v>
      </c>
      <c r="MD57" s="601" t="e">
        <f>INDEX(BC_SHG_Constants,MATCH(MA57,BC_Glaz_F_A,0),MATCH($D$65,BC_WAZones_Glaz,0))</f>
        <v>#N/A</v>
      </c>
      <c r="MM57" s="543"/>
    </row>
    <row r="58" spans="1:351" ht="11.25" customHeight="1" thickBot="1">
      <c r="A58" s="577"/>
      <c r="B58" s="516" t="s">
        <v>1000</v>
      </c>
      <c r="C58" s="504"/>
      <c r="D58" s="516"/>
      <c r="E58" s="516"/>
      <c r="F58" s="516"/>
      <c r="G58" s="621" t="s">
        <v>1058</v>
      </c>
      <c r="H58" s="621"/>
      <c r="I58" s="621"/>
      <c r="J58" s="621"/>
      <c r="K58" s="621"/>
      <c r="L58" s="621"/>
      <c r="M58" s="621"/>
      <c r="N58" s="621"/>
      <c r="O58" s="621"/>
      <c r="P58" s="621"/>
      <c r="Q58" s="621"/>
      <c r="R58" s="621"/>
      <c r="S58" s="621"/>
      <c r="T58" s="1082"/>
      <c r="U58" s="577"/>
      <c r="V58" s="562"/>
      <c r="W58" s="577"/>
      <c r="X58" s="847">
        <f>IF(ISBLANK(Calculator!C66),"",Calculator!C66)</f>
        <v>30</v>
      </c>
      <c r="Y58" s="972" t="str">
        <f>IF(ISBLANK(Calculator!D66),"",Calculator!D66)</f>
        <v/>
      </c>
      <c r="Z58" s="973"/>
      <c r="AA58" s="845" t="str">
        <f>IF(ISBLANK(Calculator!G66),"",Calculator!G66)</f>
        <v/>
      </c>
      <c r="AB58" s="846" t="str">
        <f>IF(ISBLANK(Calculator!H66),"",Calculator!H66)</f>
        <v/>
      </c>
      <c r="AC58" s="725"/>
      <c r="AD58" s="725"/>
      <c r="AE58" s="504"/>
      <c r="AF58" s="735"/>
      <c r="AG58" s="895"/>
      <c r="AH58" s="608" t="str">
        <f t="shared" si="40"/>
        <v/>
      </c>
      <c r="AI58" s="726"/>
      <c r="AJ58" s="726"/>
      <c r="AK58" s="726"/>
      <c r="AL58" s="726"/>
      <c r="AM58" s="726"/>
      <c r="AN58" s="726"/>
      <c r="AO58" s="726"/>
      <c r="AP58" s="726"/>
      <c r="AQ58" s="726"/>
      <c r="AR58" s="726"/>
      <c r="AS58" s="726"/>
      <c r="AT58" s="726"/>
      <c r="AU58" s="577"/>
      <c r="AV58" s="562"/>
      <c r="AW58" s="577"/>
      <c r="AX58" s="1027"/>
      <c r="AY58" s="1028"/>
      <c r="AZ58" s="1028"/>
      <c r="BA58" s="1028"/>
      <c r="BB58" s="1028"/>
      <c r="BC58" s="1028"/>
      <c r="BD58" s="1028"/>
      <c r="BE58" s="1028"/>
      <c r="BF58" s="1028"/>
      <c r="BG58" s="1028"/>
      <c r="BH58" s="1028"/>
      <c r="BI58" s="1029"/>
      <c r="BJ58" s="518"/>
      <c r="BK58" s="730"/>
      <c r="BL58" s="589"/>
      <c r="BM58" s="787" t="str">
        <f>IF(GN109=2,"",IF(OR(ISBLANK(AX58),ISERROR(INDEX(BC_RoofR,MATCH(BK58,BC_RoofAbs,0),1))),$ET$17,INDEX(BC_RoofR,MATCH(BK58,BC_RoofAbs,0),1)))</f>
        <v/>
      </c>
      <c r="BN58" s="793"/>
      <c r="BO58" s="728"/>
      <c r="BP58" s="728"/>
      <c r="BQ58" s="798"/>
      <c r="BR58" s="577"/>
      <c r="BT58" s="577"/>
      <c r="BU58" s="560">
        <v>2</v>
      </c>
      <c r="BV58" s="913"/>
      <c r="BW58" s="913"/>
      <c r="BX58" s="917"/>
      <c r="BY58" s="913"/>
      <c r="BZ58" s="917"/>
      <c r="CA58" s="913"/>
      <c r="CB58" s="710" t="str">
        <f>IF(II55=0,"",II55)</f>
        <v/>
      </c>
      <c r="CC58" s="504"/>
      <c r="CD58" s="504"/>
      <c r="CE58" s="504"/>
      <c r="CF58" s="709" t="str">
        <f>IF(OR(ISERROR($IJ$59),$IR$57&gt;0),$ET$17,IF($CC$57="","",IF($CC$57&gt;5%,$ET$39,IF(SUM(BV58:BY58)=0,"",INDEX(BC_RLight_U,MATCH(CB58,BC_RLight_Shaft,-1),MATCH($CC$57,BC_RLight_Percent,-1))))))</f>
        <v/>
      </c>
      <c r="CG58" s="709" t="str">
        <f>IF(OR(ISERROR($IJ$59),$IR$57&gt;0),$ET$17,IF($CC$57="","",IF($CC$57&gt;5%,$ET$39,IF(SUM(BV58:BY58)=0,"",INDEX(BC_RLight_SHGC,MATCH(CB58,BC_RLight_Shaft,-1),MATCH($CC$57,BC_RLight_Percent,-1))))))</f>
        <v/>
      </c>
      <c r="CH58" s="577"/>
      <c r="CJ58" s="577"/>
      <c r="CK58" s="504"/>
      <c r="CL58" s="504"/>
      <c r="CM58" s="504"/>
      <c r="CN58" s="504"/>
      <c r="CO58" s="504"/>
      <c r="CP58" s="504"/>
      <c r="CQ58" s="504"/>
      <c r="CR58" s="599"/>
      <c r="CS58" s="504"/>
      <c r="CT58" s="504"/>
      <c r="CU58" s="504"/>
      <c r="CV58" s="504"/>
      <c r="CW58" s="754"/>
      <c r="CX58" s="754"/>
      <c r="CY58" s="791" t="s">
        <v>736</v>
      </c>
      <c r="CZ58" s="820" t="str">
        <f>IF(ISBLANK(CZ17),"",SUM(CZ23:CZ56))</f>
        <v/>
      </c>
      <c r="DA58" s="792" t="str">
        <f t="shared" ref="DA58:DC58" si="104">IF(ISBLANK(DA17),"",SUM(DA23:DA56))</f>
        <v/>
      </c>
      <c r="DB58" s="792" t="str">
        <f t="shared" si="104"/>
        <v/>
      </c>
      <c r="DC58" s="821" t="str">
        <f t="shared" si="104"/>
        <v/>
      </c>
      <c r="DD58" s="577"/>
      <c r="DE58" s="562"/>
      <c r="DF58" s="577"/>
      <c r="DG58" s="802" t="s">
        <v>962</v>
      </c>
      <c r="DH58" s="802" t="str">
        <f>MID(DG40,10,FIND("(",DG40,1)-10)</f>
        <v xml:space="preserve">Added floor construction </v>
      </c>
      <c r="DI58" s="802"/>
      <c r="DJ58" s="802"/>
      <c r="DK58" s="802"/>
      <c r="DL58" s="802"/>
      <c r="DM58" s="727"/>
      <c r="DN58" s="1071"/>
      <c r="DO58" s="1071"/>
      <c r="DP58" s="872" t="str">
        <f>IF(OR(ISBLANK(DM58),KL71=5),"",IF($DV$47=$ET$17,$ET$17,KH50))</f>
        <v/>
      </c>
      <c r="DQ58" s="802"/>
      <c r="DR58" s="802"/>
      <c r="DS58" s="802"/>
      <c r="DT58" s="802"/>
      <c r="DU58" s="802"/>
      <c r="DV58" s="1069" t="str">
        <f>IF(ISBLANK(DM58),"",IF(ISERROR(DM58-DP58),$ET$17,IF((DM58-DP58)&lt;0,0,DM58-DP58)))</f>
        <v/>
      </c>
      <c r="DW58" s="1070"/>
      <c r="DX58" s="802"/>
      <c r="DY58" s="802"/>
      <c r="DZ58" s="577"/>
      <c r="EA58" s="562"/>
      <c r="EB58" s="577"/>
      <c r="EC58" s="504"/>
      <c r="ED58" s="504"/>
      <c r="EE58" s="504"/>
      <c r="EF58" s="504"/>
      <c r="EG58" s="504"/>
      <c r="EH58" s="504"/>
      <c r="EI58" s="504"/>
      <c r="EJ58" s="504"/>
      <c r="EK58" s="504"/>
      <c r="EL58" s="504"/>
      <c r="EM58" s="504"/>
      <c r="EN58" s="504"/>
      <c r="EO58" s="504"/>
      <c r="EP58" s="577"/>
      <c r="EQ58" s="562"/>
      <c r="ES58" s="543"/>
      <c r="ET58" s="500" t="s">
        <v>556</v>
      </c>
      <c r="EV58" s="500" t="b">
        <f t="shared" si="41"/>
        <v>0</v>
      </c>
      <c r="EW58" s="500" t="b">
        <f t="shared" si="65"/>
        <v>0</v>
      </c>
      <c r="EX58" s="500" t="b">
        <f t="shared" si="66"/>
        <v>0</v>
      </c>
      <c r="EY58" s="500" t="b">
        <f t="shared" si="42"/>
        <v>0</v>
      </c>
      <c r="EZ58" s="500" t="b">
        <f t="shared" si="43"/>
        <v>0</v>
      </c>
      <c r="FA58" s="500" t="b">
        <f t="shared" si="44"/>
        <v>0</v>
      </c>
      <c r="FB58" s="500" t="b">
        <f t="shared" si="45"/>
        <v>0</v>
      </c>
      <c r="FC58" s="500" t="b">
        <f t="shared" si="67"/>
        <v>0</v>
      </c>
      <c r="FD58" s="500" t="b">
        <f t="shared" si="68"/>
        <v>0</v>
      </c>
      <c r="FE58" s="500" t="b">
        <f t="shared" si="46"/>
        <v>0</v>
      </c>
      <c r="FF58" s="500" t="b">
        <f t="shared" si="47"/>
        <v>0</v>
      </c>
      <c r="FG58" s="500" t="b">
        <f t="shared" si="48"/>
        <v>0</v>
      </c>
      <c r="FI58" s="611">
        <f t="shared" si="49"/>
        <v>0</v>
      </c>
      <c r="FJ58" s="611">
        <f t="shared" si="50"/>
        <v>0</v>
      </c>
      <c r="FK58" s="611">
        <f t="shared" si="69"/>
        <v>0</v>
      </c>
      <c r="FL58" s="612"/>
      <c r="FM58" s="613">
        <f t="shared" si="51"/>
        <v>0</v>
      </c>
      <c r="FN58" s="613">
        <f t="shared" si="52"/>
        <v>0</v>
      </c>
      <c r="FO58" s="613">
        <f t="shared" si="53"/>
        <v>0</v>
      </c>
      <c r="FP58" s="613">
        <f t="shared" si="54"/>
        <v>0</v>
      </c>
      <c r="FQ58" s="613">
        <f t="shared" si="55"/>
        <v>0</v>
      </c>
      <c r="FR58" s="613">
        <f t="shared" si="56"/>
        <v>0</v>
      </c>
      <c r="FS58" s="613">
        <f t="shared" si="57"/>
        <v>0</v>
      </c>
      <c r="FT58" s="613">
        <f t="shared" si="58"/>
        <v>0</v>
      </c>
      <c r="FU58" s="613">
        <f t="shared" si="59"/>
        <v>0</v>
      </c>
      <c r="FV58" s="613">
        <f t="shared" si="60"/>
        <v>0</v>
      </c>
      <c r="FW58" s="613">
        <f t="shared" si="61"/>
        <v>0</v>
      </c>
      <c r="FX58" s="613">
        <f t="shared" si="62"/>
        <v>0</v>
      </c>
      <c r="GE58" s="578" t="s">
        <v>649</v>
      </c>
      <c r="GF58" s="500" t="str">
        <f>$GF$17</f>
        <v>Tiled cover, P/board cathedral ceiling lining u/s rafter - Ventilated, Dn: BCA Fig 3.12.1.1(a)</v>
      </c>
      <c r="HD58" s="533"/>
      <c r="HE58" s="534"/>
      <c r="HF58" s="534"/>
      <c r="HG58" s="534"/>
      <c r="HH58" s="535"/>
      <c r="HI58" s="831"/>
      <c r="HJ58" s="832"/>
      <c r="HK58" s="832"/>
      <c r="HL58" s="832"/>
      <c r="HM58" s="533"/>
      <c r="HN58" s="673"/>
      <c r="HO58" s="534"/>
      <c r="HP58" s="535"/>
      <c r="IW58" s="630" t="s">
        <v>490</v>
      </c>
      <c r="IX58" s="498" t="s">
        <v>489</v>
      </c>
      <c r="IZ58" s="498"/>
      <c r="JT58" s="533"/>
      <c r="JU58" s="534"/>
      <c r="JV58" s="534"/>
      <c r="JW58" s="535"/>
      <c r="JX58" s="526"/>
      <c r="JY58" s="526"/>
      <c r="JZ58" s="526"/>
      <c r="KA58" s="526"/>
      <c r="LV58" s="563">
        <f t="shared" si="63"/>
        <v>0</v>
      </c>
      <c r="LW58" s="563">
        <f t="shared" si="64"/>
        <v>0</v>
      </c>
      <c r="MA58" s="497" t="s">
        <v>611</v>
      </c>
      <c r="MD58" s="500" t="e">
        <f>INDEX(BC_SHG_Constants,MATCH(MA58,BC_Glaz_F_A,0),MATCH($D$65,BC_WAZones_Glaz,0))</f>
        <v>#N/A</v>
      </c>
      <c r="MM58" s="543"/>
    </row>
    <row r="59" spans="1:351" ht="11.25" customHeight="1" thickBot="1">
      <c r="A59" s="577"/>
      <c r="B59" s="505"/>
      <c r="C59" s="505"/>
      <c r="D59" s="505"/>
      <c r="E59" s="505"/>
      <c r="F59" s="505"/>
      <c r="G59" s="505" t="s">
        <v>513</v>
      </c>
      <c r="H59" s="505"/>
      <c r="I59" s="505"/>
      <c r="J59" s="505"/>
      <c r="K59" s="505"/>
      <c r="L59" s="505"/>
      <c r="M59" s="505"/>
      <c r="N59" s="505"/>
      <c r="O59" s="505"/>
      <c r="P59" s="505"/>
      <c r="Q59" s="505"/>
      <c r="R59" s="505"/>
      <c r="S59" s="505"/>
      <c r="T59" s="1022"/>
      <c r="U59" s="577"/>
      <c r="V59" s="562"/>
      <c r="W59" s="577"/>
      <c r="X59" s="847">
        <f>IF(ISBLANK(Calculator!C67),"",Calculator!C67)</f>
        <v>31</v>
      </c>
      <c r="Y59" s="972" t="str">
        <f>IF(ISBLANK(Calculator!D67),"",Calculator!D67)</f>
        <v/>
      </c>
      <c r="Z59" s="973"/>
      <c r="AA59" s="845" t="str">
        <f>IF(ISBLANK(Calculator!G67),"",Calculator!G67)</f>
        <v/>
      </c>
      <c r="AB59" s="846" t="str">
        <f>IF(ISBLANK(Calculator!H67),"",Calculator!H67)</f>
        <v/>
      </c>
      <c r="AC59" s="725"/>
      <c r="AD59" s="725"/>
      <c r="AE59" s="504"/>
      <c r="AF59" s="735"/>
      <c r="AG59" s="895"/>
      <c r="AH59" s="608" t="str">
        <f t="shared" si="40"/>
        <v/>
      </c>
      <c r="AI59" s="726"/>
      <c r="AJ59" s="726"/>
      <c r="AK59" s="726"/>
      <c r="AL59" s="726"/>
      <c r="AM59" s="726"/>
      <c r="AN59" s="726"/>
      <c r="AO59" s="726"/>
      <c r="AP59" s="726"/>
      <c r="AQ59" s="726"/>
      <c r="AR59" s="726"/>
      <c r="AS59" s="726"/>
      <c r="AT59" s="726"/>
      <c r="AU59" s="577"/>
      <c r="AW59" s="577"/>
      <c r="AX59" s="516"/>
      <c r="AY59" s="516"/>
      <c r="AZ59" s="516"/>
      <c r="BA59" s="516"/>
      <c r="BB59" s="516"/>
      <c r="BC59" s="516"/>
      <c r="BD59" s="516"/>
      <c r="BE59" s="516"/>
      <c r="BF59" s="516"/>
      <c r="BG59" s="516"/>
      <c r="BH59" s="516"/>
      <c r="BI59" s="516"/>
      <c r="BJ59" s="516"/>
      <c r="BK59" s="516"/>
      <c r="BL59" s="516"/>
      <c r="BM59" s="621"/>
      <c r="BN59" s="794"/>
      <c r="BO59" s="779"/>
      <c r="BP59" s="779"/>
      <c r="BQ59" s="799"/>
      <c r="BR59" s="577"/>
      <c r="BT59" s="577"/>
      <c r="BU59" s="560">
        <v>3</v>
      </c>
      <c r="BV59" s="913"/>
      <c r="BW59" s="913"/>
      <c r="BX59" s="917"/>
      <c r="BY59" s="913"/>
      <c r="BZ59" s="917"/>
      <c r="CA59" s="913"/>
      <c r="CB59" s="710" t="str">
        <f>IF(II56=0,"",II56)</f>
        <v/>
      </c>
      <c r="CC59" s="504"/>
      <c r="CD59" s="504"/>
      <c r="CE59" s="504"/>
      <c r="CF59" s="709" t="str">
        <f>IF(OR(ISERROR($IJ$59),$IR$57&gt;0),$ET$17,IF($CC$57="","",IF($CC$57&gt;5%,$ET$39,IF(SUM(BV59:BY59)=0,"",INDEX(BC_RLight_U,MATCH(CB59,BC_RLight_Shaft,-1),MATCH($CC$57,BC_RLight_Percent,-1))))))</f>
        <v/>
      </c>
      <c r="CG59" s="709" t="str">
        <f>IF(OR(ISERROR($IJ$59),$IR$57&gt;0),$ET$17,IF($CC$57="","",IF($CC$57&gt;5%,$ET$39,IF(SUM(BV59:BY59)=0,"",INDEX(BC_RLight_SHGC,MATCH(CB59,BC_RLight_Shaft,-1),MATCH($CC$57,BC_RLight_Percent,-1))))))</f>
        <v/>
      </c>
      <c r="CH59" s="577"/>
      <c r="CJ59" s="577"/>
      <c r="CK59" s="504"/>
      <c r="CL59" s="504"/>
      <c r="CM59" s="504"/>
      <c r="CN59" s="504"/>
      <c r="CO59" s="504"/>
      <c r="CP59" s="504"/>
      <c r="CQ59" s="504"/>
      <c r="CR59" s="504"/>
      <c r="CS59" s="504"/>
      <c r="CT59" s="504"/>
      <c r="CU59" s="504"/>
      <c r="CV59" s="504"/>
      <c r="CW59" s="504"/>
      <c r="CX59" s="504"/>
      <c r="CY59" s="504"/>
      <c r="CZ59" s="794"/>
      <c r="DA59" s="779"/>
      <c r="DB59" s="779"/>
      <c r="DC59" s="799"/>
      <c r="DD59" s="577"/>
      <c r="DE59" s="562"/>
      <c r="DF59" s="577"/>
      <c r="DG59" s="802"/>
      <c r="DH59" s="802"/>
      <c r="DI59" s="802"/>
      <c r="DJ59" s="802"/>
      <c r="DK59" s="802"/>
      <c r="DL59" s="802"/>
      <c r="DM59" s="802"/>
      <c r="DN59" s="802"/>
      <c r="DO59" s="802"/>
      <c r="DP59" s="802"/>
      <c r="DQ59" s="802"/>
      <c r="DR59" s="802"/>
      <c r="DS59" s="802"/>
      <c r="DT59" s="802"/>
      <c r="DU59" s="802"/>
      <c r="DV59" s="802"/>
      <c r="DW59" s="802"/>
      <c r="DX59" s="802"/>
      <c r="DY59" s="802"/>
      <c r="DZ59" s="577"/>
      <c r="EA59" s="562"/>
      <c r="EB59" s="577"/>
      <c r="EC59" s="505"/>
      <c r="ED59" s="505"/>
      <c r="EE59" s="505"/>
      <c r="EF59" s="505"/>
      <c r="EG59" s="505"/>
      <c r="EH59" s="505"/>
      <c r="EI59" s="505"/>
      <c r="EJ59" s="505"/>
      <c r="EK59" s="505"/>
      <c r="EL59" s="505"/>
      <c r="EM59" s="505"/>
      <c r="EN59" s="505"/>
      <c r="EO59" s="505"/>
      <c r="EP59" s="577"/>
      <c r="EQ59" s="562"/>
      <c r="ES59" s="543"/>
      <c r="ET59" s="500" t="s">
        <v>911</v>
      </c>
      <c r="EV59" s="500" t="b">
        <f t="shared" si="41"/>
        <v>0</v>
      </c>
      <c r="EW59" s="500" t="b">
        <f t="shared" si="65"/>
        <v>0</v>
      </c>
      <c r="EX59" s="500" t="b">
        <f t="shared" si="66"/>
        <v>0</v>
      </c>
      <c r="EY59" s="500" t="b">
        <f t="shared" si="42"/>
        <v>0</v>
      </c>
      <c r="EZ59" s="500" t="b">
        <f t="shared" si="43"/>
        <v>0</v>
      </c>
      <c r="FA59" s="500" t="b">
        <f t="shared" si="44"/>
        <v>0</v>
      </c>
      <c r="FB59" s="500" t="b">
        <f t="shared" si="45"/>
        <v>0</v>
      </c>
      <c r="FC59" s="500" t="b">
        <f t="shared" si="67"/>
        <v>0</v>
      </c>
      <c r="FD59" s="500" t="b">
        <f t="shared" si="68"/>
        <v>0</v>
      </c>
      <c r="FE59" s="500" t="b">
        <f t="shared" si="46"/>
        <v>0</v>
      </c>
      <c r="FF59" s="500" t="b">
        <f t="shared" si="47"/>
        <v>0</v>
      </c>
      <c r="FG59" s="500" t="b">
        <f t="shared" si="48"/>
        <v>0</v>
      </c>
      <c r="FI59" s="611">
        <f t="shared" si="49"/>
        <v>0</v>
      </c>
      <c r="FJ59" s="611">
        <f t="shared" si="50"/>
        <v>0</v>
      </c>
      <c r="FK59" s="611">
        <f t="shared" si="69"/>
        <v>0</v>
      </c>
      <c r="FL59" s="612"/>
      <c r="FM59" s="613">
        <f t="shared" si="51"/>
        <v>0</v>
      </c>
      <c r="FN59" s="613">
        <f t="shared" si="52"/>
        <v>0</v>
      </c>
      <c r="FO59" s="613">
        <f t="shared" si="53"/>
        <v>0</v>
      </c>
      <c r="FP59" s="613">
        <f t="shared" si="54"/>
        <v>0</v>
      </c>
      <c r="FQ59" s="613">
        <f t="shared" si="55"/>
        <v>0</v>
      </c>
      <c r="FR59" s="613">
        <f t="shared" si="56"/>
        <v>0</v>
      </c>
      <c r="FS59" s="613">
        <f t="shared" si="57"/>
        <v>0</v>
      </c>
      <c r="FT59" s="613">
        <f t="shared" si="58"/>
        <v>0</v>
      </c>
      <c r="FU59" s="613">
        <f t="shared" si="59"/>
        <v>0</v>
      </c>
      <c r="FV59" s="613">
        <f t="shared" si="60"/>
        <v>0</v>
      </c>
      <c r="FW59" s="613">
        <f t="shared" si="61"/>
        <v>0</v>
      </c>
      <c r="FX59" s="613">
        <f t="shared" si="62"/>
        <v>0</v>
      </c>
      <c r="GF59" s="500" t="str">
        <f>$GF$19</f>
        <v>Tiled cover, P/board cathedral ceiling lining u/s rafter - Unventilated, Dn: BCA Fig 3.12.1.1(a)</v>
      </c>
      <c r="HD59" s="533"/>
      <c r="HE59" s="534"/>
      <c r="HF59" s="534"/>
      <c r="HG59" s="534"/>
      <c r="HH59" s="535"/>
      <c r="HI59" s="831"/>
      <c r="HJ59" s="832"/>
      <c r="HK59" s="832"/>
      <c r="HL59" s="832"/>
      <c r="HM59" s="716"/>
      <c r="HN59" s="830"/>
      <c r="HO59" s="534"/>
      <c r="HP59" s="535"/>
      <c r="II59" s="501" t="s">
        <v>877</v>
      </c>
      <c r="IJ59" s="705">
        <f>IF(IJ57=0,0,IJ57/CC52)</f>
        <v>0</v>
      </c>
      <c r="IR59" s="686">
        <f>COUNTIF(IL14:IR56,TRUE())</f>
        <v>0</v>
      </c>
      <c r="IU59" s="697" t="s">
        <v>831</v>
      </c>
      <c r="IW59" s="543">
        <f>FZ28</f>
        <v>1</v>
      </c>
      <c r="IX59" s="526">
        <v>2.4</v>
      </c>
      <c r="IY59" s="526">
        <v>2.8</v>
      </c>
      <c r="IZ59" s="498"/>
      <c r="JT59" s="833"/>
      <c r="JU59" s="765"/>
      <c r="JV59" s="765"/>
      <c r="JW59" s="903"/>
      <c r="JX59" s="526"/>
      <c r="JY59" s="526"/>
      <c r="JZ59" s="526"/>
      <c r="KA59" s="526"/>
      <c r="KG59" s="498" t="s">
        <v>965</v>
      </c>
      <c r="KH59" s="536" t="s">
        <v>966</v>
      </c>
      <c r="LV59" s="563">
        <f t="shared" si="63"/>
        <v>0</v>
      </c>
      <c r="LW59" s="563">
        <f t="shared" si="64"/>
        <v>0</v>
      </c>
      <c r="MM59" s="543"/>
    </row>
    <row r="60" spans="1:351" ht="11.25" customHeight="1" thickBot="1">
      <c r="A60" s="577"/>
      <c r="B60" s="504"/>
      <c r="C60" s="504"/>
      <c r="D60" s="504"/>
      <c r="E60" s="504"/>
      <c r="F60" s="504"/>
      <c r="G60" s="504"/>
      <c r="H60" s="504"/>
      <c r="I60" s="504"/>
      <c r="J60" s="504"/>
      <c r="K60" s="504"/>
      <c r="L60" s="504"/>
      <c r="M60" s="504"/>
      <c r="N60" s="504"/>
      <c r="O60" s="504"/>
      <c r="P60" s="504"/>
      <c r="Q60" s="504"/>
      <c r="R60" s="504"/>
      <c r="S60" s="504"/>
      <c r="T60" s="504"/>
      <c r="U60" s="577"/>
      <c r="V60" s="562"/>
      <c r="W60" s="577"/>
      <c r="X60" s="847">
        <f>IF(ISBLANK(Calculator!C68),"",Calculator!C68)</f>
        <v>32</v>
      </c>
      <c r="Y60" s="972" t="str">
        <f>IF(ISBLANK(Calculator!D68),"",Calculator!D68)</f>
        <v/>
      </c>
      <c r="Z60" s="973"/>
      <c r="AA60" s="845" t="str">
        <f>IF(ISBLANK(Calculator!G68),"",Calculator!G68)</f>
        <v/>
      </c>
      <c r="AB60" s="846" t="str">
        <f>IF(ISBLANK(Calculator!H68),"",Calculator!H68)</f>
        <v/>
      </c>
      <c r="AC60" s="725"/>
      <c r="AD60" s="725"/>
      <c r="AE60" s="504"/>
      <c r="AF60" s="735"/>
      <c r="AG60" s="895"/>
      <c r="AH60" s="608" t="str">
        <f t="shared" si="40"/>
        <v/>
      </c>
      <c r="AI60" s="726"/>
      <c r="AJ60" s="726"/>
      <c r="AK60" s="726"/>
      <c r="AL60" s="726"/>
      <c r="AM60" s="726"/>
      <c r="AN60" s="726"/>
      <c r="AO60" s="726"/>
      <c r="AP60" s="726"/>
      <c r="AQ60" s="726"/>
      <c r="AR60" s="726"/>
      <c r="AS60" s="726"/>
      <c r="AT60" s="726"/>
      <c r="AU60" s="577"/>
      <c r="AW60" s="577"/>
      <c r="AX60" s="634" t="str">
        <f>CONCATENATE("Roof 4:"," ",$ET$35," ",$ET$30)</f>
        <v>Roof 4: Added roof construction (second option)</v>
      </c>
      <c r="AY60" s="629"/>
      <c r="AZ60" s="629"/>
      <c r="BA60" s="629"/>
      <c r="BB60" s="629"/>
      <c r="BC60" s="629"/>
      <c r="BD60" s="629"/>
      <c r="BE60" s="629"/>
      <c r="BF60" s="629"/>
      <c r="BG60" s="629"/>
      <c r="BH60" s="629"/>
      <c r="BI60" s="629"/>
      <c r="BJ60" s="504"/>
      <c r="BK60" s="504"/>
      <c r="BL60" s="504"/>
      <c r="BM60" s="515"/>
      <c r="BN60" s="794"/>
      <c r="BO60" s="779"/>
      <c r="BP60" s="779"/>
      <c r="BQ60" s="799"/>
      <c r="BR60" s="577"/>
      <c r="BT60" s="577"/>
      <c r="BU60" s="504"/>
      <c r="BV60" s="504"/>
      <c r="BW60" s="504"/>
      <c r="BX60" s="504"/>
      <c r="BY60" s="504"/>
      <c r="BZ60" s="504"/>
      <c r="CA60" s="637"/>
      <c r="CB60" s="504"/>
      <c r="CC60" s="504"/>
      <c r="CD60" s="504"/>
      <c r="CE60" s="504"/>
      <c r="CF60" s="504"/>
      <c r="CG60" s="504"/>
      <c r="CH60" s="577"/>
      <c r="CJ60" s="577"/>
      <c r="CK60" s="504"/>
      <c r="CL60" s="504"/>
      <c r="CM60" s="504"/>
      <c r="CN60" s="504"/>
      <c r="CO60" s="504"/>
      <c r="CP60" s="504"/>
      <c r="CQ60" s="1020" t="s">
        <v>1114</v>
      </c>
      <c r="CR60" s="1020"/>
      <c r="CS60" s="1020"/>
      <c r="CT60" s="1020"/>
      <c r="CU60" s="1020"/>
      <c r="CV60" s="1020"/>
      <c r="CW60" s="754"/>
      <c r="CX60" s="754"/>
      <c r="CY60" s="819" t="s">
        <v>728</v>
      </c>
      <c r="CZ60" s="834" t="str">
        <f>IF(JX65&lt;2,"",IF($KE$57&gt;0,$ET$17,IF(ISERROR(JO31),$ET$17,JO31)))</f>
        <v/>
      </c>
      <c r="DA60" s="835" t="str">
        <f t="shared" ref="DA60:DC60" si="105">IF(JY65&lt;2,"",IF($KE$57&gt;0,$ET$17,IF(ISERROR(JP31),$ET$17,JP31)))</f>
        <v/>
      </c>
      <c r="DB60" s="835" t="str">
        <f t="shared" si="105"/>
        <v/>
      </c>
      <c r="DC60" s="835" t="str">
        <f t="shared" si="105"/>
        <v/>
      </c>
      <c r="DD60" s="577"/>
      <c r="DE60" s="562"/>
      <c r="DF60" s="577"/>
      <c r="DG60" s="814"/>
      <c r="DH60" s="814"/>
      <c r="DI60" s="814"/>
      <c r="DJ60" s="814"/>
      <c r="DK60" s="814"/>
      <c r="DL60" s="814"/>
      <c r="DM60" s="814"/>
      <c r="DN60" s="814"/>
      <c r="DO60" s="814"/>
      <c r="DP60" s="814"/>
      <c r="DQ60" s="814"/>
      <c r="DR60" s="814"/>
      <c r="DS60" s="814"/>
      <c r="DT60" s="814"/>
      <c r="DU60" s="814"/>
      <c r="DV60" s="814"/>
      <c r="DW60" s="814"/>
      <c r="DX60" s="814"/>
      <c r="DY60" s="814"/>
      <c r="DZ60" s="577"/>
      <c r="EA60" s="562"/>
      <c r="EB60" s="577"/>
      <c r="EC60" s="603" t="s">
        <v>986</v>
      </c>
      <c r="ED60" s="1137" t="s">
        <v>1073</v>
      </c>
      <c r="EE60" s="1137"/>
      <c r="EF60" s="1137"/>
      <c r="EG60" s="1137"/>
      <c r="EH60" s="1137"/>
      <c r="EI60" s="1137"/>
      <c r="EJ60" s="1137"/>
      <c r="EK60" s="1137"/>
      <c r="EL60" s="1137"/>
      <c r="EM60" s="1137"/>
      <c r="EN60" s="1137"/>
      <c r="EO60" s="1137"/>
      <c r="EP60" s="577"/>
      <c r="EQ60" s="562"/>
      <c r="ES60" s="543"/>
      <c r="ET60" s="500" t="s">
        <v>912</v>
      </c>
      <c r="EV60" s="500" t="b">
        <f t="shared" si="41"/>
        <v>0</v>
      </c>
      <c r="EW60" s="500" t="b">
        <f t="shared" si="65"/>
        <v>0</v>
      </c>
      <c r="EX60" s="500" t="b">
        <f t="shared" si="66"/>
        <v>0</v>
      </c>
      <c r="EY60" s="500" t="b">
        <f t="shared" si="42"/>
        <v>0</v>
      </c>
      <c r="EZ60" s="500" t="b">
        <f t="shared" si="43"/>
        <v>0</v>
      </c>
      <c r="FA60" s="500" t="b">
        <f t="shared" si="44"/>
        <v>0</v>
      </c>
      <c r="FB60" s="500" t="b">
        <f t="shared" si="45"/>
        <v>0</v>
      </c>
      <c r="FC60" s="500" t="b">
        <f t="shared" si="67"/>
        <v>0</v>
      </c>
      <c r="FD60" s="500" t="b">
        <f t="shared" si="68"/>
        <v>0</v>
      </c>
      <c r="FE60" s="500" t="b">
        <f t="shared" si="46"/>
        <v>0</v>
      </c>
      <c r="FF60" s="500" t="b">
        <f t="shared" si="47"/>
        <v>0</v>
      </c>
      <c r="FG60" s="500" t="b">
        <f t="shared" si="48"/>
        <v>0</v>
      </c>
      <c r="FI60" s="611">
        <f t="shared" si="49"/>
        <v>0</v>
      </c>
      <c r="FJ60" s="611">
        <f t="shared" si="50"/>
        <v>0</v>
      </c>
      <c r="FK60" s="611">
        <f t="shared" si="69"/>
        <v>0</v>
      </c>
      <c r="FL60" s="612"/>
      <c r="FM60" s="613">
        <f t="shared" si="51"/>
        <v>0</v>
      </c>
      <c r="FN60" s="613">
        <f t="shared" si="52"/>
        <v>0</v>
      </c>
      <c r="FO60" s="613">
        <f t="shared" si="53"/>
        <v>0</v>
      </c>
      <c r="FP60" s="613">
        <f t="shared" si="54"/>
        <v>0</v>
      </c>
      <c r="FQ60" s="613">
        <f t="shared" si="55"/>
        <v>0</v>
      </c>
      <c r="FR60" s="613">
        <f t="shared" si="56"/>
        <v>0</v>
      </c>
      <c r="FS60" s="613">
        <f t="shared" si="57"/>
        <v>0</v>
      </c>
      <c r="FT60" s="613">
        <f t="shared" si="58"/>
        <v>0</v>
      </c>
      <c r="FU60" s="613">
        <f t="shared" si="59"/>
        <v>0</v>
      </c>
      <c r="FV60" s="613">
        <f t="shared" si="60"/>
        <v>0</v>
      </c>
      <c r="FW60" s="613">
        <f t="shared" si="61"/>
        <v>0</v>
      </c>
      <c r="FX60" s="613">
        <f t="shared" si="62"/>
        <v>0</v>
      </c>
      <c r="GF60" s="500" t="str">
        <f>$GF$21</f>
        <v>Metal cover, P/board cathedral ceiling lining u/s rafter - Ventilated, Dn: BCA Fig 3.12.1.1(a)</v>
      </c>
      <c r="HD60" s="625" t="b">
        <f>AND(ISBLANK(AX61),ISTEXT(BK61))</f>
        <v>0</v>
      </c>
      <c r="HE60" s="559" t="b">
        <f>AND(ISBLANK(BK61),ISTEXT(AX61))</f>
        <v>0</v>
      </c>
      <c r="HF60" s="559" t="b">
        <f>AND(SUM(BN61:BQ61)&gt;0,AND(ISBLANK(AX61),ISBLANK(BK61)))</f>
        <v>0</v>
      </c>
      <c r="HG60" s="622"/>
      <c r="HH60" s="626"/>
      <c r="HI60" s="831"/>
      <c r="HJ60" s="832"/>
      <c r="HK60" s="832"/>
      <c r="HL60" s="832"/>
      <c r="HM60" s="625" t="b">
        <f>AND(ISTEXT($BN$20),AND(BN61=0,$HI$66&lt;2))</f>
        <v>0</v>
      </c>
      <c r="HN60" s="559" t="b">
        <f>AND(ISTEXT($BO$20),AND(BO61=0,$HJ$66&lt;2))</f>
        <v>0</v>
      </c>
      <c r="HO60" s="559" t="b">
        <f>AND(ISTEXT($BP$20),AND(BP61=0,$HK$66&lt;2))</f>
        <v>0</v>
      </c>
      <c r="HP60" s="698" t="b">
        <f>AND(ISTEXT($BQ$20),AND(BQ61=0,$HL$66&lt;2))</f>
        <v>0</v>
      </c>
      <c r="IL60" s="509" t="s">
        <v>929</v>
      </c>
      <c r="IU60" s="623" t="s">
        <v>857</v>
      </c>
      <c r="IW60" s="543">
        <f>FZ29</f>
        <v>3</v>
      </c>
      <c r="IX60" s="526">
        <v>2.4</v>
      </c>
      <c r="IY60" s="526">
        <v>2.8</v>
      </c>
      <c r="IZ60" s="498"/>
      <c r="JA60" s="498"/>
      <c r="JT60" s="509" t="s">
        <v>782</v>
      </c>
      <c r="JX60" s="526"/>
      <c r="JY60" s="526"/>
      <c r="JZ60" s="526"/>
      <c r="KA60" s="526"/>
      <c r="KG60" s="543">
        <v>1</v>
      </c>
      <c r="KH60" s="563">
        <v>1.5</v>
      </c>
      <c r="KI60" s="497" t="s">
        <v>1122</v>
      </c>
      <c r="LV60" s="563">
        <f t="shared" si="63"/>
        <v>0</v>
      </c>
      <c r="LW60" s="563">
        <f t="shared" si="64"/>
        <v>0</v>
      </c>
      <c r="LZ60" s="497" t="s">
        <v>612</v>
      </c>
      <c r="MA60" s="497" t="s">
        <v>598</v>
      </c>
      <c r="MD60" s="636" t="e">
        <f>(MD56-MD55)/MD56</f>
        <v>#N/A</v>
      </c>
      <c r="MM60" s="543"/>
    </row>
    <row r="61" spans="1:351" ht="11.25" customHeight="1" thickBot="1">
      <c r="A61" s="577"/>
      <c r="B61" s="505" t="s">
        <v>526</v>
      </c>
      <c r="C61" s="505"/>
      <c r="D61" s="505"/>
      <c r="E61" s="505"/>
      <c r="F61" s="505"/>
      <c r="G61" s="505"/>
      <c r="H61" s="505"/>
      <c r="I61" s="505"/>
      <c r="J61" s="505"/>
      <c r="K61" s="505"/>
      <c r="L61" s="505"/>
      <c r="M61" s="505"/>
      <c r="N61" s="505"/>
      <c r="O61" s="505"/>
      <c r="P61" s="505"/>
      <c r="Q61" s="505"/>
      <c r="R61" s="505"/>
      <c r="S61" s="505"/>
      <c r="T61" s="721"/>
      <c r="U61" s="577"/>
      <c r="V61" s="562"/>
      <c r="W61" s="577"/>
      <c r="X61" s="847">
        <f>IF(ISBLANK(Calculator!C69),"",Calculator!C69)</f>
        <v>33</v>
      </c>
      <c r="Y61" s="972" t="str">
        <f>IF(ISBLANK(Calculator!D69),"",Calculator!D69)</f>
        <v/>
      </c>
      <c r="Z61" s="973"/>
      <c r="AA61" s="845" t="str">
        <f>IF(ISBLANK(Calculator!G69),"",Calculator!G69)</f>
        <v/>
      </c>
      <c r="AB61" s="846" t="str">
        <f>IF(ISBLANK(Calculator!H69),"",Calculator!H69)</f>
        <v/>
      </c>
      <c r="AC61" s="725"/>
      <c r="AD61" s="725"/>
      <c r="AE61" s="504"/>
      <c r="AF61" s="735"/>
      <c r="AG61" s="895"/>
      <c r="AH61" s="608" t="str">
        <f t="shared" si="40"/>
        <v/>
      </c>
      <c r="AI61" s="726"/>
      <c r="AJ61" s="726"/>
      <c r="AK61" s="726"/>
      <c r="AL61" s="726"/>
      <c r="AM61" s="726"/>
      <c r="AN61" s="726"/>
      <c r="AO61" s="726"/>
      <c r="AP61" s="726"/>
      <c r="AQ61" s="726"/>
      <c r="AR61" s="726"/>
      <c r="AS61" s="726"/>
      <c r="AT61" s="726"/>
      <c r="AU61" s="577"/>
      <c r="AW61" s="577"/>
      <c r="AX61" s="1027"/>
      <c r="AY61" s="1028"/>
      <c r="AZ61" s="1028"/>
      <c r="BA61" s="1028"/>
      <c r="BB61" s="1028"/>
      <c r="BC61" s="1028"/>
      <c r="BD61" s="1028"/>
      <c r="BE61" s="1028"/>
      <c r="BF61" s="1028"/>
      <c r="BG61" s="1028"/>
      <c r="BH61" s="1028"/>
      <c r="BI61" s="1029"/>
      <c r="BJ61" s="518"/>
      <c r="BK61" s="730"/>
      <c r="BL61" s="610"/>
      <c r="BM61" s="787" t="str">
        <f>IF(GN111=2,"",IF(OR(ISBLANK(AX61),ISERROR(INDEX(BC_RoofR,MATCH(BK61,BC_RoofAbs,0),1))),$ET$17,INDEX(BC_RoofR,MATCH(BK61,BC_RoofAbs,0),1)))</f>
        <v/>
      </c>
      <c r="BN61" s="793"/>
      <c r="BO61" s="728"/>
      <c r="BP61" s="728"/>
      <c r="BQ61" s="798"/>
      <c r="BR61" s="577"/>
      <c r="BT61" s="577"/>
      <c r="BU61" s="504"/>
      <c r="BV61" s="504"/>
      <c r="BW61" s="504"/>
      <c r="BX61" s="504"/>
      <c r="BY61" s="504"/>
      <c r="BZ61" s="504"/>
      <c r="CA61" s="504"/>
      <c r="CB61" s="504"/>
      <c r="CC61" s="504"/>
      <c r="CD61" s="504"/>
      <c r="CE61" s="504"/>
      <c r="CF61" s="504"/>
      <c r="CG61" s="504"/>
      <c r="CH61" s="577"/>
      <c r="CJ61" s="577"/>
      <c r="CK61" s="504"/>
      <c r="CL61" s="504"/>
      <c r="CM61" s="504"/>
      <c r="CN61" s="504"/>
      <c r="CO61" s="504"/>
      <c r="CP61" s="504"/>
      <c r="CQ61" s="1020"/>
      <c r="CR61" s="1020"/>
      <c r="CS61" s="1020"/>
      <c r="CT61" s="1020"/>
      <c r="CU61" s="1020"/>
      <c r="CV61" s="1020"/>
      <c r="CW61" s="577"/>
      <c r="CX61" s="577"/>
      <c r="CY61" s="819" t="s">
        <v>739</v>
      </c>
      <c r="CZ61" s="1061" t="str">
        <f>IF($KE$57&gt;0,$ET$17,IF(ISERROR(JO35),$ET$17,IF(OR(JX65&gt;1,OR(JY65&gt;1,OR(JZ65&gt;1,KA65&gt;1))),JO35,"")))</f>
        <v/>
      </c>
      <c r="DA61" s="1061"/>
      <c r="DB61" s="1061"/>
      <c r="DC61" s="1061"/>
      <c r="DD61" s="577"/>
      <c r="DE61" s="562"/>
      <c r="DF61" s="577"/>
      <c r="DG61" s="603" t="s">
        <v>870</v>
      </c>
      <c r="DH61" s="515" t="s">
        <v>1093</v>
      </c>
      <c r="DI61" s="515"/>
      <c r="DJ61" s="515"/>
      <c r="DK61" s="515"/>
      <c r="DL61" s="515"/>
      <c r="DM61" s="515"/>
      <c r="DN61" s="515"/>
      <c r="DO61" s="515"/>
      <c r="DP61" s="515"/>
      <c r="DQ61" s="515"/>
      <c r="DR61" s="515"/>
      <c r="DS61" s="515"/>
      <c r="DT61" s="515"/>
      <c r="DU61" s="515"/>
      <c r="DV61" s="515"/>
      <c r="DW61" s="515"/>
      <c r="DX61" s="515"/>
      <c r="DY61" s="515"/>
      <c r="DZ61" s="577"/>
      <c r="EA61" s="562"/>
      <c r="EB61" s="577"/>
      <c r="EC61" s="515"/>
      <c r="ED61" s="1137"/>
      <c r="EE61" s="1137"/>
      <c r="EF61" s="1137"/>
      <c r="EG61" s="1137"/>
      <c r="EH61" s="1137"/>
      <c r="EI61" s="1137"/>
      <c r="EJ61" s="1137"/>
      <c r="EK61" s="1137"/>
      <c r="EL61" s="1137"/>
      <c r="EM61" s="1137"/>
      <c r="EN61" s="1137"/>
      <c r="EO61" s="1137"/>
      <c r="EP61" s="577"/>
      <c r="EQ61" s="562"/>
      <c r="ES61" s="543"/>
      <c r="ET61" s="500" t="s">
        <v>913</v>
      </c>
      <c r="EV61" s="500" t="b">
        <f t="shared" si="41"/>
        <v>0</v>
      </c>
      <c r="EW61" s="500" t="b">
        <f t="shared" si="65"/>
        <v>0</v>
      </c>
      <c r="EX61" s="500" t="b">
        <f t="shared" si="66"/>
        <v>0</v>
      </c>
      <c r="EY61" s="500" t="b">
        <f t="shared" si="42"/>
        <v>0</v>
      </c>
      <c r="EZ61" s="500" t="b">
        <f t="shared" si="43"/>
        <v>0</v>
      </c>
      <c r="FA61" s="500" t="b">
        <f t="shared" si="44"/>
        <v>0</v>
      </c>
      <c r="FB61" s="500" t="b">
        <f t="shared" si="45"/>
        <v>0</v>
      </c>
      <c r="FC61" s="500" t="b">
        <f t="shared" si="67"/>
        <v>0</v>
      </c>
      <c r="FD61" s="500" t="b">
        <f t="shared" si="68"/>
        <v>0</v>
      </c>
      <c r="FE61" s="500" t="b">
        <f t="shared" si="46"/>
        <v>0</v>
      </c>
      <c r="FF61" s="500" t="b">
        <f t="shared" si="47"/>
        <v>0</v>
      </c>
      <c r="FG61" s="500" t="b">
        <f t="shared" si="48"/>
        <v>0</v>
      </c>
      <c r="FI61" s="611">
        <f t="shared" si="49"/>
        <v>0</v>
      </c>
      <c r="FJ61" s="611">
        <f t="shared" si="50"/>
        <v>0</v>
      </c>
      <c r="FK61" s="611">
        <f t="shared" si="69"/>
        <v>0</v>
      </c>
      <c r="FL61" s="612"/>
      <c r="FM61" s="613">
        <f t="shared" si="51"/>
        <v>0</v>
      </c>
      <c r="FN61" s="613">
        <f t="shared" si="52"/>
        <v>0</v>
      </c>
      <c r="FO61" s="613">
        <f t="shared" si="53"/>
        <v>0</v>
      </c>
      <c r="FP61" s="613">
        <f t="shared" si="54"/>
        <v>0</v>
      </c>
      <c r="FQ61" s="613">
        <f t="shared" si="55"/>
        <v>0</v>
      </c>
      <c r="FR61" s="613">
        <f t="shared" si="56"/>
        <v>0</v>
      </c>
      <c r="FS61" s="613">
        <f t="shared" si="57"/>
        <v>0</v>
      </c>
      <c r="FT61" s="613">
        <f t="shared" si="58"/>
        <v>0</v>
      </c>
      <c r="FU61" s="613">
        <f t="shared" si="59"/>
        <v>0</v>
      </c>
      <c r="FV61" s="613">
        <f t="shared" si="60"/>
        <v>0</v>
      </c>
      <c r="FW61" s="613">
        <f t="shared" si="61"/>
        <v>0</v>
      </c>
      <c r="FX61" s="613">
        <f t="shared" si="62"/>
        <v>0</v>
      </c>
      <c r="GF61" s="500" t="str">
        <f>$GF$23</f>
        <v>Metal cover, P/board cathedral ceiling lining u/s rafter - Unventilated, Dn: BCA Fig 3.12.1.1(a)</v>
      </c>
      <c r="HD61" s="581"/>
      <c r="HE61" s="581"/>
      <c r="HF61" s="581"/>
      <c r="HG61" s="581"/>
      <c r="HH61" s="581"/>
      <c r="HI61" s="526"/>
      <c r="HJ61" s="526"/>
      <c r="HK61" s="526"/>
      <c r="HL61" s="526"/>
      <c r="HO61" s="684" t="s">
        <v>781</v>
      </c>
      <c r="HP61" s="500">
        <f>COUNTIF(HM16:HP60,"true")</f>
        <v>0</v>
      </c>
      <c r="IG61" s="638" t="s">
        <v>919</v>
      </c>
      <c r="IL61" s="694" t="s">
        <v>556</v>
      </c>
      <c r="IM61" s="581" t="s">
        <v>911</v>
      </c>
      <c r="IN61" s="581" t="s">
        <v>912</v>
      </c>
      <c r="IO61" s="569" t="s">
        <v>913</v>
      </c>
      <c r="IW61" s="543">
        <f>FZ30</f>
        <v>4</v>
      </c>
      <c r="IX61" s="526">
        <v>2.4</v>
      </c>
      <c r="IY61" s="526">
        <v>2.8</v>
      </c>
      <c r="IZ61" s="498"/>
      <c r="JA61" s="498"/>
      <c r="JV61" s="578" t="s">
        <v>781</v>
      </c>
      <c r="JW61" s="500">
        <f>COUNTIF(JT16:JW59,TRUE())</f>
        <v>0</v>
      </c>
      <c r="JX61" s="526"/>
      <c r="JY61" s="526"/>
      <c r="JZ61" s="526"/>
      <c r="KA61" s="526"/>
      <c r="KG61" s="543">
        <v>3</v>
      </c>
      <c r="KH61" s="563">
        <v>1.5</v>
      </c>
      <c r="KI61" s="497" t="s">
        <v>1122</v>
      </c>
      <c r="LV61" s="563">
        <f t="shared" si="63"/>
        <v>0</v>
      </c>
      <c r="LW61" s="563">
        <f t="shared" si="64"/>
        <v>0</v>
      </c>
      <c r="MA61" s="497" t="s">
        <v>599</v>
      </c>
      <c r="MD61" s="636" t="e">
        <f>(MD58-MD57)/MD58</f>
        <v>#N/A</v>
      </c>
      <c r="MM61" s="543"/>
    </row>
    <row r="62" spans="1:351" ht="11.25" customHeight="1" thickBot="1">
      <c r="A62" s="577"/>
      <c r="B62" s="637"/>
      <c r="C62" s="637"/>
      <c r="D62" s="637"/>
      <c r="E62" s="637"/>
      <c r="F62" s="637"/>
      <c r="G62" s="637"/>
      <c r="H62" s="637"/>
      <c r="I62" s="637"/>
      <c r="J62" s="637"/>
      <c r="K62" s="637"/>
      <c r="L62" s="637"/>
      <c r="M62" s="637"/>
      <c r="N62" s="637"/>
      <c r="O62" s="637"/>
      <c r="P62" s="637"/>
      <c r="Q62" s="637"/>
      <c r="R62" s="637"/>
      <c r="S62" s="637"/>
      <c r="T62" s="516"/>
      <c r="U62" s="577"/>
      <c r="V62" s="562"/>
      <c r="W62" s="577"/>
      <c r="X62" s="847">
        <f>IF(ISBLANK(Calculator!C70),"",Calculator!C70)</f>
        <v>34</v>
      </c>
      <c r="Y62" s="972" t="str">
        <f>IF(ISBLANK(Calculator!D70),"",Calculator!D70)</f>
        <v/>
      </c>
      <c r="Z62" s="973"/>
      <c r="AA62" s="845" t="str">
        <f>IF(ISBLANK(Calculator!G70),"",Calculator!G70)</f>
        <v/>
      </c>
      <c r="AB62" s="846" t="str">
        <f>IF(ISBLANK(Calculator!H70),"",Calculator!H70)</f>
        <v/>
      </c>
      <c r="AC62" s="725"/>
      <c r="AD62" s="725"/>
      <c r="AE62" s="504"/>
      <c r="AF62" s="735"/>
      <c r="AG62" s="895"/>
      <c r="AH62" s="608" t="str">
        <f t="shared" si="40"/>
        <v/>
      </c>
      <c r="AI62" s="726"/>
      <c r="AJ62" s="726"/>
      <c r="AK62" s="726"/>
      <c r="AL62" s="726"/>
      <c r="AM62" s="726"/>
      <c r="AN62" s="726"/>
      <c r="AO62" s="726"/>
      <c r="AP62" s="726"/>
      <c r="AQ62" s="726"/>
      <c r="AR62" s="726"/>
      <c r="AS62" s="726"/>
      <c r="AT62" s="726"/>
      <c r="AU62" s="577"/>
      <c r="AW62" s="577"/>
      <c r="AX62" s="516"/>
      <c r="AY62" s="516"/>
      <c r="AZ62" s="516"/>
      <c r="BA62" s="516"/>
      <c r="BB62" s="516"/>
      <c r="BC62" s="516"/>
      <c r="BD62" s="516"/>
      <c r="BE62" s="516"/>
      <c r="BF62" s="516"/>
      <c r="BG62" s="516"/>
      <c r="BH62" s="516"/>
      <c r="BI62" s="516"/>
      <c r="BJ62" s="516"/>
      <c r="BK62" s="516"/>
      <c r="BL62" s="516"/>
      <c r="BM62" s="516"/>
      <c r="BN62" s="797"/>
      <c r="BO62" s="780"/>
      <c r="BP62" s="780"/>
      <c r="BQ62" s="800"/>
      <c r="BR62" s="577"/>
      <c r="BT62" s="577"/>
      <c r="BU62" s="813"/>
      <c r="BV62" s="813"/>
      <c r="BW62" s="813"/>
      <c r="BX62" s="813"/>
      <c r="BY62" s="813"/>
      <c r="BZ62" s="813"/>
      <c r="CA62" s="813"/>
      <c r="CB62" s="813"/>
      <c r="CC62" s="1133" t="s">
        <v>1043</v>
      </c>
      <c r="CD62" s="802"/>
      <c r="CE62" s="802"/>
      <c r="CF62" s="802"/>
      <c r="CG62" s="802"/>
      <c r="CH62" s="577"/>
      <c r="CJ62" s="577"/>
      <c r="CK62" s="504"/>
      <c r="CL62" s="504"/>
      <c r="CM62" s="504"/>
      <c r="CN62" s="504"/>
      <c r="CO62" s="504"/>
      <c r="CP62" s="504"/>
      <c r="CQ62" s="504"/>
      <c r="CR62" s="864"/>
      <c r="CS62" s="864"/>
      <c r="CT62" s="864"/>
      <c r="CU62" s="864"/>
      <c r="CV62" s="864"/>
      <c r="CW62" s="864"/>
      <c r="CX62" s="864"/>
      <c r="CY62" s="864"/>
      <c r="CZ62" s="865"/>
      <c r="DA62" s="504"/>
      <c r="DB62" s="504"/>
      <c r="DC62" s="504"/>
      <c r="DD62" s="577"/>
      <c r="DE62" s="562"/>
      <c r="DF62" s="577"/>
      <c r="DG62" s="823" t="s">
        <v>1010</v>
      </c>
      <c r="DH62" s="621"/>
      <c r="DI62" s="621"/>
      <c r="DJ62" s="621"/>
      <c r="DK62" s="621"/>
      <c r="DL62" s="888"/>
      <c r="DM62" s="888"/>
      <c r="DN62" s="888"/>
      <c r="DO62" s="888"/>
      <c r="DP62" s="888"/>
      <c r="DQ62" s="888"/>
      <c r="DR62" s="888"/>
      <c r="DS62" s="888"/>
      <c r="DT62" s="888"/>
      <c r="DU62" s="888"/>
      <c r="DV62" s="888"/>
      <c r="DW62" s="888"/>
      <c r="DX62" s="888"/>
      <c r="DY62" s="888"/>
      <c r="DZ62" s="577"/>
      <c r="EA62" s="562"/>
      <c r="EB62" s="577"/>
      <c r="EC62" s="515"/>
      <c r="ED62" s="1137"/>
      <c r="EE62" s="1137"/>
      <c r="EF62" s="1137"/>
      <c r="EG62" s="1137"/>
      <c r="EH62" s="1137"/>
      <c r="EI62" s="1137"/>
      <c r="EJ62" s="1137"/>
      <c r="EK62" s="1137"/>
      <c r="EL62" s="1137"/>
      <c r="EM62" s="1137"/>
      <c r="EN62" s="1137"/>
      <c r="EO62" s="1137"/>
      <c r="EP62" s="577"/>
      <c r="EQ62" s="562"/>
      <c r="ES62" s="543"/>
      <c r="EV62" s="500" t="b">
        <f t="shared" si="41"/>
        <v>0</v>
      </c>
      <c r="EW62" s="500" t="b">
        <f t="shared" si="65"/>
        <v>0</v>
      </c>
      <c r="EX62" s="500" t="b">
        <f t="shared" si="66"/>
        <v>0</v>
      </c>
      <c r="EY62" s="500" t="b">
        <f t="shared" si="42"/>
        <v>0</v>
      </c>
      <c r="EZ62" s="500" t="b">
        <f t="shared" si="43"/>
        <v>0</v>
      </c>
      <c r="FA62" s="500" t="b">
        <f t="shared" si="44"/>
        <v>0</v>
      </c>
      <c r="FB62" s="500" t="b">
        <f t="shared" si="45"/>
        <v>0</v>
      </c>
      <c r="FC62" s="500" t="b">
        <f t="shared" si="67"/>
        <v>0</v>
      </c>
      <c r="FD62" s="500" t="b">
        <f t="shared" si="68"/>
        <v>0</v>
      </c>
      <c r="FE62" s="500" t="b">
        <f t="shared" si="46"/>
        <v>0</v>
      </c>
      <c r="FF62" s="500" t="b">
        <f t="shared" si="47"/>
        <v>0</v>
      </c>
      <c r="FG62" s="500" t="b">
        <f t="shared" si="48"/>
        <v>0</v>
      </c>
      <c r="FI62" s="611">
        <f t="shared" si="49"/>
        <v>0</v>
      </c>
      <c r="FJ62" s="611">
        <f t="shared" si="50"/>
        <v>0</v>
      </c>
      <c r="FK62" s="611">
        <f t="shared" si="69"/>
        <v>0</v>
      </c>
      <c r="FL62" s="612"/>
      <c r="FM62" s="613">
        <f t="shared" si="51"/>
        <v>0</v>
      </c>
      <c r="FN62" s="613">
        <f t="shared" si="52"/>
        <v>0</v>
      </c>
      <c r="FO62" s="613">
        <f t="shared" si="53"/>
        <v>0</v>
      </c>
      <c r="FP62" s="613">
        <f t="shared" si="54"/>
        <v>0</v>
      </c>
      <c r="FQ62" s="613">
        <f t="shared" si="55"/>
        <v>0</v>
      </c>
      <c r="FR62" s="613">
        <f t="shared" si="56"/>
        <v>0</v>
      </c>
      <c r="FS62" s="613">
        <f t="shared" si="57"/>
        <v>0</v>
      </c>
      <c r="FT62" s="613">
        <f t="shared" si="58"/>
        <v>0</v>
      </c>
      <c r="FU62" s="613">
        <f t="shared" si="59"/>
        <v>0</v>
      </c>
      <c r="FV62" s="613">
        <f t="shared" si="60"/>
        <v>0</v>
      </c>
      <c r="FW62" s="613">
        <f t="shared" si="61"/>
        <v>0</v>
      </c>
      <c r="FX62" s="613">
        <f t="shared" si="62"/>
        <v>0</v>
      </c>
      <c r="GF62" s="500" t="str">
        <f>$GF$25</f>
        <v>Tiled cover, P/board cathedral exposed rafter ceiling - Ventilated, Dn: BCA Fig 3.12.1.1(b)</v>
      </c>
      <c r="HD62" s="673"/>
      <c r="HE62" s="673"/>
      <c r="HF62" s="673"/>
      <c r="HG62" s="673"/>
      <c r="HH62" s="534"/>
      <c r="HI62" s="779"/>
      <c r="HJ62" s="779"/>
      <c r="HK62" s="779"/>
      <c r="HL62" s="779"/>
      <c r="IG62" s="712" t="str">
        <f>ET58</f>
        <v>Ground</v>
      </c>
      <c r="IH62" s="712" t="str">
        <f>ET59</f>
        <v>First</v>
      </c>
      <c r="II62" s="712" t="str">
        <f>ET60</f>
        <v>Second</v>
      </c>
      <c r="IJ62" s="712" t="str">
        <f>ET61</f>
        <v>Third</v>
      </c>
      <c r="IL62" s="593" t="b">
        <f>AND(ISBLANK($CA$65),IG66&gt;0)</f>
        <v>0</v>
      </c>
      <c r="IM62" s="594" t="b">
        <f>AND(ISBLANK($CA$66),IH66&gt;0)</f>
        <v>0</v>
      </c>
      <c r="IN62" s="594" t="b">
        <f>AND(ISBLANK($CA$67),II66&gt;0)</f>
        <v>0</v>
      </c>
      <c r="IO62" s="614" t="b">
        <f>AND(ISBLANK($CA$68),IJ66&gt;0)</f>
        <v>0</v>
      </c>
      <c r="IW62" s="543">
        <f>FZ31</f>
        <v>5</v>
      </c>
      <c r="IX62" s="526">
        <v>2.4</v>
      </c>
      <c r="IY62" s="526">
        <v>2.8</v>
      </c>
      <c r="JA62" s="498"/>
      <c r="JX62" s="526"/>
      <c r="JY62" s="526"/>
      <c r="JZ62" s="526"/>
      <c r="KA62" s="526"/>
      <c r="KG62" s="543">
        <v>4</v>
      </c>
      <c r="KH62" s="563">
        <v>2.25</v>
      </c>
      <c r="KI62" s="497" t="s">
        <v>1123</v>
      </c>
      <c r="LV62" s="563">
        <f t="shared" si="63"/>
        <v>0</v>
      </c>
      <c r="LW62" s="563">
        <f t="shared" si="64"/>
        <v>0</v>
      </c>
      <c r="MH62" s="509" t="s">
        <v>632</v>
      </c>
      <c r="ML62" s="498" t="s">
        <v>499</v>
      </c>
      <c r="MM62" s="543"/>
    </row>
    <row r="63" spans="1:351" ht="11.25" customHeight="1">
      <c r="A63" s="577"/>
      <c r="B63" s="759" t="s">
        <v>527</v>
      </c>
      <c r="C63" s="760"/>
      <c r="D63" s="760"/>
      <c r="E63" s="760"/>
      <c r="F63" s="760"/>
      <c r="G63" s="760"/>
      <c r="H63" s="760"/>
      <c r="I63" s="760"/>
      <c r="J63" s="760"/>
      <c r="K63" s="760"/>
      <c r="L63" s="760"/>
      <c r="M63" s="760"/>
      <c r="N63" s="760"/>
      <c r="O63" s="760"/>
      <c r="P63" s="760"/>
      <c r="Q63" s="760"/>
      <c r="R63" s="760"/>
      <c r="S63" s="760"/>
      <c r="T63" s="761"/>
      <c r="U63" s="577"/>
      <c r="V63" s="562"/>
      <c r="W63" s="577"/>
      <c r="X63" s="847">
        <f>IF(ISBLANK(Calculator!C71),"",Calculator!C71)</f>
        <v>35</v>
      </c>
      <c r="Y63" s="972" t="str">
        <f>IF(ISBLANK(Calculator!D71),"",Calculator!D71)</f>
        <v/>
      </c>
      <c r="Z63" s="973"/>
      <c r="AA63" s="845" t="str">
        <f>IF(ISBLANK(Calculator!G71),"",Calculator!G71)</f>
        <v/>
      </c>
      <c r="AB63" s="846" t="str">
        <f>IF(ISBLANK(Calculator!H71),"",Calculator!H71)</f>
        <v/>
      </c>
      <c r="AC63" s="725"/>
      <c r="AD63" s="725"/>
      <c r="AE63" s="504"/>
      <c r="AF63" s="735"/>
      <c r="AG63" s="895"/>
      <c r="AH63" s="608" t="str">
        <f t="shared" si="40"/>
        <v/>
      </c>
      <c r="AI63" s="726"/>
      <c r="AJ63" s="726"/>
      <c r="AK63" s="726"/>
      <c r="AL63" s="726"/>
      <c r="AM63" s="726"/>
      <c r="AN63" s="726"/>
      <c r="AO63" s="726"/>
      <c r="AP63" s="726"/>
      <c r="AQ63" s="726"/>
      <c r="AR63" s="726"/>
      <c r="AS63" s="726"/>
      <c r="AT63" s="726"/>
      <c r="AU63" s="577"/>
      <c r="AW63" s="577"/>
      <c r="AX63" s="516"/>
      <c r="AY63" s="516"/>
      <c r="AZ63" s="516"/>
      <c r="BA63" s="516"/>
      <c r="BB63" s="516"/>
      <c r="BC63" s="516"/>
      <c r="BD63" s="561"/>
      <c r="BE63" s="516"/>
      <c r="BF63" s="516"/>
      <c r="BG63" s="516"/>
      <c r="BH63" s="516"/>
      <c r="BI63" s="516"/>
      <c r="BJ63" s="516"/>
      <c r="BK63" s="754"/>
      <c r="BL63" s="754"/>
      <c r="BM63" s="791" t="s">
        <v>736</v>
      </c>
      <c r="BN63" s="820" t="str">
        <f>IF(ISBLANK(BN20),"",SUM(BN26:BN61))</f>
        <v/>
      </c>
      <c r="BO63" s="792" t="str">
        <f t="shared" ref="BO63:BQ63" si="106">IF(ISBLANK(BO20),"",SUM(BO26:BO61))</f>
        <v/>
      </c>
      <c r="BP63" s="792" t="str">
        <f t="shared" si="106"/>
        <v/>
      </c>
      <c r="BQ63" s="821" t="str">
        <f t="shared" si="106"/>
        <v/>
      </c>
      <c r="BR63" s="577"/>
      <c r="BT63" s="577"/>
      <c r="BU63" s="813"/>
      <c r="BV63" s="813"/>
      <c r="BW63" s="813"/>
      <c r="BX63" s="813"/>
      <c r="BY63" s="813"/>
      <c r="BZ63" s="813"/>
      <c r="CA63" s="1133" t="s">
        <v>922</v>
      </c>
      <c r="CB63" s="813"/>
      <c r="CC63" s="1133"/>
      <c r="CD63" s="1135" t="s">
        <v>921</v>
      </c>
      <c r="CE63" s="802"/>
      <c r="CF63" s="802"/>
      <c r="CG63" s="802"/>
      <c r="CH63" s="577"/>
      <c r="CJ63" s="577"/>
      <c r="CK63" s="504"/>
      <c r="CL63" s="504"/>
      <c r="CM63" s="504"/>
      <c r="CN63" s="504"/>
      <c r="CO63" s="504"/>
      <c r="CP63" s="504"/>
      <c r="CQ63" s="504"/>
      <c r="CR63" s="504"/>
      <c r="CS63" s="864"/>
      <c r="CT63" s="864"/>
      <c r="CU63" s="864"/>
      <c r="CV63" s="864"/>
      <c r="CW63" s="864"/>
      <c r="CX63" s="864"/>
      <c r="CY63" s="864"/>
      <c r="CZ63" s="516"/>
      <c r="DA63" s="516"/>
      <c r="DB63" s="504"/>
      <c r="DC63" s="504"/>
      <c r="DD63" s="577"/>
      <c r="DE63" s="562"/>
      <c r="DF63" s="577"/>
      <c r="DG63" s="1039"/>
      <c r="DH63" s="1040"/>
      <c r="DI63" s="1040"/>
      <c r="DJ63" s="1040"/>
      <c r="DK63" s="1040"/>
      <c r="DL63" s="1040"/>
      <c r="DM63" s="1040"/>
      <c r="DN63" s="1040"/>
      <c r="DO63" s="1040"/>
      <c r="DP63" s="1040"/>
      <c r="DQ63" s="1040"/>
      <c r="DR63" s="1040"/>
      <c r="DS63" s="1040"/>
      <c r="DT63" s="1040"/>
      <c r="DU63" s="1040"/>
      <c r="DV63" s="1040"/>
      <c r="DW63" s="1040"/>
      <c r="DX63" s="1040"/>
      <c r="DY63" s="1041"/>
      <c r="DZ63" s="577"/>
      <c r="EA63" s="562"/>
      <c r="EB63" s="577"/>
      <c r="EC63" s="823" t="s">
        <v>1010</v>
      </c>
      <c r="ED63" s="890"/>
      <c r="EE63" s="621"/>
      <c r="EF63" s="621"/>
      <c r="EG63" s="621"/>
      <c r="EH63" s="621"/>
      <c r="EI63" s="621"/>
      <c r="EJ63" s="621"/>
      <c r="EK63" s="621"/>
      <c r="EL63" s="621"/>
      <c r="EM63" s="621"/>
      <c r="EN63" s="621"/>
      <c r="EO63" s="621"/>
      <c r="EP63" s="577"/>
      <c r="EQ63" s="562"/>
      <c r="ES63" s="543"/>
      <c r="EV63" s="500" t="b">
        <f t="shared" si="41"/>
        <v>0</v>
      </c>
      <c r="EW63" s="500" t="b">
        <f t="shared" si="65"/>
        <v>0</v>
      </c>
      <c r="EX63" s="500" t="b">
        <f t="shared" si="66"/>
        <v>0</v>
      </c>
      <c r="EY63" s="500" t="b">
        <f t="shared" si="42"/>
        <v>0</v>
      </c>
      <c r="EZ63" s="500" t="b">
        <f t="shared" si="43"/>
        <v>0</v>
      </c>
      <c r="FA63" s="500" t="b">
        <f t="shared" si="44"/>
        <v>0</v>
      </c>
      <c r="FB63" s="500" t="b">
        <f t="shared" si="45"/>
        <v>0</v>
      </c>
      <c r="FC63" s="500" t="b">
        <f t="shared" si="67"/>
        <v>0</v>
      </c>
      <c r="FD63" s="500" t="b">
        <f t="shared" si="68"/>
        <v>0</v>
      </c>
      <c r="FE63" s="500" t="b">
        <f t="shared" si="46"/>
        <v>0</v>
      </c>
      <c r="FF63" s="500" t="b">
        <f t="shared" si="47"/>
        <v>0</v>
      </c>
      <c r="FG63" s="500" t="b">
        <f t="shared" si="48"/>
        <v>0</v>
      </c>
      <c r="FI63" s="611">
        <f t="shared" si="49"/>
        <v>0</v>
      </c>
      <c r="FJ63" s="611">
        <f t="shared" si="50"/>
        <v>0</v>
      </c>
      <c r="FK63" s="611">
        <f t="shared" si="69"/>
        <v>0</v>
      </c>
      <c r="FL63" s="612"/>
      <c r="FM63" s="613">
        <f t="shared" si="51"/>
        <v>0</v>
      </c>
      <c r="FN63" s="613">
        <f t="shared" si="52"/>
        <v>0</v>
      </c>
      <c r="FO63" s="613">
        <f t="shared" si="53"/>
        <v>0</v>
      </c>
      <c r="FP63" s="613">
        <f t="shared" si="54"/>
        <v>0</v>
      </c>
      <c r="FQ63" s="613">
        <f t="shared" si="55"/>
        <v>0</v>
      </c>
      <c r="FR63" s="613">
        <f t="shared" si="56"/>
        <v>0</v>
      </c>
      <c r="FS63" s="613">
        <f t="shared" si="57"/>
        <v>0</v>
      </c>
      <c r="FT63" s="613">
        <f t="shared" si="58"/>
        <v>0</v>
      </c>
      <c r="FU63" s="613">
        <f t="shared" si="59"/>
        <v>0</v>
      </c>
      <c r="FV63" s="613">
        <f t="shared" si="60"/>
        <v>0</v>
      </c>
      <c r="FW63" s="613">
        <f t="shared" si="61"/>
        <v>0</v>
      </c>
      <c r="FX63" s="613">
        <f t="shared" si="62"/>
        <v>0</v>
      </c>
      <c r="GF63" s="500" t="str">
        <f>$GF$27</f>
        <v>Tiled cover, P/board cathedral exposed rafter ceiling - Unventilated, Dn: BCA Fig 3.12.1.1(b)</v>
      </c>
      <c r="HI63" s="526"/>
      <c r="HJ63" s="526"/>
      <c r="HK63" s="526"/>
      <c r="HL63" s="526"/>
      <c r="HN63" s="638" t="s">
        <v>744</v>
      </c>
      <c r="HP63" s="497" t="s">
        <v>1103</v>
      </c>
      <c r="IF63" s="668" t="s">
        <v>920</v>
      </c>
      <c r="IG63" s="563">
        <f>IF($CC$15=IG$62,$IJ$27,0)</f>
        <v>0</v>
      </c>
      <c r="IH63" s="563">
        <f>IF($CC$15=IH$62,$IJ$27,0)</f>
        <v>0</v>
      </c>
      <c r="II63" s="563">
        <f>IF($CC$15=II$62,$IJ$27,0)</f>
        <v>0</v>
      </c>
      <c r="IJ63" s="563">
        <f>IF($CC$15=IJ$62,$IJ$27,0)</f>
        <v>0</v>
      </c>
      <c r="IL63" s="625" t="b">
        <f>AND(ISNUMBER($CA$65),IG66=0)</f>
        <v>0</v>
      </c>
      <c r="IM63" s="559" t="b">
        <f>AND(ISNUMBER($CA$66),IH66=0)</f>
        <v>0</v>
      </c>
      <c r="IN63" s="559" t="b">
        <f>AND(ISNUMBER($CA$67),II66=0)</f>
        <v>0</v>
      </c>
      <c r="IO63" s="698" t="b">
        <f>AND(ISNUMBER($CA$68),IJ66=0)</f>
        <v>0</v>
      </c>
      <c r="IW63" s="543">
        <f>FZ32</f>
        <v>6</v>
      </c>
      <c r="IX63" s="526">
        <v>2.8</v>
      </c>
      <c r="IY63" s="526">
        <v>2.8</v>
      </c>
      <c r="JA63" s="498"/>
      <c r="JW63" s="578" t="s">
        <v>1029</v>
      </c>
      <c r="JX63" s="526">
        <f>SUM(JX23:JX50)</f>
        <v>0</v>
      </c>
      <c r="JY63" s="526">
        <f t="shared" ref="JY63:KA63" si="107">SUM(JY23:JY50)</f>
        <v>0</v>
      </c>
      <c r="JZ63" s="526">
        <f t="shared" si="107"/>
        <v>0</v>
      </c>
      <c r="KA63" s="526">
        <f t="shared" si="107"/>
        <v>0</v>
      </c>
      <c r="KG63" s="543">
        <v>5</v>
      </c>
      <c r="KH63" s="563">
        <v>1</v>
      </c>
      <c r="KI63" s="497" t="s">
        <v>1123</v>
      </c>
      <c r="LV63" s="563">
        <f t="shared" si="63"/>
        <v>0</v>
      </c>
      <c r="LW63" s="563">
        <f t="shared" si="64"/>
        <v>0</v>
      </c>
      <c r="LZ63" s="497" t="s">
        <v>634</v>
      </c>
      <c r="MC63" s="514"/>
      <c r="MD63" s="639" t="e">
        <f>MF49-(MF49*(MD60*($MH$63-1)))</f>
        <v>#N/A</v>
      </c>
      <c r="ME63" s="640"/>
      <c r="MF63" s="632">
        <f>$MH$26</f>
        <v>1</v>
      </c>
      <c r="MH63" s="499" t="str">
        <f>IF(AirMovement=ET18,1,IF(AirMovement=ET19,2,MID(AirMovement,1,4)))</f>
        <v/>
      </c>
      <c r="ML63" s="509" t="s">
        <v>982</v>
      </c>
      <c r="MM63" s="543"/>
    </row>
    <row r="64" spans="1:351" ht="11.25" customHeight="1" thickBot="1">
      <c r="A64" s="577"/>
      <c r="B64" s="771" t="s">
        <v>996</v>
      </c>
      <c r="C64" s="516"/>
      <c r="D64" s="1089" t="str">
        <f>IF(ISBLANK(Calculator!B26),$ET$17,Calculator!B26)</f>
        <v>Data</v>
      </c>
      <c r="E64" s="1089"/>
      <c r="F64" s="1089"/>
      <c r="G64" s="1089"/>
      <c r="H64" s="1089"/>
      <c r="I64" s="1089"/>
      <c r="J64" s="1089"/>
      <c r="K64" s="1089"/>
      <c r="L64" s="516"/>
      <c r="M64" s="573" t="s">
        <v>995</v>
      </c>
      <c r="N64" s="1139"/>
      <c r="O64" s="1140"/>
      <c r="P64" s="1140"/>
      <c r="Q64" s="1140"/>
      <c r="R64" s="1140"/>
      <c r="S64" s="1140"/>
      <c r="T64" s="1141"/>
      <c r="U64" s="577"/>
      <c r="V64" s="562"/>
      <c r="W64" s="577"/>
      <c r="X64" s="847">
        <f>IF(ISBLANK(Calculator!C72),"",Calculator!C72)</f>
        <v>36</v>
      </c>
      <c r="Y64" s="972" t="str">
        <f>IF(ISBLANK(Calculator!D72),"",Calculator!D72)</f>
        <v/>
      </c>
      <c r="Z64" s="973"/>
      <c r="AA64" s="845" t="str">
        <f>IF(ISBLANK(Calculator!G72),"",Calculator!G72)</f>
        <v/>
      </c>
      <c r="AB64" s="846" t="str">
        <f>IF(ISBLANK(Calculator!H72),"",Calculator!H72)</f>
        <v/>
      </c>
      <c r="AC64" s="725"/>
      <c r="AD64" s="725"/>
      <c r="AE64" s="504"/>
      <c r="AF64" s="735"/>
      <c r="AG64" s="895"/>
      <c r="AH64" s="608" t="str">
        <f t="shared" si="40"/>
        <v/>
      </c>
      <c r="AI64" s="726"/>
      <c r="AJ64" s="726"/>
      <c r="AK64" s="726"/>
      <c r="AL64" s="726"/>
      <c r="AM64" s="726"/>
      <c r="AN64" s="726"/>
      <c r="AO64" s="726"/>
      <c r="AP64" s="726"/>
      <c r="AQ64" s="726"/>
      <c r="AR64" s="726"/>
      <c r="AS64" s="726"/>
      <c r="AT64" s="726"/>
      <c r="AU64" s="577"/>
      <c r="AW64" s="577"/>
      <c r="AX64" s="516"/>
      <c r="AY64" s="516"/>
      <c r="AZ64" s="516"/>
      <c r="BA64" s="516"/>
      <c r="BB64" s="516"/>
      <c r="BC64" s="516"/>
      <c r="BD64" s="516"/>
      <c r="BE64" s="516"/>
      <c r="BF64" s="516"/>
      <c r="BG64" s="504"/>
      <c r="BH64" s="504"/>
      <c r="BI64" s="504"/>
      <c r="BJ64" s="504"/>
      <c r="BK64" s="504"/>
      <c r="BL64" s="504"/>
      <c r="BM64" s="504"/>
      <c r="BN64" s="794"/>
      <c r="BO64" s="779"/>
      <c r="BP64" s="779"/>
      <c r="BQ64" s="799"/>
      <c r="BR64" s="577"/>
      <c r="BT64" s="577"/>
      <c r="BU64" s="1132" t="s">
        <v>915</v>
      </c>
      <c r="BV64" s="1132"/>
      <c r="BW64" s="1132"/>
      <c r="BX64" s="824"/>
      <c r="BY64" s="824" t="s">
        <v>907</v>
      </c>
      <c r="BZ64" s="824"/>
      <c r="CA64" s="1134"/>
      <c r="CB64" s="824"/>
      <c r="CC64" s="1134"/>
      <c r="CD64" s="1134"/>
      <c r="CE64" s="802"/>
      <c r="CF64" s="802"/>
      <c r="CG64" s="802"/>
      <c r="CH64" s="577"/>
      <c r="CJ64" s="577"/>
      <c r="CK64" s="802"/>
      <c r="CL64" s="802"/>
      <c r="CM64" s="802"/>
      <c r="CN64" s="802"/>
      <c r="CO64" s="802"/>
      <c r="CP64" s="802"/>
      <c r="CQ64" s="802"/>
      <c r="CR64" s="802"/>
      <c r="CS64" s="813"/>
      <c r="CT64" s="813"/>
      <c r="CU64" s="813"/>
      <c r="CV64" s="813"/>
      <c r="CW64" s="1050" t="s">
        <v>1049</v>
      </c>
      <c r="CX64" s="1050"/>
      <c r="CY64" s="813"/>
      <c r="CZ64" s="813"/>
      <c r="DA64" s="813"/>
      <c r="DB64" s="813"/>
      <c r="DC64" s="802"/>
      <c r="DD64" s="577"/>
      <c r="DE64" s="562"/>
      <c r="DF64" s="577"/>
      <c r="DG64" s="978"/>
      <c r="DH64" s="993"/>
      <c r="DI64" s="993"/>
      <c r="DJ64" s="993"/>
      <c r="DK64" s="993"/>
      <c r="DL64" s="993"/>
      <c r="DM64" s="993"/>
      <c r="DN64" s="993"/>
      <c r="DO64" s="993"/>
      <c r="DP64" s="993"/>
      <c r="DQ64" s="993"/>
      <c r="DR64" s="993"/>
      <c r="DS64" s="993"/>
      <c r="DT64" s="993"/>
      <c r="DU64" s="993"/>
      <c r="DV64" s="993"/>
      <c r="DW64" s="993"/>
      <c r="DX64" s="993"/>
      <c r="DY64" s="976"/>
      <c r="DZ64" s="577"/>
      <c r="EA64" s="562"/>
      <c r="EB64" s="577"/>
      <c r="EC64" s="1036"/>
      <c r="ED64" s="1036"/>
      <c r="EE64" s="1036"/>
      <c r="EF64" s="1036"/>
      <c r="EG64" s="1036"/>
      <c r="EH64" s="1036"/>
      <c r="EI64" s="1036"/>
      <c r="EJ64" s="1036"/>
      <c r="EK64" s="1036"/>
      <c r="EL64" s="1036"/>
      <c r="EM64" s="1036"/>
      <c r="EN64" s="1036"/>
      <c r="EO64" s="1036"/>
      <c r="EP64" s="577"/>
      <c r="EQ64" s="562"/>
      <c r="ES64" s="543"/>
      <c r="EV64" s="500" t="b">
        <f t="shared" si="41"/>
        <v>0</v>
      </c>
      <c r="EW64" s="500" t="b">
        <f t="shared" si="65"/>
        <v>0</v>
      </c>
      <c r="EX64" s="500" t="b">
        <f t="shared" si="66"/>
        <v>0</v>
      </c>
      <c r="EY64" s="500" t="b">
        <f t="shared" si="42"/>
        <v>0</v>
      </c>
      <c r="EZ64" s="500" t="b">
        <f t="shared" si="43"/>
        <v>0</v>
      </c>
      <c r="FA64" s="500" t="b">
        <f t="shared" si="44"/>
        <v>0</v>
      </c>
      <c r="FB64" s="500" t="b">
        <f t="shared" si="45"/>
        <v>0</v>
      </c>
      <c r="FC64" s="500" t="b">
        <f t="shared" si="67"/>
        <v>0</v>
      </c>
      <c r="FD64" s="500" t="b">
        <f t="shared" si="68"/>
        <v>0</v>
      </c>
      <c r="FE64" s="500" t="b">
        <f t="shared" si="46"/>
        <v>0</v>
      </c>
      <c r="FF64" s="500" t="b">
        <f t="shared" si="47"/>
        <v>0</v>
      </c>
      <c r="FG64" s="500" t="b">
        <f t="shared" si="48"/>
        <v>0</v>
      </c>
      <c r="FI64" s="611">
        <f t="shared" si="49"/>
        <v>0</v>
      </c>
      <c r="FJ64" s="611">
        <f t="shared" si="50"/>
        <v>0</v>
      </c>
      <c r="FK64" s="611">
        <f t="shared" si="69"/>
        <v>0</v>
      </c>
      <c r="FL64" s="612"/>
      <c r="FM64" s="613">
        <f t="shared" si="51"/>
        <v>0</v>
      </c>
      <c r="FN64" s="613">
        <f t="shared" si="52"/>
        <v>0</v>
      </c>
      <c r="FO64" s="613">
        <f t="shared" si="53"/>
        <v>0</v>
      </c>
      <c r="FP64" s="613">
        <f t="shared" si="54"/>
        <v>0</v>
      </c>
      <c r="FQ64" s="613">
        <f t="shared" si="55"/>
        <v>0</v>
      </c>
      <c r="FR64" s="613">
        <f t="shared" si="56"/>
        <v>0</v>
      </c>
      <c r="FS64" s="613">
        <f t="shared" si="57"/>
        <v>0</v>
      </c>
      <c r="FT64" s="613">
        <f t="shared" si="58"/>
        <v>0</v>
      </c>
      <c r="FU64" s="613">
        <f t="shared" si="59"/>
        <v>0</v>
      </c>
      <c r="FV64" s="613">
        <f t="shared" si="60"/>
        <v>0</v>
      </c>
      <c r="FW64" s="613">
        <f t="shared" si="61"/>
        <v>0</v>
      </c>
      <c r="FX64" s="613">
        <f t="shared" si="62"/>
        <v>0</v>
      </c>
      <c r="FZ64" s="509" t="s">
        <v>524</v>
      </c>
      <c r="GF64" s="500" t="str">
        <f>$GF$29</f>
        <v>Metal cover, P/board cathedral exposed rafter ceiling - Ventilated, Dn: BCA Fig 3.12.1.1(b)</v>
      </c>
      <c r="HH64" s="578" t="s">
        <v>1029</v>
      </c>
      <c r="HI64" s="526">
        <f>SUM(HI25:HI51)</f>
        <v>0</v>
      </c>
      <c r="HJ64" s="526">
        <f t="shared" ref="HJ64:HL64" si="108">SUM(HJ25:HJ51)</f>
        <v>0</v>
      </c>
      <c r="HK64" s="526">
        <f t="shared" si="108"/>
        <v>0</v>
      </c>
      <c r="HL64" s="526">
        <f t="shared" si="108"/>
        <v>0</v>
      </c>
      <c r="HP64" s="536" t="s">
        <v>1104</v>
      </c>
      <c r="IB64" s="509" t="s">
        <v>1096</v>
      </c>
      <c r="IG64" s="563">
        <f>IF($CC$31=IG$62,$IJ$42,0)</f>
        <v>0</v>
      </c>
      <c r="IH64" s="563">
        <f>IF($CC$31=IH$62,$IJ$42,0)</f>
        <v>0</v>
      </c>
      <c r="II64" s="563">
        <f>IF($CC$31=II$62,$IJ$42,0)</f>
        <v>0</v>
      </c>
      <c r="IJ64" s="563">
        <f>IF($CC$31=IJ$62,$IJ$42,0)</f>
        <v>0</v>
      </c>
      <c r="IL64" s="714" t="s">
        <v>929</v>
      </c>
      <c r="IZ64" s="498"/>
      <c r="JA64" s="498"/>
      <c r="JW64" s="578" t="s">
        <v>1030</v>
      </c>
      <c r="JX64" s="526">
        <f>JX53</f>
        <v>0</v>
      </c>
      <c r="JY64" s="526">
        <f t="shared" ref="JY64:KA64" si="109">JY53</f>
        <v>0</v>
      </c>
      <c r="JZ64" s="526">
        <f t="shared" si="109"/>
        <v>0</v>
      </c>
      <c r="KA64" s="526">
        <f t="shared" si="109"/>
        <v>0</v>
      </c>
      <c r="KG64" s="543">
        <v>6</v>
      </c>
      <c r="KH64" s="563">
        <v>2.25</v>
      </c>
      <c r="KI64" s="497" t="s">
        <v>1123</v>
      </c>
      <c r="LV64" s="563">
        <f t="shared" si="63"/>
        <v>0</v>
      </c>
      <c r="LW64" s="563">
        <f t="shared" si="64"/>
        <v>0</v>
      </c>
      <c r="MC64" s="514"/>
      <c r="MD64" s="639" t="e">
        <f>MF50-(MF50*(MD61*($MH$63-1)))</f>
        <v>#N/A</v>
      </c>
      <c r="ME64" s="640"/>
      <c r="MF64" s="632">
        <f>$MH$26</f>
        <v>1</v>
      </c>
      <c r="MH64" s="509" t="s">
        <v>633</v>
      </c>
      <c r="ML64" s="500" t="s">
        <v>1002</v>
      </c>
      <c r="MM64" s="543"/>
    </row>
    <row r="65" spans="1:351" ht="11.25" customHeight="1" thickBot="1">
      <c r="A65" s="577"/>
      <c r="B65" s="772" t="s">
        <v>386</v>
      </c>
      <c r="C65" s="516"/>
      <c r="D65" s="1151" t="str">
        <f>IF(OR(Zone=2,OR(Zone=7,Zone=8)),"Do not use",IF(ISBLANK(Zone),$ET$17,Zone))</f>
        <v>Data</v>
      </c>
      <c r="E65" s="1151"/>
      <c r="F65" s="573"/>
      <c r="G65" s="573" t="s">
        <v>997</v>
      </c>
      <c r="H65" s="976"/>
      <c r="I65" s="977"/>
      <c r="J65" s="977"/>
      <c r="K65" s="978"/>
      <c r="L65" s="516"/>
      <c r="M65" s="516"/>
      <c r="N65" s="1142"/>
      <c r="O65" s="1143"/>
      <c r="P65" s="1143"/>
      <c r="Q65" s="1143"/>
      <c r="R65" s="1143"/>
      <c r="S65" s="1143"/>
      <c r="T65" s="1144"/>
      <c r="U65" s="577"/>
      <c r="V65" s="562"/>
      <c r="W65" s="577"/>
      <c r="X65" s="847">
        <f>IF(ISBLANK(Calculator!C73),"",Calculator!C73)</f>
        <v>37</v>
      </c>
      <c r="Y65" s="972" t="str">
        <f>IF(ISBLANK(Calculator!D73),"",Calculator!D73)</f>
        <v/>
      </c>
      <c r="Z65" s="973"/>
      <c r="AA65" s="845" t="str">
        <f>IF(ISBLANK(Calculator!G73),"",Calculator!G73)</f>
        <v/>
      </c>
      <c r="AB65" s="846" t="str">
        <f>IF(ISBLANK(Calculator!H73),"",Calculator!H73)</f>
        <v/>
      </c>
      <c r="AC65" s="725"/>
      <c r="AD65" s="725"/>
      <c r="AE65" s="504"/>
      <c r="AF65" s="735"/>
      <c r="AG65" s="895"/>
      <c r="AH65" s="608" t="str">
        <f t="shared" si="40"/>
        <v/>
      </c>
      <c r="AI65" s="726"/>
      <c r="AJ65" s="726"/>
      <c r="AK65" s="726"/>
      <c r="AL65" s="726"/>
      <c r="AM65" s="726"/>
      <c r="AN65" s="726"/>
      <c r="AO65" s="726"/>
      <c r="AP65" s="726"/>
      <c r="AQ65" s="726"/>
      <c r="AR65" s="726"/>
      <c r="AS65" s="726"/>
      <c r="AT65" s="726"/>
      <c r="AU65" s="577"/>
      <c r="AW65" s="577"/>
      <c r="AX65" s="516"/>
      <c r="AY65" s="516"/>
      <c r="AZ65" s="516"/>
      <c r="BA65" s="516"/>
      <c r="BB65" s="516"/>
      <c r="BC65" s="516"/>
      <c r="BD65" s="516"/>
      <c r="BE65" s="516"/>
      <c r="BF65" s="1020" t="s">
        <v>1113</v>
      </c>
      <c r="BG65" s="1020"/>
      <c r="BH65" s="1020"/>
      <c r="BI65" s="1020"/>
      <c r="BJ65" s="1020"/>
      <c r="BK65" s="577"/>
      <c r="BL65" s="754"/>
      <c r="BM65" s="819" t="s">
        <v>728</v>
      </c>
      <c r="BN65" s="834" t="str">
        <f>IF(HI66&lt;2,"",IF($HP$61&gt;0,$ET$17,IF(ISERROR(GY31),$ET$17,GY31)))</f>
        <v/>
      </c>
      <c r="BO65" s="835" t="str">
        <f t="shared" ref="BO65:BQ65" si="110">IF(HJ66&lt;2,"",IF($HP$61&gt;0,$ET$17,IF(ISERROR(GZ31),$ET$17,GZ31)))</f>
        <v/>
      </c>
      <c r="BP65" s="835" t="str">
        <f t="shared" si="110"/>
        <v/>
      </c>
      <c r="BQ65" s="835" t="str">
        <f t="shared" si="110"/>
        <v/>
      </c>
      <c r="BR65" s="577"/>
      <c r="BT65" s="577"/>
      <c r="BU65" s="1026" t="s">
        <v>916</v>
      </c>
      <c r="BV65" s="1026"/>
      <c r="BW65" s="1026"/>
      <c r="BX65" s="860"/>
      <c r="BY65" s="804" t="str">
        <f>ET58</f>
        <v>Ground</v>
      </c>
      <c r="BZ65" s="860"/>
      <c r="CA65" s="916"/>
      <c r="CB65" s="803"/>
      <c r="CC65" s="892" t="str">
        <f>IF(IL65&gt;0,$ET$17,IF(ISBLANK(CA65),"",IG66/CA65))</f>
        <v/>
      </c>
      <c r="CD65" s="785" t="str">
        <f>IF(ISERROR(IG68),"",IF(CC65&gt;3%,$ET$16,$ET$15))</f>
        <v/>
      </c>
      <c r="CE65" s="802"/>
      <c r="CF65" s="802"/>
      <c r="CG65" s="802"/>
      <c r="CH65" s="577"/>
      <c r="CJ65" s="577"/>
      <c r="CK65" s="802"/>
      <c r="CL65" s="802"/>
      <c r="CM65" s="802"/>
      <c r="CN65" s="802"/>
      <c r="CO65" s="813"/>
      <c r="CP65" s="813"/>
      <c r="CQ65" s="1050" t="s">
        <v>1045</v>
      </c>
      <c r="CR65" s="1050"/>
      <c r="CS65" s="1050"/>
      <c r="CT65" s="1050" t="s">
        <v>851</v>
      </c>
      <c r="CU65" s="1050"/>
      <c r="CV65" s="1050"/>
      <c r="CW65" s="1050"/>
      <c r="CX65" s="1050"/>
      <c r="CY65" s="874"/>
      <c r="CZ65" s="1064" t="s">
        <v>1048</v>
      </c>
      <c r="DA65" s="1064"/>
      <c r="DB65" s="1064"/>
      <c r="DC65" s="802"/>
      <c r="DD65" s="577"/>
      <c r="DE65" s="562"/>
      <c r="DF65" s="577"/>
      <c r="DG65" s="978"/>
      <c r="DH65" s="993"/>
      <c r="DI65" s="993"/>
      <c r="DJ65" s="993"/>
      <c r="DK65" s="993"/>
      <c r="DL65" s="993"/>
      <c r="DM65" s="993"/>
      <c r="DN65" s="993"/>
      <c r="DO65" s="993"/>
      <c r="DP65" s="993"/>
      <c r="DQ65" s="993"/>
      <c r="DR65" s="993"/>
      <c r="DS65" s="993"/>
      <c r="DT65" s="993"/>
      <c r="DU65" s="993"/>
      <c r="DV65" s="993"/>
      <c r="DW65" s="993"/>
      <c r="DX65" s="993"/>
      <c r="DY65" s="976"/>
      <c r="DZ65" s="577"/>
      <c r="EA65" s="562"/>
      <c r="EB65" s="577"/>
      <c r="EC65" s="970"/>
      <c r="ED65" s="970"/>
      <c r="EE65" s="970"/>
      <c r="EF65" s="970"/>
      <c r="EG65" s="970"/>
      <c r="EH65" s="970"/>
      <c r="EI65" s="970"/>
      <c r="EJ65" s="970"/>
      <c r="EK65" s="970"/>
      <c r="EL65" s="970"/>
      <c r="EM65" s="970"/>
      <c r="EN65" s="970"/>
      <c r="EO65" s="970"/>
      <c r="EP65" s="577"/>
      <c r="EQ65" s="562"/>
      <c r="ES65" s="543"/>
      <c r="EV65" s="500" t="b">
        <f t="shared" si="41"/>
        <v>0</v>
      </c>
      <c r="EW65" s="500" t="b">
        <f t="shared" si="65"/>
        <v>0</v>
      </c>
      <c r="EX65" s="500" t="b">
        <f t="shared" si="66"/>
        <v>0</v>
      </c>
      <c r="EY65" s="500" t="b">
        <f t="shared" si="42"/>
        <v>0</v>
      </c>
      <c r="EZ65" s="500" t="b">
        <f t="shared" si="43"/>
        <v>0</v>
      </c>
      <c r="FA65" s="500" t="b">
        <f t="shared" si="44"/>
        <v>0</v>
      </c>
      <c r="FB65" s="500" t="b">
        <f t="shared" si="45"/>
        <v>0</v>
      </c>
      <c r="FC65" s="500" t="b">
        <f t="shared" si="67"/>
        <v>0</v>
      </c>
      <c r="FD65" s="500" t="b">
        <f t="shared" si="68"/>
        <v>0</v>
      </c>
      <c r="FE65" s="500" t="b">
        <f t="shared" si="46"/>
        <v>0</v>
      </c>
      <c r="FF65" s="500" t="b">
        <f t="shared" si="47"/>
        <v>0</v>
      </c>
      <c r="FG65" s="500" t="b">
        <f t="shared" si="48"/>
        <v>0</v>
      </c>
      <c r="FI65" s="611">
        <f t="shared" si="49"/>
        <v>0</v>
      </c>
      <c r="FJ65" s="611">
        <f t="shared" si="50"/>
        <v>0</v>
      </c>
      <c r="FK65" s="611">
        <f t="shared" si="69"/>
        <v>0</v>
      </c>
      <c r="FL65" s="612"/>
      <c r="FM65" s="613">
        <f t="shared" si="51"/>
        <v>0</v>
      </c>
      <c r="FN65" s="613">
        <f t="shared" si="52"/>
        <v>0</v>
      </c>
      <c r="FO65" s="613">
        <f t="shared" si="53"/>
        <v>0</v>
      </c>
      <c r="FP65" s="613">
        <f t="shared" si="54"/>
        <v>0</v>
      </c>
      <c r="FQ65" s="613">
        <f t="shared" si="55"/>
        <v>0</v>
      </c>
      <c r="FR65" s="613">
        <f t="shared" si="56"/>
        <v>0</v>
      </c>
      <c r="FS65" s="613">
        <f t="shared" si="57"/>
        <v>0</v>
      </c>
      <c r="FT65" s="613">
        <f t="shared" si="58"/>
        <v>0</v>
      </c>
      <c r="FU65" s="613">
        <f t="shared" si="59"/>
        <v>0</v>
      </c>
      <c r="FV65" s="613">
        <f t="shared" si="60"/>
        <v>0</v>
      </c>
      <c r="FW65" s="613">
        <f t="shared" si="61"/>
        <v>0</v>
      </c>
      <c r="FX65" s="613">
        <f t="shared" si="62"/>
        <v>0</v>
      </c>
      <c r="FZ65" s="500" t="s">
        <v>1003</v>
      </c>
      <c r="GA65" s="500"/>
      <c r="GB65" s="500"/>
      <c r="GC65" s="500"/>
      <c r="GF65" s="500" t="str">
        <f>$GF$31</f>
        <v>Metal cover, P/board cathedral exposed rafter ceiling - Unventilated, Dn: BCA Fig 3.12.1.1(b)</v>
      </c>
      <c r="HH65" s="578" t="s">
        <v>1030</v>
      </c>
      <c r="HI65" s="526">
        <f>HI57</f>
        <v>0</v>
      </c>
      <c r="HJ65" s="526">
        <f t="shared" ref="HJ65:HL65" si="111">HJ57</f>
        <v>0</v>
      </c>
      <c r="HK65" s="526">
        <f t="shared" si="111"/>
        <v>0</v>
      </c>
      <c r="HL65" s="526">
        <f t="shared" si="111"/>
        <v>0</v>
      </c>
      <c r="HN65" s="499" t="s">
        <v>753</v>
      </c>
      <c r="HO65" s="499"/>
      <c r="HP65" s="500"/>
      <c r="HQ65" s="641">
        <v>6</v>
      </c>
      <c r="HR65" s="641">
        <v>5.5</v>
      </c>
      <c r="HS65" s="641">
        <v>5</v>
      </c>
      <c r="HT65" s="641">
        <v>4.5</v>
      </c>
      <c r="HU65" s="641">
        <v>4</v>
      </c>
      <c r="HV65" s="641">
        <v>3.5</v>
      </c>
      <c r="HW65" s="641">
        <v>3</v>
      </c>
      <c r="HX65" s="641">
        <v>2.5</v>
      </c>
      <c r="HY65" s="641">
        <v>2</v>
      </c>
      <c r="HZ65" s="641">
        <v>1.5</v>
      </c>
      <c r="IA65" s="641">
        <v>1</v>
      </c>
      <c r="IB65" s="827">
        <v>1E-4</v>
      </c>
      <c r="ID65" s="509"/>
      <c r="IG65" s="563">
        <f>IF($CC$47=IG$62,$IJ$57,0)</f>
        <v>0</v>
      </c>
      <c r="IH65" s="563">
        <f>IF($CC$47=IH$62,$IJ$57,0)</f>
        <v>0</v>
      </c>
      <c r="II65" s="563">
        <f>IF($CC$47=II$62,$IJ$57,0)</f>
        <v>0</v>
      </c>
      <c r="IJ65" s="563">
        <f>IF($CC$47=IJ$62,$IJ$57,0)</f>
        <v>0</v>
      </c>
      <c r="IL65" s="500">
        <f>COUNTIF(IL62:IL63,TRUE())</f>
        <v>0</v>
      </c>
      <c r="IM65" s="500">
        <f t="shared" ref="IM65:IO65" si="112">COUNTIF(IM62:IM63,TRUE())</f>
        <v>0</v>
      </c>
      <c r="IN65" s="500">
        <f t="shared" si="112"/>
        <v>0</v>
      </c>
      <c r="IO65" s="500">
        <f t="shared" si="112"/>
        <v>0</v>
      </c>
      <c r="IV65" s="498" t="s">
        <v>825</v>
      </c>
      <c r="IZ65" s="498"/>
      <c r="JA65" s="498"/>
      <c r="JX65" s="595">
        <f>SUM(JX63:JX64)</f>
        <v>0</v>
      </c>
      <c r="JY65" s="595">
        <f t="shared" ref="JY65:KA65" si="113">SUM(JY63:JY64)</f>
        <v>0</v>
      </c>
      <c r="JZ65" s="595">
        <f t="shared" si="113"/>
        <v>0</v>
      </c>
      <c r="KA65" s="595">
        <f t="shared" si="113"/>
        <v>0</v>
      </c>
      <c r="LV65" s="563">
        <f t="shared" si="63"/>
        <v>0</v>
      </c>
      <c r="LW65" s="563">
        <f t="shared" si="64"/>
        <v>0</v>
      </c>
      <c r="MH65" s="578"/>
      <c r="ML65" s="624"/>
      <c r="MM65" s="543"/>
    </row>
    <row r="66" spans="1:351" ht="11.25" customHeight="1" thickBot="1">
      <c r="A66" s="577"/>
      <c r="B66" s="771"/>
      <c r="C66" s="516"/>
      <c r="D66" s="516"/>
      <c r="E66" s="516"/>
      <c r="F66" s="516"/>
      <c r="G66" s="505"/>
      <c r="H66" s="505"/>
      <c r="I66" s="505"/>
      <c r="J66" s="505"/>
      <c r="K66" s="505"/>
      <c r="L66" s="505"/>
      <c r="M66" s="505"/>
      <c r="N66" s="505"/>
      <c r="O66" s="505"/>
      <c r="P66" s="505"/>
      <c r="Q66" s="505"/>
      <c r="R66" s="505"/>
      <c r="S66" s="505"/>
      <c r="T66" s="719"/>
      <c r="U66" s="577"/>
      <c r="V66" s="562"/>
      <c r="W66" s="577"/>
      <c r="X66" s="847">
        <f>IF(ISBLANK(Calculator!C74),"",Calculator!C74)</f>
        <v>38</v>
      </c>
      <c r="Y66" s="972" t="str">
        <f>IF(ISBLANK(Calculator!D74),"",Calculator!D74)</f>
        <v/>
      </c>
      <c r="Z66" s="973"/>
      <c r="AA66" s="845" t="str">
        <f>IF(ISBLANK(Calculator!G74),"",Calculator!G74)</f>
        <v/>
      </c>
      <c r="AB66" s="846" t="str">
        <f>IF(ISBLANK(Calculator!H74),"",Calculator!H74)</f>
        <v/>
      </c>
      <c r="AC66" s="725"/>
      <c r="AD66" s="725"/>
      <c r="AE66" s="504"/>
      <c r="AF66" s="735"/>
      <c r="AG66" s="895"/>
      <c r="AH66" s="608" t="str">
        <f t="shared" si="40"/>
        <v/>
      </c>
      <c r="AI66" s="726"/>
      <c r="AJ66" s="726"/>
      <c r="AK66" s="726"/>
      <c r="AL66" s="726"/>
      <c r="AM66" s="726"/>
      <c r="AN66" s="726"/>
      <c r="AO66" s="726"/>
      <c r="AP66" s="726"/>
      <c r="AQ66" s="726"/>
      <c r="AR66" s="726"/>
      <c r="AS66" s="726"/>
      <c r="AT66" s="726"/>
      <c r="AU66" s="577"/>
      <c r="AW66" s="577"/>
      <c r="AX66" s="516"/>
      <c r="AY66" s="516"/>
      <c r="AZ66" s="516"/>
      <c r="BA66" s="516"/>
      <c r="BB66" s="516"/>
      <c r="BC66" s="516"/>
      <c r="BD66" s="516"/>
      <c r="BE66" s="516"/>
      <c r="BF66" s="1020"/>
      <c r="BG66" s="1020"/>
      <c r="BH66" s="1020"/>
      <c r="BI66" s="1020"/>
      <c r="BJ66" s="1020"/>
      <c r="BK66" s="577"/>
      <c r="BL66" s="577"/>
      <c r="BM66" s="819" t="s">
        <v>739</v>
      </c>
      <c r="BN66" s="1061" t="str">
        <f>IF($HP$61&gt;0,$ET$17,IF(ISERROR(GY35),$ET$17,IF(OR(HI66&gt;1,OR(HJ66&gt;1,OR(HK66&gt;1,HL66&gt;1))),GY35,"")))</f>
        <v/>
      </c>
      <c r="BO66" s="1061"/>
      <c r="BP66" s="1061"/>
      <c r="BQ66" s="1061"/>
      <c r="BR66" s="577"/>
      <c r="BT66" s="577"/>
      <c r="BU66" s="1026"/>
      <c r="BV66" s="1026"/>
      <c r="BW66" s="1026"/>
      <c r="BX66" s="860"/>
      <c r="BY66" s="804" t="str">
        <f>ET59</f>
        <v>First</v>
      </c>
      <c r="BZ66" s="861"/>
      <c r="CA66" s="913"/>
      <c r="CB66" s="803"/>
      <c r="CC66" s="713" t="str">
        <f>IF(IM65&gt;0,$ET$17,IF(ISBLANK(CA66),"",IH66/CA66))</f>
        <v/>
      </c>
      <c r="CD66" s="785" t="str">
        <f>IF(CC66="","",IF(CC66&gt;3%,$ET$16,$ET$15))</f>
        <v/>
      </c>
      <c r="CE66" s="802"/>
      <c r="CF66" s="802"/>
      <c r="CG66" s="802"/>
      <c r="CH66" s="577"/>
      <c r="CJ66" s="577"/>
      <c r="CK66" s="1062" t="s">
        <v>1052</v>
      </c>
      <c r="CL66" s="1062"/>
      <c r="CM66" s="1062"/>
      <c r="CN66" s="1062"/>
      <c r="CO66" s="1062"/>
      <c r="CP66" s="1062"/>
      <c r="CQ66" s="1050"/>
      <c r="CR66" s="1050"/>
      <c r="CS66" s="1050"/>
      <c r="CT66" s="1050"/>
      <c r="CU66" s="1050"/>
      <c r="CV66" s="1050"/>
      <c r="CW66" s="1050"/>
      <c r="CX66" s="1050"/>
      <c r="CY66" s="1050" t="s">
        <v>1051</v>
      </c>
      <c r="CZ66" s="1064"/>
      <c r="DA66" s="1064"/>
      <c r="DB66" s="1064"/>
      <c r="DC66" s="802"/>
      <c r="DD66" s="577"/>
      <c r="DE66" s="562"/>
      <c r="DF66" s="577"/>
      <c r="DG66" s="978"/>
      <c r="DH66" s="993"/>
      <c r="DI66" s="993"/>
      <c r="DJ66" s="993"/>
      <c r="DK66" s="993"/>
      <c r="DL66" s="993"/>
      <c r="DM66" s="993"/>
      <c r="DN66" s="993"/>
      <c r="DO66" s="993"/>
      <c r="DP66" s="993"/>
      <c r="DQ66" s="993"/>
      <c r="DR66" s="993"/>
      <c r="DS66" s="993"/>
      <c r="DT66" s="993"/>
      <c r="DU66" s="993"/>
      <c r="DV66" s="993"/>
      <c r="DW66" s="993"/>
      <c r="DX66" s="993"/>
      <c r="DY66" s="976"/>
      <c r="DZ66" s="577"/>
      <c r="EA66" s="562"/>
      <c r="EB66" s="577"/>
      <c r="EC66" s="970"/>
      <c r="ED66" s="970"/>
      <c r="EE66" s="970"/>
      <c r="EF66" s="970"/>
      <c r="EG66" s="970"/>
      <c r="EH66" s="970"/>
      <c r="EI66" s="970"/>
      <c r="EJ66" s="970"/>
      <c r="EK66" s="970"/>
      <c r="EL66" s="970"/>
      <c r="EM66" s="970"/>
      <c r="EN66" s="970"/>
      <c r="EO66" s="970"/>
      <c r="EP66" s="577"/>
      <c r="EQ66" s="562"/>
      <c r="ES66" s="543"/>
      <c r="EV66" s="500" t="b">
        <f t="shared" si="41"/>
        <v>0</v>
      </c>
      <c r="EW66" s="500" t="b">
        <f t="shared" si="65"/>
        <v>0</v>
      </c>
      <c r="EX66" s="500" t="b">
        <f t="shared" si="66"/>
        <v>0</v>
      </c>
      <c r="EY66" s="500" t="b">
        <f t="shared" si="42"/>
        <v>0</v>
      </c>
      <c r="EZ66" s="500" t="b">
        <f t="shared" si="43"/>
        <v>0</v>
      </c>
      <c r="FA66" s="500" t="b">
        <f t="shared" si="44"/>
        <v>0</v>
      </c>
      <c r="FB66" s="500" t="b">
        <f t="shared" si="45"/>
        <v>0</v>
      </c>
      <c r="FC66" s="500" t="b">
        <f t="shared" si="67"/>
        <v>0</v>
      </c>
      <c r="FD66" s="500" t="b">
        <f t="shared" si="68"/>
        <v>0</v>
      </c>
      <c r="FE66" s="500" t="b">
        <f t="shared" si="46"/>
        <v>0</v>
      </c>
      <c r="FF66" s="500" t="b">
        <f t="shared" si="47"/>
        <v>0</v>
      </c>
      <c r="FG66" s="500" t="b">
        <f t="shared" si="48"/>
        <v>0</v>
      </c>
      <c r="FI66" s="611">
        <f t="shared" si="49"/>
        <v>0</v>
      </c>
      <c r="FJ66" s="611">
        <f t="shared" si="50"/>
        <v>0</v>
      </c>
      <c r="FK66" s="611">
        <f t="shared" si="69"/>
        <v>0</v>
      </c>
      <c r="FL66" s="612"/>
      <c r="FM66" s="613">
        <f t="shared" si="51"/>
        <v>0</v>
      </c>
      <c r="FN66" s="613">
        <f t="shared" si="52"/>
        <v>0</v>
      </c>
      <c r="FO66" s="613">
        <f t="shared" si="53"/>
        <v>0</v>
      </c>
      <c r="FP66" s="613">
        <f t="shared" si="54"/>
        <v>0</v>
      </c>
      <c r="FQ66" s="613">
        <f t="shared" si="55"/>
        <v>0</v>
      </c>
      <c r="FR66" s="613">
        <f t="shared" si="56"/>
        <v>0</v>
      </c>
      <c r="FS66" s="613">
        <f t="shared" si="57"/>
        <v>0</v>
      </c>
      <c r="FT66" s="613">
        <f t="shared" si="58"/>
        <v>0</v>
      </c>
      <c r="FU66" s="613">
        <f t="shared" si="59"/>
        <v>0</v>
      </c>
      <c r="FV66" s="613">
        <f t="shared" si="60"/>
        <v>0</v>
      </c>
      <c r="FW66" s="613">
        <f t="shared" si="61"/>
        <v>0</v>
      </c>
      <c r="FX66" s="613">
        <f t="shared" si="62"/>
        <v>0</v>
      </c>
      <c r="FZ66" s="500" t="s">
        <v>976</v>
      </c>
      <c r="GA66" s="500"/>
      <c r="GB66" s="500"/>
      <c r="GC66" s="500"/>
      <c r="GF66" s="500" t="str">
        <f>$GF$33</f>
        <v>Tiled cover, P/board flat ceiling - Ventilated, Dn: BCA Fig 3.12.1.1(c)</v>
      </c>
      <c r="HD66" s="509" t="s">
        <v>1034</v>
      </c>
      <c r="HI66" s="595">
        <f>SUM(HI64:HI65)</f>
        <v>0</v>
      </c>
      <c r="HJ66" s="595">
        <f t="shared" ref="HJ66:HL66" si="114">SUM(HJ64:HJ65)</f>
        <v>0</v>
      </c>
      <c r="HK66" s="595">
        <f t="shared" si="114"/>
        <v>0</v>
      </c>
      <c r="HL66" s="595">
        <f t="shared" si="114"/>
        <v>0</v>
      </c>
      <c r="HN66" s="635" t="s">
        <v>745</v>
      </c>
      <c r="HO66" s="500" t="s">
        <v>754</v>
      </c>
      <c r="HP66" s="642">
        <v>5.0000000000000001E-3</v>
      </c>
      <c r="HQ66" s="577"/>
      <c r="HR66" s="577"/>
      <c r="HS66" s="577"/>
      <c r="HT66" s="577"/>
      <c r="HU66" s="577"/>
      <c r="HV66" s="577"/>
      <c r="HW66" s="577"/>
      <c r="HX66" s="577"/>
      <c r="HY66" s="577"/>
      <c r="HZ66" s="577"/>
      <c r="IA66" s="577"/>
      <c r="IB66" s="577"/>
      <c r="IG66" s="715">
        <f>SUM(IG63:IG65)</f>
        <v>0</v>
      </c>
      <c r="IH66" s="715">
        <f t="shared" ref="IH66:IJ66" si="115">SUM(IH63:IH65)</f>
        <v>0</v>
      </c>
      <c r="II66" s="715">
        <f t="shared" si="115"/>
        <v>0</v>
      </c>
      <c r="IJ66" s="715">
        <f t="shared" si="115"/>
        <v>0</v>
      </c>
      <c r="IN66" s="578" t="s">
        <v>930</v>
      </c>
      <c r="IO66" s="514">
        <f>COUNTIF(IL62:IO63,TRUE())</f>
        <v>0</v>
      </c>
      <c r="IU66" s="578" t="s">
        <v>829</v>
      </c>
      <c r="IV66" s="503" t="s">
        <v>491</v>
      </c>
      <c r="IW66" s="499" t="e">
        <f>INDEX(BC_WallValues,MATCH(CK23,BC_WallConst,0),6)</f>
        <v>#N/A</v>
      </c>
      <c r="JT66" s="498" t="s">
        <v>869</v>
      </c>
      <c r="KG66" s="498" t="s">
        <v>970</v>
      </c>
      <c r="LV66" s="563">
        <f t="shared" si="63"/>
        <v>0</v>
      </c>
      <c r="LW66" s="563">
        <f t="shared" si="64"/>
        <v>0</v>
      </c>
      <c r="LZ66" s="497" t="s">
        <v>613</v>
      </c>
      <c r="MA66" s="497" t="s">
        <v>614</v>
      </c>
      <c r="MC66" s="631" t="e">
        <f>AreaA/(AreaA+AreaB)</f>
        <v>#DIV/0!</v>
      </c>
      <c r="ML66" s="562"/>
      <c r="MM66" s="543"/>
    </row>
    <row r="67" spans="1:351" ht="11.25" customHeight="1" thickBot="1">
      <c r="A67" s="577"/>
      <c r="B67" s="773" t="s">
        <v>553</v>
      </c>
      <c r="C67" s="505"/>
      <c r="D67" s="505"/>
      <c r="E67" s="505"/>
      <c r="F67" s="505"/>
      <c r="G67" s="1036"/>
      <c r="H67" s="1036"/>
      <c r="I67" s="1036"/>
      <c r="J67" s="1036"/>
      <c r="K67" s="1036"/>
      <c r="L67" s="1036"/>
      <c r="M67" s="1036"/>
      <c r="N67" s="1036"/>
      <c r="O67" s="1036"/>
      <c r="P67" s="1036"/>
      <c r="Q67" s="1036"/>
      <c r="R67" s="1036"/>
      <c r="S67" s="1036"/>
      <c r="T67" s="1098"/>
      <c r="U67" s="577"/>
      <c r="V67" s="562"/>
      <c r="W67" s="577"/>
      <c r="X67" s="847">
        <f>IF(ISBLANK(Calculator!C75),"",Calculator!C75)</f>
        <v>39</v>
      </c>
      <c r="Y67" s="972" t="str">
        <f>IF(ISBLANK(Calculator!D75),"",Calculator!D75)</f>
        <v/>
      </c>
      <c r="Z67" s="973"/>
      <c r="AA67" s="845" t="str">
        <f>IF(ISBLANK(Calculator!G75),"",Calculator!G75)</f>
        <v/>
      </c>
      <c r="AB67" s="846" t="str">
        <f>IF(ISBLANK(Calculator!H75),"",Calculator!H75)</f>
        <v/>
      </c>
      <c r="AC67" s="725"/>
      <c r="AD67" s="725"/>
      <c r="AE67" s="504"/>
      <c r="AF67" s="735"/>
      <c r="AG67" s="895"/>
      <c r="AH67" s="608" t="str">
        <f t="shared" si="40"/>
        <v/>
      </c>
      <c r="AI67" s="726"/>
      <c r="AJ67" s="726"/>
      <c r="AK67" s="726"/>
      <c r="AL67" s="726"/>
      <c r="AM67" s="726"/>
      <c r="AN67" s="726"/>
      <c r="AO67" s="726"/>
      <c r="AP67" s="726"/>
      <c r="AQ67" s="726"/>
      <c r="AR67" s="726"/>
      <c r="AS67" s="726"/>
      <c r="AT67" s="726"/>
      <c r="AU67" s="577"/>
      <c r="AW67" s="577"/>
      <c r="AX67" s="516"/>
      <c r="AY67" s="516"/>
      <c r="AZ67" s="516"/>
      <c r="BA67" s="516"/>
      <c r="BB67" s="516"/>
      <c r="BC67" s="516"/>
      <c r="BD67" s="516"/>
      <c r="BE67" s="516"/>
      <c r="BF67" s="516"/>
      <c r="BG67" s="516"/>
      <c r="BH67" s="516"/>
      <c r="BI67" s="516"/>
      <c r="BJ67" s="516"/>
      <c r="BK67" s="516"/>
      <c r="BL67" s="516"/>
      <c r="BM67" s="516"/>
      <c r="BN67" s="516"/>
      <c r="BO67" s="516"/>
      <c r="BP67" s="516"/>
      <c r="BQ67" s="516"/>
      <c r="BR67" s="577"/>
      <c r="BT67" s="577"/>
      <c r="BU67" s="1026"/>
      <c r="BV67" s="1026"/>
      <c r="BW67" s="1026"/>
      <c r="BX67" s="860"/>
      <c r="BY67" s="804" t="str">
        <f>ET60</f>
        <v>Second</v>
      </c>
      <c r="BZ67" s="861"/>
      <c r="CA67" s="913"/>
      <c r="CB67" s="803"/>
      <c r="CC67" s="713" t="str">
        <f>IF(IN65&gt;0,$ET$17,IF(ISBLANK(CA67),"",II66/CA67))</f>
        <v/>
      </c>
      <c r="CD67" s="785" t="str">
        <f>IF(CC67="","",IF(CC67&gt;3%,$ET$16,$ET$15))</f>
        <v/>
      </c>
      <c r="CE67" s="802"/>
      <c r="CF67" s="802"/>
      <c r="CG67" s="802"/>
      <c r="CH67" s="577"/>
      <c r="CJ67" s="577"/>
      <c r="CK67" s="1063"/>
      <c r="CL67" s="1063"/>
      <c r="CM67" s="1063"/>
      <c r="CN67" s="1063"/>
      <c r="CO67" s="1063"/>
      <c r="CP67" s="1063"/>
      <c r="CQ67" s="1051"/>
      <c r="CR67" s="1051"/>
      <c r="CS67" s="1051"/>
      <c r="CT67" s="1051"/>
      <c r="CU67" s="1051"/>
      <c r="CV67" s="1051"/>
      <c r="CW67" s="1051"/>
      <c r="CX67" s="1051"/>
      <c r="CY67" s="1051"/>
      <c r="CZ67" s="1064"/>
      <c r="DA67" s="1064"/>
      <c r="DB67" s="1064"/>
      <c r="DC67" s="802"/>
      <c r="DD67" s="577"/>
      <c r="DE67" s="562"/>
      <c r="DF67" s="577"/>
      <c r="DG67" s="978"/>
      <c r="DH67" s="993"/>
      <c r="DI67" s="993"/>
      <c r="DJ67" s="993"/>
      <c r="DK67" s="993"/>
      <c r="DL67" s="993"/>
      <c r="DM67" s="993"/>
      <c r="DN67" s="993"/>
      <c r="DO67" s="993"/>
      <c r="DP67" s="993"/>
      <c r="DQ67" s="993"/>
      <c r="DR67" s="993"/>
      <c r="DS67" s="993"/>
      <c r="DT67" s="993"/>
      <c r="DU67" s="993"/>
      <c r="DV67" s="993"/>
      <c r="DW67" s="993"/>
      <c r="DX67" s="993"/>
      <c r="DY67" s="976"/>
      <c r="DZ67" s="577"/>
      <c r="EA67" s="562"/>
      <c r="EB67" s="577"/>
      <c r="EC67" s="970"/>
      <c r="ED67" s="970"/>
      <c r="EE67" s="970"/>
      <c r="EF67" s="970"/>
      <c r="EG67" s="970"/>
      <c r="EH67" s="970"/>
      <c r="EI67" s="970"/>
      <c r="EJ67" s="970"/>
      <c r="EK67" s="970"/>
      <c r="EL67" s="970"/>
      <c r="EM67" s="970"/>
      <c r="EN67" s="970"/>
      <c r="EO67" s="970"/>
      <c r="EP67" s="577"/>
      <c r="EQ67" s="562"/>
      <c r="ES67" s="543"/>
      <c r="EV67" s="500" t="b">
        <f t="shared" si="41"/>
        <v>0</v>
      </c>
      <c r="EW67" s="500" t="b">
        <f t="shared" si="65"/>
        <v>0</v>
      </c>
      <c r="EX67" s="500" t="b">
        <f t="shared" si="66"/>
        <v>0</v>
      </c>
      <c r="EY67" s="500" t="b">
        <f t="shared" si="42"/>
        <v>0</v>
      </c>
      <c r="EZ67" s="500" t="b">
        <f t="shared" si="43"/>
        <v>0</v>
      </c>
      <c r="FA67" s="500" t="b">
        <f t="shared" si="44"/>
        <v>0</v>
      </c>
      <c r="FB67" s="500" t="b">
        <f t="shared" si="45"/>
        <v>0</v>
      </c>
      <c r="FC67" s="500" t="b">
        <f t="shared" si="67"/>
        <v>0</v>
      </c>
      <c r="FD67" s="500" t="b">
        <f t="shared" si="68"/>
        <v>0</v>
      </c>
      <c r="FE67" s="500" t="b">
        <f t="shared" si="46"/>
        <v>0</v>
      </c>
      <c r="FF67" s="500" t="b">
        <f t="shared" si="47"/>
        <v>0</v>
      </c>
      <c r="FG67" s="500" t="b">
        <f t="shared" si="48"/>
        <v>0</v>
      </c>
      <c r="FI67" s="611">
        <f t="shared" si="49"/>
        <v>0</v>
      </c>
      <c r="FJ67" s="611">
        <f t="shared" si="50"/>
        <v>0</v>
      </c>
      <c r="FK67" s="611">
        <f t="shared" si="69"/>
        <v>0</v>
      </c>
      <c r="FL67" s="612"/>
      <c r="FM67" s="613">
        <f t="shared" si="51"/>
        <v>0</v>
      </c>
      <c r="FN67" s="613">
        <f t="shared" si="52"/>
        <v>0</v>
      </c>
      <c r="FO67" s="613">
        <f t="shared" si="53"/>
        <v>0</v>
      </c>
      <c r="FP67" s="613">
        <f t="shared" si="54"/>
        <v>0</v>
      </c>
      <c r="FQ67" s="613">
        <f t="shared" si="55"/>
        <v>0</v>
      </c>
      <c r="FR67" s="613">
        <f t="shared" si="56"/>
        <v>0</v>
      </c>
      <c r="FS67" s="613">
        <f t="shared" si="57"/>
        <v>0</v>
      </c>
      <c r="FT67" s="613">
        <f t="shared" si="58"/>
        <v>0</v>
      </c>
      <c r="FU67" s="613">
        <f t="shared" si="59"/>
        <v>0</v>
      </c>
      <c r="FV67" s="613">
        <f t="shared" si="60"/>
        <v>0</v>
      </c>
      <c r="FW67" s="613">
        <f t="shared" si="61"/>
        <v>0</v>
      </c>
      <c r="FX67" s="613">
        <f t="shared" si="62"/>
        <v>0</v>
      </c>
      <c r="GA67" s="500" t="str">
        <f>IF(ISBLANK(J47),CONCATENATE(G47," ",Q49),CONCATENATE(G47," ",I47," ",J47," ",Q49))</f>
        <v xml:space="preserve"> </v>
      </c>
      <c r="GB67" s="500"/>
      <c r="GC67" s="500"/>
      <c r="GF67" s="500" t="str">
        <f>$GF$35</f>
        <v>Tiled cover, P/board flat ceiling - Unventilated, Dn: BCA Fig 3.12.1.1(c)</v>
      </c>
      <c r="HD67" s="497" t="s">
        <v>418</v>
      </c>
      <c r="HN67" s="635" t="s">
        <v>746</v>
      </c>
      <c r="HO67" s="500" t="s">
        <v>754</v>
      </c>
      <c r="HP67" s="642">
        <v>0.01</v>
      </c>
      <c r="HQ67" s="500" t="s">
        <v>757</v>
      </c>
      <c r="HR67" s="563">
        <v>6.9</v>
      </c>
      <c r="HS67" s="563">
        <v>6.2</v>
      </c>
      <c r="HT67" s="563">
        <v>5.4</v>
      </c>
      <c r="HU67" s="563">
        <v>4.7</v>
      </c>
      <c r="HV67" s="563">
        <v>4</v>
      </c>
      <c r="HW67" s="563">
        <v>3.4</v>
      </c>
      <c r="HX67" s="563">
        <v>2.8</v>
      </c>
      <c r="HY67" s="563">
        <v>2.2000000000000002</v>
      </c>
      <c r="HZ67" s="563">
        <v>1.6</v>
      </c>
      <c r="IA67" s="601">
        <v>1</v>
      </c>
      <c r="IB67" s="566">
        <v>0</v>
      </c>
      <c r="ID67" s="509"/>
      <c r="IS67" s="498"/>
      <c r="IT67" s="498"/>
      <c r="IU67" s="578" t="s">
        <v>830</v>
      </c>
      <c r="IV67" s="635" t="e">
        <f>IF(CL28=$IU$59,CK23,IF(CK23=$IT$29,INDEX(BC_WallAlt_WB_Match,MATCH(CL28,BC_WallAlt_WB,0),1),IF(CK23=$IT$35,INDEX(BC_WallAlt_FC_Match,MATCH(CL28,BC_WallAlt_FC,0),1),IF(CK23=$IT$41,INDEX(BC_WallAlt_BV_Match,MATCH(CL28,BC_WallAlt_BV,0),1),IF(CK23=$IT$47,INDEX(BC_WallAlt_C_Match,MATCH(CL28,BC_WallAlt_C,0),1),INDEX(BC_WallAlt_RBV_Match,MATCH(CL28,BC_WallAlt_RBV,0),1))))))</f>
        <v>#N/A</v>
      </c>
      <c r="IW67" s="562"/>
      <c r="JT67" s="497" t="s">
        <v>868</v>
      </c>
      <c r="JU67" s="497" t="s">
        <v>794</v>
      </c>
      <c r="KG67" s="497" t="s">
        <v>613</v>
      </c>
      <c r="KH67" s="497" t="s">
        <v>967</v>
      </c>
      <c r="KI67" s="497" t="s">
        <v>968</v>
      </c>
      <c r="KJ67" s="497" t="s">
        <v>868</v>
      </c>
      <c r="KL67" s="497" t="s">
        <v>971</v>
      </c>
      <c r="LV67" s="563">
        <f t="shared" si="63"/>
        <v>0</v>
      </c>
      <c r="LW67" s="563">
        <f t="shared" si="64"/>
        <v>0</v>
      </c>
      <c r="MA67" s="497" t="s">
        <v>615</v>
      </c>
      <c r="MC67" s="631" t="e">
        <f>AreaB/(AreaA+AreaB)</f>
        <v>#DIV/0!</v>
      </c>
      <c r="ML67" s="562"/>
      <c r="MM67" s="543"/>
    </row>
    <row r="68" spans="1:351" ht="11.25" customHeight="1" thickBot="1">
      <c r="A68" s="577"/>
      <c r="B68" s="1099"/>
      <c r="C68" s="1040"/>
      <c r="D68" s="1040"/>
      <c r="E68" s="1040"/>
      <c r="F68" s="1040"/>
      <c r="G68" s="993"/>
      <c r="H68" s="993"/>
      <c r="I68" s="993"/>
      <c r="J68" s="993"/>
      <c r="K68" s="993"/>
      <c r="L68" s="993"/>
      <c r="M68" s="993"/>
      <c r="N68" s="993"/>
      <c r="O68" s="993"/>
      <c r="P68" s="993"/>
      <c r="Q68" s="993"/>
      <c r="R68" s="993"/>
      <c r="S68" s="993"/>
      <c r="T68" s="1100"/>
      <c r="U68" s="577"/>
      <c r="V68" s="562"/>
      <c r="W68" s="577"/>
      <c r="X68" s="847">
        <f>IF(ISBLANK(Calculator!C76),"",Calculator!C76)</f>
        <v>40</v>
      </c>
      <c r="Y68" s="972" t="str">
        <f>IF(ISBLANK(Calculator!D76),"",Calculator!D76)</f>
        <v/>
      </c>
      <c r="Z68" s="973"/>
      <c r="AA68" s="845" t="str">
        <f>IF(ISBLANK(Calculator!G76),"",Calculator!G76)</f>
        <v/>
      </c>
      <c r="AB68" s="846" t="str">
        <f>IF(ISBLANK(Calculator!H76),"",Calculator!H76)</f>
        <v/>
      </c>
      <c r="AC68" s="725"/>
      <c r="AD68" s="725"/>
      <c r="AE68" s="504"/>
      <c r="AF68" s="735"/>
      <c r="AG68" s="895"/>
      <c r="AH68" s="608" t="str">
        <f t="shared" si="40"/>
        <v/>
      </c>
      <c r="AI68" s="726"/>
      <c r="AJ68" s="726"/>
      <c r="AK68" s="726"/>
      <c r="AL68" s="726"/>
      <c r="AM68" s="726"/>
      <c r="AN68" s="726"/>
      <c r="AO68" s="726"/>
      <c r="AP68" s="726"/>
      <c r="AQ68" s="726"/>
      <c r="AR68" s="726"/>
      <c r="AS68" s="726"/>
      <c r="AT68" s="726"/>
      <c r="AU68" s="577"/>
      <c r="AW68" s="577"/>
      <c r="AX68" s="803"/>
      <c r="AY68" s="803"/>
      <c r="AZ68" s="803"/>
      <c r="BA68" s="803"/>
      <c r="BB68" s="803"/>
      <c r="BC68" s="803"/>
      <c r="BD68" s="803"/>
      <c r="BE68" s="803"/>
      <c r="BF68" s="925" t="s">
        <v>1115</v>
      </c>
      <c r="BG68" s="803"/>
      <c r="BH68" s="803"/>
      <c r="BI68" s="925" t="s">
        <v>1116</v>
      </c>
      <c r="BJ68" s="803"/>
      <c r="BK68" s="816"/>
      <c r="BL68" s="803"/>
      <c r="BM68" s="803"/>
      <c r="BN68" s="803"/>
      <c r="BO68" s="803"/>
      <c r="BP68" s="803"/>
      <c r="BQ68" s="803"/>
      <c r="BR68" s="577"/>
      <c r="BT68" s="577"/>
      <c r="BU68" s="1026"/>
      <c r="BV68" s="1026"/>
      <c r="BW68" s="1026"/>
      <c r="BX68" s="860"/>
      <c r="BY68" s="804" t="str">
        <f>ET61</f>
        <v>Third</v>
      </c>
      <c r="BZ68" s="861"/>
      <c r="CA68" s="913"/>
      <c r="CB68" s="803"/>
      <c r="CC68" s="713" t="str">
        <f>IF(IO65&gt;0,$ET$17,IF(ISBLANK(CA68),"",IJ66/CA68))</f>
        <v/>
      </c>
      <c r="CD68" s="785" t="str">
        <f>IF(CC68="","",IF(CC68&gt;3%,$ET$16,$ET$15))</f>
        <v/>
      </c>
      <c r="CE68" s="802"/>
      <c r="CF68" s="802"/>
      <c r="CG68" s="802"/>
      <c r="CH68" s="577"/>
      <c r="CJ68" s="577"/>
      <c r="CK68" s="802" t="s">
        <v>836</v>
      </c>
      <c r="CL68" s="802"/>
      <c r="CM68" s="802" t="str">
        <f>MID(CK22,9,30)</f>
        <v>Existing wall construction</v>
      </c>
      <c r="CN68" s="802"/>
      <c r="CO68" s="802"/>
      <c r="CP68" s="802"/>
      <c r="CQ68" s="1042"/>
      <c r="CR68" s="1043"/>
      <c r="CS68" s="1030" t="s">
        <v>852</v>
      </c>
      <c r="CT68" s="872" t="str">
        <f>IF(OR(ISBLANK(CQ68),ISBLANK(CK23)),"",IF(CZ61=$ET$17,$ET$17,INDEX(BC_WallValues,MATCH(CK23,BC_WallConst,0),6)))</f>
        <v/>
      </c>
      <c r="CU68" s="802"/>
      <c r="CV68" s="802"/>
      <c r="CW68" s="737"/>
      <c r="CX68" s="802"/>
      <c r="CY68" s="873" t="str">
        <f>IF(OR(ISBLANK(CQ68),ISBLANK(CK23)),"",IF(CZ61=$ET$17,$ET$17,IF(OR(ISBLANK(CW68),CW68=$ET$51),0,0.17)))</f>
        <v/>
      </c>
      <c r="CZ68" s="1031" t="str">
        <f>IF(ISBLANK(CQ68),"",IF(ISERROR(CQ68-CT68-CY68),$ET$17,IF((CQ68-CT68-CY68)&lt;0,$ET$17,CQ68-CT68-CY68)))</f>
        <v/>
      </c>
      <c r="DA68" s="1032"/>
      <c r="DB68" s="802"/>
      <c r="DC68" s="802"/>
      <c r="DD68" s="577"/>
      <c r="DE68" s="562"/>
      <c r="DF68" s="577"/>
      <c r="DG68" s="978"/>
      <c r="DH68" s="993"/>
      <c r="DI68" s="993"/>
      <c r="DJ68" s="993"/>
      <c r="DK68" s="993"/>
      <c r="DL68" s="993"/>
      <c r="DM68" s="993"/>
      <c r="DN68" s="993"/>
      <c r="DO68" s="993"/>
      <c r="DP68" s="993"/>
      <c r="DQ68" s="993"/>
      <c r="DR68" s="993"/>
      <c r="DS68" s="993"/>
      <c r="DT68" s="993"/>
      <c r="DU68" s="993"/>
      <c r="DV68" s="993"/>
      <c r="DW68" s="993"/>
      <c r="DX68" s="993"/>
      <c r="DY68" s="976"/>
      <c r="DZ68" s="577"/>
      <c r="EA68" s="562"/>
      <c r="EB68" s="577"/>
      <c r="EC68" s="970"/>
      <c r="ED68" s="970"/>
      <c r="EE68" s="970"/>
      <c r="EF68" s="970"/>
      <c r="EG68" s="970"/>
      <c r="EH68" s="970"/>
      <c r="EI68" s="970"/>
      <c r="EJ68" s="970"/>
      <c r="EK68" s="970"/>
      <c r="EL68" s="970"/>
      <c r="EM68" s="970"/>
      <c r="EN68" s="970"/>
      <c r="EO68" s="970"/>
      <c r="EP68" s="577"/>
      <c r="EQ68" s="562"/>
      <c r="ES68" s="543"/>
      <c r="EV68" s="500" t="b">
        <f t="shared" si="41"/>
        <v>0</v>
      </c>
      <c r="EW68" s="500" t="b">
        <f>AND(ISBLANK(AD68),AC68=$ET$13)</f>
        <v>0</v>
      </c>
      <c r="EX68" s="500" t="b">
        <f t="shared" si="66"/>
        <v>0</v>
      </c>
      <c r="EY68" s="500" t="b">
        <f t="shared" si="42"/>
        <v>0</v>
      </c>
      <c r="EZ68" s="500" t="b">
        <f t="shared" si="43"/>
        <v>0</v>
      </c>
      <c r="FA68" s="500" t="b">
        <f t="shared" si="44"/>
        <v>0</v>
      </c>
      <c r="FB68" s="500" t="b">
        <f t="shared" si="45"/>
        <v>0</v>
      </c>
      <c r="FC68" s="500" t="b">
        <f t="shared" si="67"/>
        <v>0</v>
      </c>
      <c r="FD68" s="500" t="b">
        <f t="shared" si="68"/>
        <v>0</v>
      </c>
      <c r="FE68" s="500" t="b">
        <f t="shared" si="46"/>
        <v>0</v>
      </c>
      <c r="FF68" s="500" t="b">
        <f t="shared" si="47"/>
        <v>0</v>
      </c>
      <c r="FG68" s="500" t="b">
        <f t="shared" si="48"/>
        <v>0</v>
      </c>
      <c r="FI68" s="611">
        <f t="shared" si="49"/>
        <v>0</v>
      </c>
      <c r="FJ68" s="611">
        <f t="shared" si="50"/>
        <v>0</v>
      </c>
      <c r="FK68" s="611">
        <f t="shared" si="69"/>
        <v>0</v>
      </c>
      <c r="FL68" s="612"/>
      <c r="FM68" s="613">
        <f t="shared" si="51"/>
        <v>0</v>
      </c>
      <c r="FN68" s="613">
        <f t="shared" si="52"/>
        <v>0</v>
      </c>
      <c r="FO68" s="613">
        <f t="shared" si="53"/>
        <v>0</v>
      </c>
      <c r="FP68" s="613">
        <f t="shared" si="54"/>
        <v>0</v>
      </c>
      <c r="FQ68" s="613">
        <f t="shared" si="55"/>
        <v>0</v>
      </c>
      <c r="FR68" s="613">
        <f t="shared" si="56"/>
        <v>0</v>
      </c>
      <c r="FS68" s="613">
        <f t="shared" si="57"/>
        <v>0</v>
      </c>
      <c r="FT68" s="613">
        <f t="shared" si="58"/>
        <v>0</v>
      </c>
      <c r="FU68" s="613">
        <f t="shared" si="59"/>
        <v>0</v>
      </c>
      <c r="FV68" s="613">
        <f t="shared" si="60"/>
        <v>0</v>
      </c>
      <c r="FW68" s="613">
        <f t="shared" si="61"/>
        <v>0</v>
      </c>
      <c r="FX68" s="613">
        <f t="shared" si="62"/>
        <v>0</v>
      </c>
      <c r="FY68" s="612"/>
      <c r="FZ68" s="500" t="s">
        <v>514</v>
      </c>
      <c r="GA68" s="613"/>
      <c r="GB68" s="613"/>
      <c r="GC68" s="500"/>
      <c r="GF68" s="500" t="str">
        <f>$GF$37</f>
        <v>Metal cover, P/board flat ceiling - Ventilated, Dn: BCA Fig 3.12.1.1(d)</v>
      </c>
      <c r="HD68" s="500" t="b">
        <f>AND(ISBLANK(BF69),ISNUMBER(BF71))</f>
        <v>0</v>
      </c>
      <c r="HE68" s="500" t="b">
        <f>AND(AND(ISBLANK(BF69),AND(ISBLANK(BI69),AND(ISBLANK(BF71),ISBLANK(BI71)))),SUM(BD78:BD87)&gt;0)</f>
        <v>0</v>
      </c>
      <c r="HG68" s="500" t="b">
        <f>AND(ISBLANK(BI69),ISNUMBER(BI71))</f>
        <v>0</v>
      </c>
      <c r="HN68" s="635" t="s">
        <v>748</v>
      </c>
      <c r="HO68" s="500" t="s">
        <v>754</v>
      </c>
      <c r="HP68" s="642">
        <v>1.4999999999999999E-2</v>
      </c>
      <c r="HQ68" s="500" t="s">
        <v>757</v>
      </c>
      <c r="HR68" s="563" t="s">
        <v>757</v>
      </c>
      <c r="HS68" s="563">
        <v>7</v>
      </c>
      <c r="HT68" s="563">
        <v>6.1</v>
      </c>
      <c r="HU68" s="563">
        <v>5.2</v>
      </c>
      <c r="HV68" s="563">
        <v>4.4000000000000004</v>
      </c>
      <c r="HW68" s="563">
        <v>3.6</v>
      </c>
      <c r="HX68" s="563">
        <v>2.9</v>
      </c>
      <c r="HY68" s="563">
        <v>2.2999999999999998</v>
      </c>
      <c r="HZ68" s="563">
        <v>1.7</v>
      </c>
      <c r="IA68" s="601">
        <v>1.1000000000000001</v>
      </c>
      <c r="IB68" s="566">
        <v>0.1</v>
      </c>
      <c r="IF68" s="668" t="s">
        <v>876</v>
      </c>
      <c r="IG68" s="631" t="e">
        <f>IG66/CA65</f>
        <v>#DIV/0!</v>
      </c>
      <c r="IH68" s="631" t="e">
        <f>IH66/CA66</f>
        <v>#DIV/0!</v>
      </c>
      <c r="II68" s="631" t="e">
        <f>II66/CA67</f>
        <v>#DIV/0!</v>
      </c>
      <c r="IJ68" s="631" t="e">
        <f>IJ66/CA68</f>
        <v>#DIV/0!</v>
      </c>
      <c r="IS68" s="498"/>
      <c r="IT68" s="498"/>
      <c r="IV68" s="635" t="str">
        <f>IF(ISBLANK(CL28),"",CONCATENATE(IV67," R",INDEX(BC_WallValues,MATCH(IV67,BC_WallConst,0),6)))</f>
        <v/>
      </c>
      <c r="JT68" s="500" t="b">
        <f>AND(ISBLANK(CQ68),ISTEXT(CW68))</f>
        <v>0</v>
      </c>
      <c r="JU68" s="500" t="b">
        <f>AND(ISTEXT(CW68),ISBLANK(CQ68))</f>
        <v>0</v>
      </c>
      <c r="KG68" s="500" t="b">
        <f>ISBLANK(DG22)</f>
        <v>1</v>
      </c>
      <c r="KH68" s="500" t="b">
        <f>ISBLANK(DK22)</f>
        <v>1</v>
      </c>
      <c r="KI68" s="500" t="b">
        <f>ISBLANK(DO22)</f>
        <v>1</v>
      </c>
      <c r="KJ68" s="500" t="b">
        <f>ISBLANK(DS22)</f>
        <v>1</v>
      </c>
      <c r="KL68" s="514">
        <f>COUNTIF(KG68:KJ68,TRUE())</f>
        <v>4</v>
      </c>
      <c r="LV68" s="563">
        <f t="shared" si="63"/>
        <v>0</v>
      </c>
      <c r="LW68" s="563">
        <f t="shared" si="64"/>
        <v>0</v>
      </c>
      <c r="MC68" s="644" t="e">
        <f>SUM(MC66:MC67)</f>
        <v>#DIV/0!</v>
      </c>
      <c r="ML68" s="562"/>
      <c r="MM68" s="543"/>
    </row>
    <row r="69" spans="1:351" ht="11.25" customHeight="1" thickBot="1">
      <c r="A69" s="577"/>
      <c r="B69" s="1145"/>
      <c r="C69" s="993"/>
      <c r="D69" s="993"/>
      <c r="E69" s="993"/>
      <c r="F69" s="993"/>
      <c r="G69" s="993"/>
      <c r="H69" s="993"/>
      <c r="I69" s="993"/>
      <c r="J69" s="993"/>
      <c r="K69" s="993"/>
      <c r="L69" s="993"/>
      <c r="M69" s="993"/>
      <c r="N69" s="993"/>
      <c r="O69" s="993"/>
      <c r="P69" s="993"/>
      <c r="Q69" s="993"/>
      <c r="R69" s="993"/>
      <c r="S69" s="993"/>
      <c r="T69" s="1100"/>
      <c r="U69" s="577"/>
      <c r="V69" s="562"/>
      <c r="W69" s="577"/>
      <c r="X69" s="779"/>
      <c r="Y69" s="779"/>
      <c r="Z69" s="848"/>
      <c r="AA69" s="526"/>
      <c r="AB69" s="526"/>
      <c r="AC69" s="862"/>
      <c r="AD69" s="869"/>
      <c r="AE69" s="504"/>
      <c r="AF69" s="893"/>
      <c r="AG69" s="516"/>
      <c r="AH69" s="645"/>
      <c r="AI69" s="516"/>
      <c r="AJ69" s="516"/>
      <c r="AK69" s="516"/>
      <c r="AL69" s="516"/>
      <c r="AM69" s="516"/>
      <c r="AN69" s="516"/>
      <c r="AO69" s="516"/>
      <c r="AP69" s="516"/>
      <c r="AQ69" s="516"/>
      <c r="AR69" s="516"/>
      <c r="AS69" s="516"/>
      <c r="AT69" s="516"/>
      <c r="AU69" s="577"/>
      <c r="AW69" s="577"/>
      <c r="AX69" s="803"/>
      <c r="AY69" s="920"/>
      <c r="AZ69" s="920"/>
      <c r="BA69" s="920"/>
      <c r="BB69" s="920"/>
      <c r="BC69" s="920"/>
      <c r="BD69" s="920"/>
      <c r="BE69" s="921" t="s">
        <v>1064</v>
      </c>
      <c r="BF69" s="734"/>
      <c r="BG69" s="803"/>
      <c r="BH69" s="803"/>
      <c r="BI69" s="734"/>
      <c r="BJ69" s="803"/>
      <c r="BK69" s="927" t="str">
        <f>IF(AND(ISBLANK(BF69),ISBLANK(BI69)),"",BF69+BI69)</f>
        <v/>
      </c>
      <c r="BL69" s="803" t="s">
        <v>436</v>
      </c>
      <c r="BM69" s="804"/>
      <c r="BN69" s="803"/>
      <c r="BO69" s="803"/>
      <c r="BP69" s="803"/>
      <c r="BQ69" s="803"/>
      <c r="BR69" s="577"/>
      <c r="BT69" s="577"/>
      <c r="BU69" s="802"/>
      <c r="BV69" s="802"/>
      <c r="BW69" s="802"/>
      <c r="BX69" s="802"/>
      <c r="BY69" s="802"/>
      <c r="BZ69" s="802"/>
      <c r="CA69" s="802"/>
      <c r="CB69" s="802"/>
      <c r="CC69" s="802"/>
      <c r="CD69" s="802"/>
      <c r="CE69" s="802"/>
      <c r="CF69" s="802"/>
      <c r="CG69" s="802"/>
      <c r="CH69" s="577"/>
      <c r="CJ69" s="577"/>
      <c r="CK69" s="802" t="s">
        <v>825</v>
      </c>
      <c r="CL69" s="802"/>
      <c r="CM69" s="802" t="str">
        <f>MID(CL27,10,30)</f>
        <v>Alteration to existing wall</v>
      </c>
      <c r="CN69" s="802"/>
      <c r="CO69" s="802"/>
      <c r="CP69" s="802"/>
      <c r="CQ69" s="1037"/>
      <c r="CR69" s="1038"/>
      <c r="CS69" s="1030"/>
      <c r="CT69" s="872" t="str">
        <f>IF(OR(ISBLANK(CQ69),ISBLANK(CK23)),"",IF(CZ61=$ET$17,$ET$17,IF(CL29=$IU$60,CT68,MID(CL29,FIND(")",CL29,1)+3,5))))</f>
        <v/>
      </c>
      <c r="CU69" s="802"/>
      <c r="CV69" s="802"/>
      <c r="CW69" s="728"/>
      <c r="CX69" s="802"/>
      <c r="CY69" s="873" t="str">
        <f>IF(OR(ISBLANK(CQ69),ISBLANK(CK23)),"",IF(CZ61=$ET$17,$ET$17,IF(OR(ISBLANK(CW69),CW69=$ET$51),0,0.17)))</f>
        <v/>
      </c>
      <c r="CZ69" s="1031" t="str">
        <f>IF(ISBLANK(CQ69),"",IF(ISERROR(CQ69-CT69-CY69),$ET$17,IF((CQ69-CT69-CY69)&lt;0,$ET$17,CQ69-CT69-CY69)))</f>
        <v/>
      </c>
      <c r="DA69" s="1032"/>
      <c r="DB69" s="802"/>
      <c r="DC69" s="802"/>
      <c r="DD69" s="577"/>
      <c r="DE69" s="562"/>
      <c r="DF69" s="577"/>
      <c r="DG69" s="577"/>
      <c r="DH69" s="577"/>
      <c r="DI69" s="577"/>
      <c r="DJ69" s="577"/>
      <c r="DK69" s="577"/>
      <c r="DL69" s="577"/>
      <c r="DM69" s="577"/>
      <c r="DN69" s="577"/>
      <c r="DO69" s="577"/>
      <c r="DP69" s="577"/>
      <c r="DQ69" s="577"/>
      <c r="DR69" s="577"/>
      <c r="DS69" s="577"/>
      <c r="DT69" s="577"/>
      <c r="DU69" s="577"/>
      <c r="DV69" s="577"/>
      <c r="DW69" s="577"/>
      <c r="DX69" s="577"/>
      <c r="DY69" s="577"/>
      <c r="DZ69" s="577"/>
      <c r="EA69" s="562"/>
      <c r="EB69" s="577"/>
      <c r="EC69" s="577"/>
      <c r="ED69" s="577"/>
      <c r="EE69" s="577"/>
      <c r="EF69" s="577"/>
      <c r="EG69" s="577"/>
      <c r="EH69" s="577"/>
      <c r="EI69" s="577"/>
      <c r="EJ69" s="577"/>
      <c r="EK69" s="577"/>
      <c r="EL69" s="577"/>
      <c r="EM69" s="577"/>
      <c r="EN69" s="577"/>
      <c r="EO69" s="577"/>
      <c r="EP69" s="577"/>
      <c r="EQ69" s="562"/>
      <c r="ES69" s="543"/>
      <c r="EV69" s="500"/>
      <c r="EW69" s="500"/>
      <c r="EX69" s="500"/>
      <c r="EY69" s="500"/>
      <c r="EZ69" s="500"/>
      <c r="FA69" s="500"/>
      <c r="FB69" s="500"/>
      <c r="FC69" s="500"/>
      <c r="FD69" s="500"/>
      <c r="FE69" s="500"/>
      <c r="FF69" s="500"/>
      <c r="FG69" s="500"/>
      <c r="FI69" s="611"/>
      <c r="FJ69" s="611"/>
      <c r="FK69" s="611"/>
      <c r="FL69" s="612"/>
      <c r="FM69" s="612"/>
      <c r="FN69" s="612"/>
      <c r="FO69" s="612"/>
      <c r="FP69" s="612"/>
      <c r="FQ69" s="612"/>
      <c r="FR69" s="612"/>
      <c r="FS69" s="612"/>
      <c r="FT69" s="612"/>
      <c r="FU69" s="612"/>
      <c r="FV69" s="612"/>
      <c r="FW69" s="612"/>
      <c r="FX69" s="612"/>
      <c r="FY69" s="612"/>
      <c r="FZ69" s="500" t="s">
        <v>525</v>
      </c>
      <c r="GA69" s="613"/>
      <c r="GB69" s="613"/>
      <c r="GC69" s="500"/>
      <c r="GF69" s="500" t="str">
        <f>$GF$39</f>
        <v>Metal cover, P/board flat ceiling - Unventilated, Dn: BCA Fig 3.12.1.1(d)</v>
      </c>
      <c r="HD69" s="497" t="s">
        <v>1085</v>
      </c>
      <c r="HN69" s="635" t="s">
        <v>749</v>
      </c>
      <c r="HO69" s="500" t="s">
        <v>754</v>
      </c>
      <c r="HP69" s="642">
        <v>0.02</v>
      </c>
      <c r="HQ69" s="500" t="s">
        <v>757</v>
      </c>
      <c r="HR69" s="563" t="s">
        <v>757</v>
      </c>
      <c r="HS69" s="563" t="s">
        <v>757</v>
      </c>
      <c r="HT69" s="563">
        <v>6.8</v>
      </c>
      <c r="HU69" s="563">
        <v>5.8</v>
      </c>
      <c r="HV69" s="563">
        <v>4.8</v>
      </c>
      <c r="HW69" s="563">
        <v>3.9</v>
      </c>
      <c r="HX69" s="563">
        <v>3.1</v>
      </c>
      <c r="HY69" s="563">
        <v>2.4</v>
      </c>
      <c r="HZ69" s="563">
        <v>1.7</v>
      </c>
      <c r="IA69" s="601">
        <v>1.1000000000000001</v>
      </c>
      <c r="IB69" s="566">
        <v>0.1</v>
      </c>
      <c r="ID69" s="509"/>
      <c r="IS69" s="498"/>
      <c r="IT69" s="498"/>
      <c r="IV69" s="503" t="s">
        <v>457</v>
      </c>
      <c r="IW69" s="499" t="str">
        <f>IF(CL28=$IU$39,0,IF(MID(CL28,1,8)=$ET$13,INDEX(BC_WallValues,MATCH(CK23,BC_WallConst,0),9),IF(MID(CL28,1,3)=$ET$31,INDEX(BC_WallValues,MATCH(CK23,BC_WallConst,0),8),$ET$17)))</f>
        <v>Data</v>
      </c>
      <c r="JT69" s="500" t="b">
        <f>AND(ISBLANK(CQ69),ISTEXT(CW69))</f>
        <v>0</v>
      </c>
      <c r="JU69" s="500" t="b">
        <f>AND(ISTEXT(CW69),ISBLANK(CQ69))</f>
        <v>0</v>
      </c>
      <c r="KG69" s="500" t="b">
        <f>ISBLANK(DG28)</f>
        <v>1</v>
      </c>
      <c r="KH69" s="500" t="b">
        <f>ISBLANK(DK28)</f>
        <v>1</v>
      </c>
      <c r="KI69" s="500" t="b">
        <f>ISBLANK(DO28)</f>
        <v>1</v>
      </c>
      <c r="KJ69" s="500" t="b">
        <f>ISBLANK(DS28)</f>
        <v>1</v>
      </c>
      <c r="KL69" s="514">
        <f t="shared" ref="KL69:KL70" si="116">COUNTIF(KG69:KJ69,TRUE())</f>
        <v>4</v>
      </c>
      <c r="LV69" s="646">
        <f>SUM(LV29:LV68)</f>
        <v>0</v>
      </c>
      <c r="LW69" s="646">
        <f>SUM(LW29:LW68)</f>
        <v>0</v>
      </c>
      <c r="ML69" s="562"/>
      <c r="MM69" s="543"/>
    </row>
    <row r="70" spans="1:351" ht="11.25" customHeight="1" thickBot="1">
      <c r="A70" s="577"/>
      <c r="B70" s="1145"/>
      <c r="C70" s="993"/>
      <c r="D70" s="993"/>
      <c r="E70" s="993"/>
      <c r="F70" s="993"/>
      <c r="G70" s="993"/>
      <c r="H70" s="993"/>
      <c r="I70" s="993"/>
      <c r="J70" s="993"/>
      <c r="K70" s="993"/>
      <c r="L70" s="993"/>
      <c r="M70" s="993"/>
      <c r="N70" s="993"/>
      <c r="O70" s="993"/>
      <c r="P70" s="993"/>
      <c r="Q70" s="993"/>
      <c r="R70" s="993"/>
      <c r="S70" s="993"/>
      <c r="T70" s="1100"/>
      <c r="U70" s="577"/>
      <c r="V70" s="562"/>
      <c r="W70" s="577"/>
      <c r="X70" s="849" t="s">
        <v>1090</v>
      </c>
      <c r="Y70" s="849"/>
      <c r="Z70" s="848"/>
      <c r="AA70" s="526"/>
      <c r="AB70" s="526"/>
      <c r="AC70" s="862"/>
      <c r="AD70" s="897"/>
      <c r="AE70" s="504"/>
      <c r="AF70" s="894"/>
      <c r="AG70" s="516"/>
      <c r="AH70" s="645"/>
      <c r="AI70" s="505"/>
      <c r="AJ70" s="505"/>
      <c r="AK70" s="505"/>
      <c r="AL70" s="505"/>
      <c r="AM70" s="505"/>
      <c r="AN70" s="505"/>
      <c r="AO70" s="505"/>
      <c r="AP70" s="505"/>
      <c r="AQ70" s="505"/>
      <c r="AR70" s="505"/>
      <c r="AS70" s="505"/>
      <c r="AT70" s="505"/>
      <c r="AU70" s="577"/>
      <c r="AW70" s="577"/>
      <c r="AX70" s="803"/>
      <c r="AY70" s="920"/>
      <c r="AZ70" s="920"/>
      <c r="BA70" s="920"/>
      <c r="BB70" s="920"/>
      <c r="BC70" s="920"/>
      <c r="BD70" s="920"/>
      <c r="BE70" s="920"/>
      <c r="BF70" s="803"/>
      <c r="BG70" s="803"/>
      <c r="BH70" s="803"/>
      <c r="BI70" s="803"/>
      <c r="BJ70" s="803"/>
      <c r="BK70" s="803"/>
      <c r="BL70" s="803"/>
      <c r="BM70" s="803"/>
      <c r="BN70" s="803"/>
      <c r="BO70" s="803"/>
      <c r="BP70" s="803"/>
      <c r="BQ70" s="803"/>
      <c r="BR70" s="577"/>
      <c r="BT70" s="577"/>
      <c r="BU70" s="858" t="s">
        <v>870</v>
      </c>
      <c r="BV70" s="1068" t="s">
        <v>923</v>
      </c>
      <c r="BW70" s="1068"/>
      <c r="BX70" s="1068"/>
      <c r="BY70" s="1068"/>
      <c r="BZ70" s="1068"/>
      <c r="CA70" s="1068"/>
      <c r="CB70" s="1068"/>
      <c r="CC70" s="1068"/>
      <c r="CD70" s="1068"/>
      <c r="CE70" s="1068"/>
      <c r="CF70" s="1068"/>
      <c r="CG70" s="1068"/>
      <c r="CH70" s="577"/>
      <c r="CJ70" s="577"/>
      <c r="CK70" s="802" t="s">
        <v>832</v>
      </c>
      <c r="CL70" s="802"/>
      <c r="CM70" s="802" t="str">
        <f>MID(CL31,10,FIND("(",CL31,1)-11)</f>
        <v>Alteration to existing wall</v>
      </c>
      <c r="CN70" s="802"/>
      <c r="CO70" s="802"/>
      <c r="CP70" s="802"/>
      <c r="CQ70" s="1037"/>
      <c r="CR70" s="1038"/>
      <c r="CS70" s="1030"/>
      <c r="CT70" s="872" t="str">
        <f>IF(OR(ISBLANK(CQ70),ISBLANK(CK23)),"",IF(CZ61=$ET$17,$ET$17,IF(CL33=$IU$60,CT68,MID(CL33,FIND(")",CL33,1)+3,5))))</f>
        <v/>
      </c>
      <c r="CU70" s="802"/>
      <c r="CV70" s="802"/>
      <c r="CW70" s="728"/>
      <c r="CX70" s="802"/>
      <c r="CY70" s="873" t="str">
        <f>IF(OR(ISBLANK(CQ70),ISBLANK(CK23)),"",IF(CZ61=$ET$17,$ET$17,IF(OR(ISBLANK(CW70),CW70=$ET$51),0,0.17)))</f>
        <v/>
      </c>
      <c r="CZ70" s="1031" t="str">
        <f>IF(ISBLANK(CQ70),"",IF(ISERROR(CQ70-CT70-CY70),$ET$17,IF((CQ70-CT70-CY70)&lt;0,$ET$17,CQ70-CT70-CY70)))</f>
        <v/>
      </c>
      <c r="DA70" s="1032"/>
      <c r="DB70" s="802"/>
      <c r="DC70" s="802"/>
      <c r="DD70" s="577"/>
      <c r="DE70" s="562"/>
      <c r="EA70" s="562"/>
      <c r="EB70" s="562"/>
      <c r="EC70" s="562"/>
      <c r="ED70" s="562"/>
      <c r="EE70" s="562"/>
      <c r="EF70" s="562"/>
      <c r="EG70" s="562"/>
      <c r="EH70" s="562"/>
      <c r="EI70" s="562"/>
      <c r="EJ70" s="562"/>
      <c r="EK70" s="562"/>
      <c r="EL70" s="562"/>
      <c r="EM70" s="562"/>
      <c r="EN70" s="562"/>
      <c r="EO70" s="562"/>
      <c r="EP70" s="562"/>
      <c r="EQ70" s="562"/>
      <c r="ES70" s="543"/>
      <c r="EV70" s="500"/>
      <c r="EW70" s="500"/>
      <c r="EX70" s="500"/>
      <c r="EY70" s="500"/>
      <c r="EZ70" s="500"/>
      <c r="FA70" s="500"/>
      <c r="FB70" s="500"/>
      <c r="FC70" s="500"/>
      <c r="FD70" s="500"/>
      <c r="FE70" s="500"/>
      <c r="FF70" s="500"/>
      <c r="FG70" s="500"/>
      <c r="FI70" s="611"/>
      <c r="FJ70" s="611"/>
      <c r="FK70" s="611"/>
      <c r="FL70" s="612"/>
      <c r="FM70" s="612"/>
      <c r="FN70" s="612"/>
      <c r="FO70" s="612"/>
      <c r="FP70" s="612"/>
      <c r="FQ70" s="612"/>
      <c r="FR70" s="612"/>
      <c r="FS70" s="612"/>
      <c r="FT70" s="612"/>
      <c r="FU70" s="612"/>
      <c r="FV70" s="612"/>
      <c r="FW70" s="612"/>
      <c r="FX70" s="612"/>
      <c r="GG70" s="536" t="s">
        <v>465</v>
      </c>
      <c r="GH70" s="536" t="s">
        <v>454</v>
      </c>
      <c r="HD70" s="500" t="b">
        <f>AND(ISBLANK(BF71),ISNUMBER(BF69))</f>
        <v>0</v>
      </c>
      <c r="HG70" s="500" t="b">
        <f>AND(ISBLANK(BI71),ISNUMBER(BI69))</f>
        <v>0</v>
      </c>
      <c r="HN70" s="635" t="s">
        <v>750</v>
      </c>
      <c r="HO70" s="500" t="s">
        <v>754</v>
      </c>
      <c r="HP70" s="642">
        <v>2.5000000000000001E-2</v>
      </c>
      <c r="HQ70" s="500" t="s">
        <v>757</v>
      </c>
      <c r="HR70" s="563" t="s">
        <v>757</v>
      </c>
      <c r="HS70" s="563" t="s">
        <v>757</v>
      </c>
      <c r="HT70" s="563" t="s">
        <v>757</v>
      </c>
      <c r="HU70" s="563">
        <v>6.5</v>
      </c>
      <c r="HV70" s="563">
        <v>5.3</v>
      </c>
      <c r="HW70" s="563">
        <v>4.2</v>
      </c>
      <c r="HX70" s="563">
        <v>3.3</v>
      </c>
      <c r="HY70" s="563">
        <v>2.5</v>
      </c>
      <c r="HZ70" s="563">
        <v>1.8</v>
      </c>
      <c r="IA70" s="601">
        <v>1.1000000000000001</v>
      </c>
      <c r="IB70" s="566">
        <v>0.1</v>
      </c>
      <c r="IS70" s="498"/>
      <c r="IT70" s="498"/>
      <c r="IV70" s="503"/>
      <c r="IW70" s="500"/>
      <c r="JT70" s="500" t="b">
        <f>AND(ISBLANK(CQ70),ISTEXT(CW70))</f>
        <v>0</v>
      </c>
      <c r="JU70" s="500" t="b">
        <f>AND(ISTEXT(CW70),ISBLANK(CQ70))</f>
        <v>0</v>
      </c>
      <c r="KG70" s="500" t="b">
        <f>ISBLANK(DG36)</f>
        <v>1</v>
      </c>
      <c r="KH70" s="500" t="b">
        <f>ISBLANK(DK36)</f>
        <v>1</v>
      </c>
      <c r="KI70" s="500" t="b">
        <f>ISBLANK(DO36)</f>
        <v>1</v>
      </c>
      <c r="KJ70" s="500"/>
      <c r="KL70" s="514">
        <f t="shared" si="116"/>
        <v>3</v>
      </c>
      <c r="LZ70" s="497" t="s">
        <v>616</v>
      </c>
      <c r="MC70" s="631" t="e">
        <f>(MC66*ME49)+(MC67*ME50)</f>
        <v>#DIV/0!</v>
      </c>
      <c r="MD70" s="639" t="e">
        <f>(MD63*MC66)+(MD64*MC67)</f>
        <v>#N/A</v>
      </c>
      <c r="ME70" s="647">
        <f>$MG$26</f>
        <v>1</v>
      </c>
      <c r="MF70" s="648">
        <f>$MH$26</f>
        <v>1</v>
      </c>
      <c r="MM70" s="543"/>
    </row>
    <row r="71" spans="1:351" ht="11.25" customHeight="1" thickBot="1">
      <c r="A71" s="577"/>
      <c r="B71" s="1145"/>
      <c r="C71" s="993"/>
      <c r="D71" s="993"/>
      <c r="E71" s="993"/>
      <c r="F71" s="993"/>
      <c r="G71" s="993"/>
      <c r="H71" s="993"/>
      <c r="I71" s="993"/>
      <c r="J71" s="993"/>
      <c r="K71" s="993"/>
      <c r="L71" s="993"/>
      <c r="M71" s="993"/>
      <c r="N71" s="993"/>
      <c r="O71" s="993"/>
      <c r="P71" s="993"/>
      <c r="Q71" s="993"/>
      <c r="R71" s="993"/>
      <c r="S71" s="993"/>
      <c r="T71" s="1100"/>
      <c r="U71" s="577"/>
      <c r="V71" s="562"/>
      <c r="W71" s="577"/>
      <c r="X71" s="850">
        <v>41</v>
      </c>
      <c r="Y71" s="976"/>
      <c r="Z71" s="978"/>
      <c r="AA71" s="727"/>
      <c r="AB71" s="898"/>
      <c r="AC71" s="725"/>
      <c r="AD71" s="724"/>
      <c r="AE71" s="504"/>
      <c r="AF71" s="735"/>
      <c r="AG71" s="895"/>
      <c r="AH71" s="608" t="str">
        <f t="shared" ref="AH71:AH80" si="117">IF(OR(AA71="",AB71=""),"",FK71)</f>
        <v/>
      </c>
      <c r="AI71" s="726"/>
      <c r="AJ71" s="726"/>
      <c r="AK71" s="726"/>
      <c r="AL71" s="726"/>
      <c r="AM71" s="726"/>
      <c r="AN71" s="726"/>
      <c r="AO71" s="726"/>
      <c r="AP71" s="726"/>
      <c r="AQ71" s="726"/>
      <c r="AR71" s="726"/>
      <c r="AS71" s="726"/>
      <c r="AT71" s="726"/>
      <c r="AU71" s="577"/>
      <c r="AW71" s="577"/>
      <c r="AX71" s="803"/>
      <c r="AY71" s="804"/>
      <c r="AZ71" s="804"/>
      <c r="BA71" s="804"/>
      <c r="BB71" s="804"/>
      <c r="BC71" s="818"/>
      <c r="BD71" s="803"/>
      <c r="BE71" s="816" t="s">
        <v>1119</v>
      </c>
      <c r="BF71" s="825"/>
      <c r="BG71" s="803"/>
      <c r="BH71" s="803"/>
      <c r="BI71" s="825"/>
      <c r="BJ71" s="803"/>
      <c r="BK71" s="926" t="str">
        <f>IF(BK69="","",IF(AND(ISBLANK(BF71),ISBLANK(BI71)),"",((BF69*BF71)+(BI69*HD87))/BK69))</f>
        <v/>
      </c>
      <c r="BL71" s="1067" t="s">
        <v>1117</v>
      </c>
      <c r="BM71" s="1067"/>
      <c r="BN71" s="1067"/>
      <c r="BO71" s="1067"/>
      <c r="BP71" s="1067"/>
      <c r="BQ71" s="1067"/>
      <c r="BR71" s="577"/>
      <c r="BT71" s="577"/>
      <c r="BU71" s="858" t="s">
        <v>871</v>
      </c>
      <c r="BV71" s="1068" t="s">
        <v>1041</v>
      </c>
      <c r="BW71" s="1068"/>
      <c r="BX71" s="1068"/>
      <c r="BY71" s="1068"/>
      <c r="BZ71" s="1068"/>
      <c r="CA71" s="1068"/>
      <c r="CB71" s="1068"/>
      <c r="CC71" s="1068"/>
      <c r="CD71" s="1068"/>
      <c r="CE71" s="1068"/>
      <c r="CF71" s="1068"/>
      <c r="CG71" s="1068"/>
      <c r="CH71" s="577"/>
      <c r="CJ71" s="577"/>
      <c r="CK71" s="802"/>
      <c r="CL71" s="802"/>
      <c r="CM71" s="802"/>
      <c r="CN71" s="802"/>
      <c r="CO71" s="802"/>
      <c r="CP71" s="802"/>
      <c r="CQ71" s="871"/>
      <c r="CR71" s="802"/>
      <c r="CS71" s="1030"/>
      <c r="CT71" s="805"/>
      <c r="CU71" s="802"/>
      <c r="CV71" s="802"/>
      <c r="CW71" s="802"/>
      <c r="CX71" s="802"/>
      <c r="CY71" s="810"/>
      <c r="CZ71" s="875"/>
      <c r="DA71" s="813"/>
      <c r="DB71" s="813"/>
      <c r="DC71" s="802"/>
      <c r="DD71" s="577"/>
      <c r="DE71" s="562"/>
      <c r="DK71" s="624"/>
      <c r="EA71" s="562"/>
      <c r="EB71" s="562"/>
      <c r="EC71" s="562"/>
      <c r="ED71" s="562"/>
      <c r="EE71" s="562"/>
      <c r="EF71" s="562"/>
      <c r="EG71" s="562"/>
      <c r="EH71" s="562"/>
      <c r="EI71" s="562"/>
      <c r="EJ71" s="562"/>
      <c r="EK71" s="562"/>
      <c r="EL71" s="562"/>
      <c r="EM71" s="562"/>
      <c r="EN71" s="562"/>
      <c r="EO71" s="562"/>
      <c r="EP71" s="562"/>
      <c r="EQ71" s="562"/>
      <c r="ES71" s="543"/>
      <c r="EV71" s="500" t="b">
        <f t="shared" ref="EV71:EV80" si="118">AND(ISERROR(AA71*AB71),AC71=$ET$13)</f>
        <v>0</v>
      </c>
      <c r="EW71" s="500" t="b">
        <f>AND(ISBLANK(AD71),AC71=$ET$13)</f>
        <v>0</v>
      </c>
      <c r="EX71" s="500" t="b">
        <f t="shared" ref="EX71:EX80" si="119">AND(AD71=$ET$51,ISBLANK(AC71))</f>
        <v>0</v>
      </c>
      <c r="EY71" s="500" t="b">
        <f t="shared" ref="EY71:EY80" si="120">AND(AD71=$ET$50,ISBLANK(AC71))</f>
        <v>0</v>
      </c>
      <c r="EZ71" s="500" t="b">
        <f t="shared" ref="EZ71:EZ80" si="121">AF71&gt;AA71</f>
        <v>0</v>
      </c>
      <c r="FA71" s="500" t="b">
        <f t="shared" ref="FA71:FA80" si="122">AND(ISNUMBER(AF71),AA71="")</f>
        <v>0</v>
      </c>
      <c r="FB71" s="500" t="b">
        <f t="shared" ref="FB71:FB80" si="123">AND(ISNUMBER(AF71),AD71=$ET$51)</f>
        <v>0</v>
      </c>
      <c r="FC71" s="500" t="b">
        <f t="shared" ref="FC71:FC80" si="124">AND(ISNUMBER(AG71),AB71="")</f>
        <v>0</v>
      </c>
      <c r="FD71" s="500" t="b">
        <f t="shared" ref="FD71:FD80" si="125">AND(ISNUMBER(AG71),AD71=$ET$51)</f>
        <v>0</v>
      </c>
      <c r="FE71" s="500" t="b">
        <f t="shared" ref="FE71:FE80" si="126">AND(ISBLANK(AG71),COUNTIF(AI71:AT71,$ET$14)&gt;0)</f>
        <v>0</v>
      </c>
      <c r="FF71" s="500" t="b">
        <f t="shared" ref="FF71:FF80" si="127">AND(ISNUMBER(AG71),COUNTIF(AI71:AT71,$ET$14)=0)</f>
        <v>0</v>
      </c>
      <c r="FG71" s="500" t="b">
        <f t="shared" ref="FG71:FG80" si="128">COUNTIF(AI71:AT71,$ET$14)&gt;1</f>
        <v>0</v>
      </c>
      <c r="FI71" s="611">
        <f t="shared" ref="FI71:FI80" si="129">IF(OR(AA71="",AB71=""),0,IF(AD71=$ET$51,0,IF(OR(AA71="",ISBLANK(AG71)),0,IF(ISNUMBER(AF71),AF71*AG71*AB71,AA71*AG71*AB71))))</f>
        <v>0</v>
      </c>
      <c r="FJ71" s="611">
        <f t="shared" ref="FJ71:FJ80" si="130">IF(OR(AA71="",AB71=""),0,IF(AD71=$ET$51,0,IF(OR(AA71="",OR(ISBLANK(AG71),AG71=0)),0,IF(ISNUMBER(AF71),$AG$23*((AF71*2)+(AG71*AB71*2)),$AG$23*((AA71*2)+(AG71*AB71*2))))))</f>
        <v>0</v>
      </c>
      <c r="FK71" s="611">
        <f t="shared" si="69"/>
        <v>0</v>
      </c>
      <c r="FL71" s="612"/>
      <c r="FM71" s="613">
        <f t="shared" ref="FM71:FM80" si="131">IF(AI71=$ET$14,$FK71,0)</f>
        <v>0</v>
      </c>
      <c r="FN71" s="613">
        <f t="shared" ref="FN71:FN80" si="132">IF(AJ71=$ET$14,$FK71,0)</f>
        <v>0</v>
      </c>
      <c r="FO71" s="613">
        <f t="shared" ref="FO71:FO80" si="133">IF(AK71=$ET$14,$FK71,0)</f>
        <v>0</v>
      </c>
      <c r="FP71" s="613">
        <f t="shared" ref="FP71:FP80" si="134">IF(AL71=$ET$14,$FK71,0)</f>
        <v>0</v>
      </c>
      <c r="FQ71" s="613">
        <f t="shared" ref="FQ71:FQ80" si="135">IF(AM71=$ET$14,$FK71,0)</f>
        <v>0</v>
      </c>
      <c r="FR71" s="613">
        <f t="shared" ref="FR71:FR80" si="136">IF(AN71=$ET$14,$FK71,0)</f>
        <v>0</v>
      </c>
      <c r="FS71" s="613">
        <f t="shared" ref="FS71:FS80" si="137">IF(AO71=$ET$14,$FK71,0)</f>
        <v>0</v>
      </c>
      <c r="FT71" s="613">
        <f t="shared" ref="FT71:FT80" si="138">IF(AP71=$ET$14,$FK71,0)</f>
        <v>0</v>
      </c>
      <c r="FU71" s="613">
        <f t="shared" ref="FU71:FU80" si="139">IF(AQ71=$ET$14,$FK71,0)</f>
        <v>0</v>
      </c>
      <c r="FV71" s="613">
        <f t="shared" ref="FV71:FV80" si="140">IF(AR71=$ET$14,$FK71,0)</f>
        <v>0</v>
      </c>
      <c r="FW71" s="613">
        <f t="shared" ref="FW71:FW80" si="141">IF(AS71=$ET$14,$FK71,0)</f>
        <v>0</v>
      </c>
      <c r="FX71" s="613">
        <f t="shared" ref="FX71:FX80" si="142">IF(AT71=$ET$14,$FK71,0)</f>
        <v>0</v>
      </c>
      <c r="FZ71" s="509" t="s">
        <v>571</v>
      </c>
      <c r="GG71" s="498" t="s">
        <v>453</v>
      </c>
      <c r="GH71" s="498" t="s">
        <v>445</v>
      </c>
      <c r="HN71" s="635" t="s">
        <v>751</v>
      </c>
      <c r="HO71" s="500" t="s">
        <v>754</v>
      </c>
      <c r="HP71" s="642">
        <v>0.03</v>
      </c>
      <c r="HQ71" s="500" t="s">
        <v>757</v>
      </c>
      <c r="HR71" s="563" t="s">
        <v>757</v>
      </c>
      <c r="HS71" s="563" t="s">
        <v>757</v>
      </c>
      <c r="HT71" s="563" t="s">
        <v>757</v>
      </c>
      <c r="HU71" s="563" t="s">
        <v>757</v>
      </c>
      <c r="HV71" s="563">
        <v>5.9</v>
      </c>
      <c r="HW71" s="563">
        <v>4.5999999999999996</v>
      </c>
      <c r="HX71" s="563">
        <v>3.6</v>
      </c>
      <c r="HY71" s="563">
        <v>2.6</v>
      </c>
      <c r="HZ71" s="563">
        <v>1.9</v>
      </c>
      <c r="IA71" s="601">
        <v>1.2</v>
      </c>
      <c r="IB71" s="566">
        <v>0.2</v>
      </c>
      <c r="ID71" s="509"/>
      <c r="IS71" s="498"/>
      <c r="IT71" s="498"/>
      <c r="IV71" s="503" t="s">
        <v>458</v>
      </c>
      <c r="IW71" s="499" t="e">
        <f>IW66-IW69</f>
        <v>#N/A</v>
      </c>
      <c r="KG71" s="500" t="b">
        <f>ISBLANK(DG42)</f>
        <v>1</v>
      </c>
      <c r="KH71" s="500" t="b">
        <f>ISBLANK(DK42)</f>
        <v>1</v>
      </c>
      <c r="KI71" s="500" t="b">
        <f>ISBLANK(DO42)</f>
        <v>1</v>
      </c>
      <c r="KJ71" s="500"/>
      <c r="KL71" s="514">
        <f>COUNTIF(KG71:KJ71,TRUE())</f>
        <v>3</v>
      </c>
      <c r="LV71" s="509" t="s">
        <v>590</v>
      </c>
      <c r="MM71" s="543"/>
    </row>
    <row r="72" spans="1:351" ht="11.25" customHeight="1" thickBot="1">
      <c r="A72" s="577"/>
      <c r="B72" s="1145"/>
      <c r="C72" s="993"/>
      <c r="D72" s="993"/>
      <c r="E72" s="993"/>
      <c r="F72" s="993"/>
      <c r="G72" s="993"/>
      <c r="H72" s="993"/>
      <c r="I72" s="993"/>
      <c r="J72" s="993"/>
      <c r="K72" s="993"/>
      <c r="L72" s="993"/>
      <c r="M72" s="993"/>
      <c r="N72" s="993"/>
      <c r="O72" s="993"/>
      <c r="P72" s="993"/>
      <c r="Q72" s="993"/>
      <c r="R72" s="993"/>
      <c r="S72" s="993"/>
      <c r="T72" s="1100"/>
      <c r="U72" s="577"/>
      <c r="V72" s="562"/>
      <c r="W72" s="577"/>
      <c r="X72" s="850">
        <v>42</v>
      </c>
      <c r="Y72" s="976"/>
      <c r="Z72" s="978"/>
      <c r="AA72" s="727"/>
      <c r="AB72" s="898"/>
      <c r="AC72" s="725"/>
      <c r="AD72" s="725"/>
      <c r="AE72" s="504"/>
      <c r="AF72" s="735"/>
      <c r="AG72" s="895"/>
      <c r="AH72" s="608" t="str">
        <f t="shared" si="117"/>
        <v/>
      </c>
      <c r="AI72" s="726"/>
      <c r="AJ72" s="726"/>
      <c r="AK72" s="726"/>
      <c r="AL72" s="726"/>
      <c r="AM72" s="726"/>
      <c r="AN72" s="726"/>
      <c r="AO72" s="726"/>
      <c r="AP72" s="726"/>
      <c r="AQ72" s="726"/>
      <c r="AR72" s="726"/>
      <c r="AS72" s="726"/>
      <c r="AT72" s="726"/>
      <c r="AU72" s="577"/>
      <c r="AW72" s="577"/>
      <c r="AX72" s="803"/>
      <c r="AY72" s="803"/>
      <c r="AZ72" s="803"/>
      <c r="BA72" s="803"/>
      <c r="BB72" s="803"/>
      <c r="BC72" s="803"/>
      <c r="BD72" s="803"/>
      <c r="BE72" s="803"/>
      <c r="BF72" s="803"/>
      <c r="BG72" s="803"/>
      <c r="BH72" s="803"/>
      <c r="BI72" s="803"/>
      <c r="BJ72" s="803"/>
      <c r="BK72" s="803"/>
      <c r="BL72" s="1067"/>
      <c r="BM72" s="1067"/>
      <c r="BN72" s="1067"/>
      <c r="BO72" s="1067"/>
      <c r="BP72" s="1067"/>
      <c r="BQ72" s="1067"/>
      <c r="BR72" s="577"/>
      <c r="BT72" s="577"/>
      <c r="BU72" s="859"/>
      <c r="BV72" s="1068"/>
      <c r="BW72" s="1068"/>
      <c r="BX72" s="1068"/>
      <c r="BY72" s="1068"/>
      <c r="BZ72" s="1068"/>
      <c r="CA72" s="1068"/>
      <c r="CB72" s="1068"/>
      <c r="CC72" s="1068"/>
      <c r="CD72" s="1068"/>
      <c r="CE72" s="1068"/>
      <c r="CF72" s="1068"/>
      <c r="CG72" s="1068"/>
      <c r="CH72" s="577"/>
      <c r="CJ72" s="577"/>
      <c r="CK72" s="802" t="s">
        <v>837</v>
      </c>
      <c r="CL72" s="802"/>
      <c r="CM72" s="802" t="str">
        <f>MID(CK37,9,30)</f>
        <v>Existing wall construction</v>
      </c>
      <c r="CN72" s="802"/>
      <c r="CO72" s="802"/>
      <c r="CP72" s="802"/>
      <c r="CQ72" s="1037"/>
      <c r="CR72" s="1038"/>
      <c r="CS72" s="1030"/>
      <c r="CT72" s="872" t="str">
        <f>IF(OR(ISBLANK(CQ72),ISBLANK(CK38)),"",IF(CZ61=$ET$17,$ET$17,INDEX(BC_WallValues,MATCH(CK38,BC_WallConst,0),6)))</f>
        <v/>
      </c>
      <c r="CU72" s="802"/>
      <c r="CV72" s="802"/>
      <c r="CW72" s="728"/>
      <c r="CX72" s="802"/>
      <c r="CY72" s="873" t="str">
        <f>IF(OR(ISBLANK(CQ72),ISBLANK(CK38)),"",IF(CZ61=$ET$17,$ET$17,IF(OR(ISBLANK(CW72),CW72=$ET$51),0,0.17)))</f>
        <v/>
      </c>
      <c r="CZ72" s="1031" t="str">
        <f>IF(ISBLANK(CQ72),"",IF(ISERROR(CQ72-CT72-CY72),$ET$17,IF((CQ72-CT72-CY72)&lt;0,$ET$17,CQ72-CT72-CY72)))</f>
        <v/>
      </c>
      <c r="DA72" s="1032"/>
      <c r="DB72" s="802"/>
      <c r="DC72" s="802"/>
      <c r="DD72" s="577"/>
      <c r="DE72" s="562"/>
      <c r="DK72" s="624"/>
      <c r="EA72" s="562"/>
      <c r="EB72" s="562"/>
      <c r="EC72" s="562"/>
      <c r="ED72" s="562"/>
      <c r="EE72" s="562"/>
      <c r="EF72" s="562"/>
      <c r="EG72" s="562"/>
      <c r="EH72" s="562"/>
      <c r="EI72" s="562"/>
      <c r="EJ72" s="562"/>
      <c r="EK72" s="562"/>
      <c r="EL72" s="562"/>
      <c r="EM72" s="562"/>
      <c r="EN72" s="562"/>
      <c r="EO72" s="562"/>
      <c r="EP72" s="562"/>
      <c r="EQ72" s="562"/>
      <c r="ES72" s="543"/>
      <c r="EV72" s="500" t="b">
        <f t="shared" si="118"/>
        <v>0</v>
      </c>
      <c r="EW72" s="500" t="b">
        <f t="shared" ref="EW72:EW80" si="143">AND(ISBLANK(AD72),AC72=$ET$13)</f>
        <v>0</v>
      </c>
      <c r="EX72" s="500" t="b">
        <f t="shared" si="119"/>
        <v>0</v>
      </c>
      <c r="EY72" s="500" t="b">
        <f t="shared" si="120"/>
        <v>0</v>
      </c>
      <c r="EZ72" s="500" t="b">
        <f t="shared" si="121"/>
        <v>0</v>
      </c>
      <c r="FA72" s="500" t="b">
        <f t="shared" si="122"/>
        <v>0</v>
      </c>
      <c r="FB72" s="500" t="b">
        <f t="shared" si="123"/>
        <v>0</v>
      </c>
      <c r="FC72" s="500" t="b">
        <f t="shared" si="124"/>
        <v>0</v>
      </c>
      <c r="FD72" s="500" t="b">
        <f t="shared" si="125"/>
        <v>0</v>
      </c>
      <c r="FE72" s="500" t="b">
        <f t="shared" si="126"/>
        <v>0</v>
      </c>
      <c r="FF72" s="500" t="b">
        <f t="shared" si="127"/>
        <v>0</v>
      </c>
      <c r="FG72" s="500" t="b">
        <f t="shared" si="128"/>
        <v>0</v>
      </c>
      <c r="FI72" s="611">
        <f t="shared" si="129"/>
        <v>0</v>
      </c>
      <c r="FJ72" s="611">
        <f t="shared" si="130"/>
        <v>0</v>
      </c>
      <c r="FK72" s="611">
        <f t="shared" si="69"/>
        <v>0</v>
      </c>
      <c r="FL72" s="612"/>
      <c r="FM72" s="613">
        <f t="shared" si="131"/>
        <v>0</v>
      </c>
      <c r="FN72" s="613">
        <f t="shared" si="132"/>
        <v>0</v>
      </c>
      <c r="FO72" s="613">
        <f t="shared" si="133"/>
        <v>0</v>
      </c>
      <c r="FP72" s="613">
        <f t="shared" si="134"/>
        <v>0</v>
      </c>
      <c r="FQ72" s="613">
        <f t="shared" si="135"/>
        <v>0</v>
      </c>
      <c r="FR72" s="613">
        <f t="shared" si="136"/>
        <v>0</v>
      </c>
      <c r="FS72" s="613">
        <f t="shared" si="137"/>
        <v>0</v>
      </c>
      <c r="FT72" s="613">
        <f t="shared" si="138"/>
        <v>0</v>
      </c>
      <c r="FU72" s="613">
        <f t="shared" si="139"/>
        <v>0</v>
      </c>
      <c r="FV72" s="613">
        <f t="shared" si="140"/>
        <v>0</v>
      </c>
      <c r="FW72" s="613">
        <f t="shared" si="141"/>
        <v>0</v>
      </c>
      <c r="FX72" s="613">
        <f t="shared" si="142"/>
        <v>0</v>
      </c>
      <c r="FZ72" s="500" t="s">
        <v>572</v>
      </c>
      <c r="GA72" s="500"/>
      <c r="GB72" s="500"/>
      <c r="GC72" s="500"/>
      <c r="GG72" s="526" t="s">
        <v>451</v>
      </c>
      <c r="GH72" s="526">
        <v>4.0999999999999996</v>
      </c>
      <c r="HD72" s="509" t="s">
        <v>792</v>
      </c>
      <c r="HE72" s="836"/>
      <c r="HF72" s="534"/>
      <c r="HN72" s="635" t="s">
        <v>752</v>
      </c>
      <c r="HO72" s="500" t="s">
        <v>754</v>
      </c>
      <c r="HP72" s="642">
        <v>0.04</v>
      </c>
      <c r="HQ72" s="500" t="s">
        <v>757</v>
      </c>
      <c r="HR72" s="563" t="s">
        <v>757</v>
      </c>
      <c r="HS72" s="563" t="s">
        <v>757</v>
      </c>
      <c r="HT72" s="563" t="s">
        <v>757</v>
      </c>
      <c r="HU72" s="563" t="s">
        <v>757</v>
      </c>
      <c r="HV72" s="563" t="s">
        <v>757</v>
      </c>
      <c r="HW72" s="563">
        <v>5.7</v>
      </c>
      <c r="HX72" s="563">
        <v>4.2</v>
      </c>
      <c r="HY72" s="563">
        <v>3</v>
      </c>
      <c r="HZ72" s="563">
        <v>2</v>
      </c>
      <c r="IA72" s="601">
        <v>1.2</v>
      </c>
      <c r="IB72" s="566">
        <v>0.2</v>
      </c>
      <c r="IS72" s="498"/>
      <c r="IT72" s="498"/>
      <c r="IV72" s="503"/>
      <c r="IW72" s="500"/>
      <c r="JT72" s="500" t="b">
        <f>AND(ISBLANK(CQ72),ISTEXT(CW72))</f>
        <v>0</v>
      </c>
      <c r="JU72" s="500" t="b">
        <f>AND(ISTEXT(CW72),ISBLANK(CQ72))</f>
        <v>0</v>
      </c>
      <c r="MC72" s="509" t="s">
        <v>618</v>
      </c>
      <c r="MM72" s="543"/>
    </row>
    <row r="73" spans="1:351" ht="11.25" customHeight="1" thickBot="1">
      <c r="A73" s="577"/>
      <c r="B73" s="1145"/>
      <c r="C73" s="993"/>
      <c r="D73" s="993"/>
      <c r="E73" s="993"/>
      <c r="F73" s="993"/>
      <c r="G73" s="993"/>
      <c r="H73" s="993"/>
      <c r="I73" s="993"/>
      <c r="J73" s="993"/>
      <c r="K73" s="993"/>
      <c r="L73" s="993"/>
      <c r="M73" s="993"/>
      <c r="N73" s="993"/>
      <c r="O73" s="993"/>
      <c r="P73" s="993"/>
      <c r="Q73" s="993"/>
      <c r="R73" s="993"/>
      <c r="S73" s="993"/>
      <c r="T73" s="1100"/>
      <c r="U73" s="577"/>
      <c r="V73" s="562"/>
      <c r="W73" s="577"/>
      <c r="X73" s="850">
        <v>43</v>
      </c>
      <c r="Y73" s="976"/>
      <c r="Z73" s="978"/>
      <c r="AA73" s="727"/>
      <c r="AB73" s="898"/>
      <c r="AC73" s="725"/>
      <c r="AD73" s="725"/>
      <c r="AE73" s="504"/>
      <c r="AF73" s="735"/>
      <c r="AG73" s="895"/>
      <c r="AH73" s="608" t="str">
        <f t="shared" si="117"/>
        <v/>
      </c>
      <c r="AI73" s="726"/>
      <c r="AJ73" s="726"/>
      <c r="AK73" s="726"/>
      <c r="AL73" s="726"/>
      <c r="AM73" s="726"/>
      <c r="AN73" s="726"/>
      <c r="AO73" s="726"/>
      <c r="AP73" s="726"/>
      <c r="AQ73" s="726"/>
      <c r="AR73" s="726"/>
      <c r="AS73" s="726"/>
      <c r="AT73" s="726"/>
      <c r="AU73" s="577"/>
      <c r="AW73" s="577"/>
      <c r="AX73" s="813"/>
      <c r="AY73" s="813"/>
      <c r="AZ73" s="813"/>
      <c r="BA73" s="813"/>
      <c r="BB73" s="813"/>
      <c r="BC73" s="813"/>
      <c r="BD73" s="813"/>
      <c r="BE73" s="813"/>
      <c r="BF73" s="813"/>
      <c r="BG73" s="813"/>
      <c r="BH73" s="813"/>
      <c r="BI73" s="813"/>
      <c r="BJ73" s="813"/>
      <c r="BK73" s="813"/>
      <c r="BL73" s="813"/>
      <c r="BM73" s="813"/>
      <c r="BN73" s="813"/>
      <c r="BO73" s="813"/>
      <c r="BP73" s="813"/>
      <c r="BQ73" s="813"/>
      <c r="BR73" s="577"/>
      <c r="BT73" s="577"/>
      <c r="BU73" s="823" t="s">
        <v>1010</v>
      </c>
      <c r="BV73" s="621"/>
      <c r="BW73" s="621"/>
      <c r="BX73" s="621"/>
      <c r="BY73" s="621"/>
      <c r="BZ73" s="888"/>
      <c r="CA73" s="888"/>
      <c r="CB73" s="888"/>
      <c r="CC73" s="888"/>
      <c r="CD73" s="888"/>
      <c r="CE73" s="888"/>
      <c r="CF73" s="888"/>
      <c r="CG73" s="888"/>
      <c r="CH73" s="577"/>
      <c r="CJ73" s="577"/>
      <c r="CK73" s="802" t="s">
        <v>834</v>
      </c>
      <c r="CL73" s="802"/>
      <c r="CM73" s="802" t="str">
        <f>MID(CL42,10,30)</f>
        <v>Alteration to existing wall</v>
      </c>
      <c r="CN73" s="802"/>
      <c r="CO73" s="802"/>
      <c r="CP73" s="802"/>
      <c r="CQ73" s="1037"/>
      <c r="CR73" s="1038"/>
      <c r="CS73" s="1030"/>
      <c r="CT73" s="872" t="str">
        <f>IF(OR(ISBLANK(CQ73),ISBLANK(CK38)),"",IF(CZ61=$ET$17,$ET$17,IF(CL44=$IU$60,CT72,MID(CL44,FIND(")",CL44,1)+3,5))))</f>
        <v/>
      </c>
      <c r="CU73" s="802"/>
      <c r="CV73" s="802"/>
      <c r="CW73" s="728"/>
      <c r="CX73" s="802"/>
      <c r="CY73" s="873" t="str">
        <f>IF(OR(ISBLANK(CQ73),ISBLANK(CK38)),"",IF(CZ61=$ET$17,$ET$17,IF(OR(ISBLANK(CW73),CW73=$ET$51),0,0.17)))</f>
        <v/>
      </c>
      <c r="CZ73" s="1031" t="str">
        <f>IF(ISBLANK(CQ73),"",IF(ISERROR(CQ73-CT73-CY73),$ET$17,IF((CQ73-CT73-CY73)&lt;0,$ET$17,CQ73-CT73-CY73)))</f>
        <v/>
      </c>
      <c r="DA73" s="1032"/>
      <c r="DB73" s="802"/>
      <c r="DC73" s="802"/>
      <c r="DD73" s="577"/>
      <c r="DE73" s="562"/>
      <c r="DF73" s="562"/>
      <c r="DG73" s="562"/>
      <c r="DH73" s="562"/>
      <c r="DI73" s="562"/>
      <c r="DK73" s="624"/>
      <c r="DP73" s="562"/>
      <c r="DQ73" s="562"/>
      <c r="DR73" s="562"/>
      <c r="DS73" s="562"/>
      <c r="DT73" s="562"/>
      <c r="DU73" s="562"/>
      <c r="DV73" s="562"/>
      <c r="DW73" s="562"/>
      <c r="DX73" s="562"/>
      <c r="DY73" s="562"/>
      <c r="DZ73" s="562"/>
      <c r="EA73" s="562"/>
      <c r="EB73" s="562"/>
      <c r="EC73" s="562"/>
      <c r="ED73" s="562"/>
      <c r="EE73" s="562"/>
      <c r="EF73" s="562"/>
      <c r="EG73" s="562"/>
      <c r="EH73" s="562"/>
      <c r="EI73" s="562"/>
      <c r="EJ73" s="562"/>
      <c r="EK73" s="562"/>
      <c r="EL73" s="562"/>
      <c r="EM73" s="562"/>
      <c r="EN73" s="562"/>
      <c r="EO73" s="562"/>
      <c r="EP73" s="562"/>
      <c r="EQ73" s="562"/>
      <c r="ES73" s="543"/>
      <c r="EV73" s="500" t="b">
        <f t="shared" si="118"/>
        <v>0</v>
      </c>
      <c r="EW73" s="500" t="b">
        <f t="shared" si="143"/>
        <v>0</v>
      </c>
      <c r="EX73" s="500" t="b">
        <f t="shared" si="119"/>
        <v>0</v>
      </c>
      <c r="EY73" s="500" t="b">
        <f t="shared" si="120"/>
        <v>0</v>
      </c>
      <c r="EZ73" s="500" t="b">
        <f t="shared" si="121"/>
        <v>0</v>
      </c>
      <c r="FA73" s="500" t="b">
        <f t="shared" si="122"/>
        <v>0</v>
      </c>
      <c r="FB73" s="500" t="b">
        <f t="shared" si="123"/>
        <v>0</v>
      </c>
      <c r="FC73" s="500" t="b">
        <f t="shared" si="124"/>
        <v>0</v>
      </c>
      <c r="FD73" s="500" t="b">
        <f t="shared" si="125"/>
        <v>0</v>
      </c>
      <c r="FE73" s="500" t="b">
        <f t="shared" si="126"/>
        <v>0</v>
      </c>
      <c r="FF73" s="500" t="b">
        <f t="shared" si="127"/>
        <v>0</v>
      </c>
      <c r="FG73" s="500" t="b">
        <f t="shared" si="128"/>
        <v>0</v>
      </c>
      <c r="FI73" s="611">
        <f t="shared" si="129"/>
        <v>0</v>
      </c>
      <c r="FJ73" s="611">
        <f t="shared" si="130"/>
        <v>0</v>
      </c>
      <c r="FK73" s="611">
        <f t="shared" si="69"/>
        <v>0</v>
      </c>
      <c r="FL73" s="612"/>
      <c r="FM73" s="613">
        <f t="shared" si="131"/>
        <v>0</v>
      </c>
      <c r="FN73" s="613">
        <f t="shared" si="132"/>
        <v>0</v>
      </c>
      <c r="FO73" s="613">
        <f t="shared" si="133"/>
        <v>0</v>
      </c>
      <c r="FP73" s="613">
        <f t="shared" si="134"/>
        <v>0</v>
      </c>
      <c r="FQ73" s="613">
        <f t="shared" si="135"/>
        <v>0</v>
      </c>
      <c r="FR73" s="613">
        <f t="shared" si="136"/>
        <v>0</v>
      </c>
      <c r="FS73" s="613">
        <f t="shared" si="137"/>
        <v>0</v>
      </c>
      <c r="FT73" s="613">
        <f t="shared" si="138"/>
        <v>0</v>
      </c>
      <c r="FU73" s="613">
        <f t="shared" si="139"/>
        <v>0</v>
      </c>
      <c r="FV73" s="613">
        <f t="shared" si="140"/>
        <v>0</v>
      </c>
      <c r="FW73" s="613">
        <f t="shared" si="141"/>
        <v>0</v>
      </c>
      <c r="FX73" s="613">
        <f t="shared" si="142"/>
        <v>0</v>
      </c>
      <c r="FZ73" s="500" t="s">
        <v>1106</v>
      </c>
      <c r="GA73" s="500"/>
      <c r="GB73" s="500"/>
      <c r="GC73" s="500"/>
      <c r="GG73" s="526" t="s">
        <v>641</v>
      </c>
      <c r="GH73" s="526">
        <v>4.5999999999999996</v>
      </c>
      <c r="HD73" s="509" t="s">
        <v>793</v>
      </c>
      <c r="HE73" s="836"/>
      <c r="HN73" s="635" t="s">
        <v>747</v>
      </c>
      <c r="HO73" s="500" t="s">
        <v>754</v>
      </c>
      <c r="HP73" s="642">
        <v>0.05</v>
      </c>
      <c r="HQ73" s="500" t="s">
        <v>757</v>
      </c>
      <c r="HR73" s="563" t="s">
        <v>757</v>
      </c>
      <c r="HS73" s="563" t="s">
        <v>757</v>
      </c>
      <c r="HT73" s="563" t="s">
        <v>757</v>
      </c>
      <c r="HU73" s="563" t="s">
        <v>757</v>
      </c>
      <c r="HV73" s="563" t="s">
        <v>757</v>
      </c>
      <c r="HW73" s="563" t="s">
        <v>757</v>
      </c>
      <c r="HX73" s="563">
        <v>5</v>
      </c>
      <c r="HY73" s="563">
        <v>3.4</v>
      </c>
      <c r="HZ73" s="563">
        <v>2.2000000000000002</v>
      </c>
      <c r="IA73" s="601">
        <v>1.3</v>
      </c>
      <c r="IB73" s="566">
        <v>0.3</v>
      </c>
      <c r="ID73" s="509"/>
      <c r="IS73" s="498"/>
      <c r="IT73" s="498"/>
      <c r="IV73" s="503" t="s">
        <v>492</v>
      </c>
      <c r="IW73" s="643" t="e">
        <f>IW69/IW66</f>
        <v>#VALUE!</v>
      </c>
      <c r="JT73" s="500" t="b">
        <f>AND(ISBLANK(CQ73),ISTEXT(CW73))</f>
        <v>0</v>
      </c>
      <c r="JU73" s="500" t="b">
        <f>AND(ISTEXT(CW73),ISBLANK(CQ73))</f>
        <v>0</v>
      </c>
      <c r="LW73" s="582"/>
      <c r="LZ73" s="497" t="s">
        <v>617</v>
      </c>
      <c r="MC73" s="631" t="e">
        <f>(MC70*$ME$78)+(ME70*$ME$79)</f>
        <v>#DIV/0!</v>
      </c>
      <c r="MD73" s="631" t="e">
        <f>(MD70*$ME$78)+(MF70*$ME$79)</f>
        <v>#N/A</v>
      </c>
      <c r="MM73" s="543"/>
    </row>
    <row r="74" spans="1:351" ht="11.25" customHeight="1" thickBot="1">
      <c r="A74" s="577"/>
      <c r="B74" s="1152"/>
      <c r="C74" s="1153"/>
      <c r="D74" s="1153"/>
      <c r="E74" s="1153"/>
      <c r="F74" s="1153"/>
      <c r="G74" s="1153"/>
      <c r="H74" s="1153"/>
      <c r="I74" s="1153"/>
      <c r="J74" s="1153"/>
      <c r="K74" s="1153"/>
      <c r="L74" s="1153"/>
      <c r="M74" s="1153"/>
      <c r="N74" s="1153"/>
      <c r="O74" s="1153"/>
      <c r="P74" s="1153"/>
      <c r="Q74" s="1153"/>
      <c r="R74" s="1153"/>
      <c r="S74" s="1153"/>
      <c r="T74" s="1154"/>
      <c r="U74" s="577"/>
      <c r="V74" s="562"/>
      <c r="W74" s="577"/>
      <c r="X74" s="850">
        <v>44</v>
      </c>
      <c r="Y74" s="976"/>
      <c r="Z74" s="978"/>
      <c r="AA74" s="727"/>
      <c r="AB74" s="898"/>
      <c r="AC74" s="725"/>
      <c r="AD74" s="725"/>
      <c r="AE74" s="504"/>
      <c r="AF74" s="735"/>
      <c r="AG74" s="895"/>
      <c r="AH74" s="608" t="str">
        <f t="shared" si="117"/>
        <v/>
      </c>
      <c r="AI74" s="726"/>
      <c r="AJ74" s="726"/>
      <c r="AK74" s="726"/>
      <c r="AL74" s="726"/>
      <c r="AM74" s="726"/>
      <c r="AN74" s="726"/>
      <c r="AO74" s="726"/>
      <c r="AP74" s="726"/>
      <c r="AQ74" s="726"/>
      <c r="AR74" s="726"/>
      <c r="AS74" s="726"/>
      <c r="AT74" s="726"/>
      <c r="AU74" s="577"/>
      <c r="AW74" s="577"/>
      <c r="AX74" s="813"/>
      <c r="AY74" s="813"/>
      <c r="AZ74" s="813"/>
      <c r="BA74" s="813"/>
      <c r="BB74" s="813"/>
      <c r="BC74" s="813"/>
      <c r="BD74" s="1050" t="s">
        <v>1031</v>
      </c>
      <c r="BE74" s="1050"/>
      <c r="BF74" s="1050" t="s">
        <v>780</v>
      </c>
      <c r="BG74" s="1050"/>
      <c r="BH74" s="813"/>
      <c r="BI74" s="1050" t="s">
        <v>1013</v>
      </c>
      <c r="BJ74" s="813"/>
      <c r="BK74" s="1133" t="s">
        <v>1050</v>
      </c>
      <c r="BL74" s="813"/>
      <c r="BM74" s="1050" t="s">
        <v>1022</v>
      </c>
      <c r="BN74" s="1065" t="s">
        <v>1009</v>
      </c>
      <c r="BO74" s="1050"/>
      <c r="BP74" s="1157" t="s">
        <v>1014</v>
      </c>
      <c r="BQ74" s="1157"/>
      <c r="BR74" s="577"/>
      <c r="BT74" s="577"/>
      <c r="BU74" s="1036"/>
      <c r="BV74" s="1036"/>
      <c r="BW74" s="1036"/>
      <c r="BX74" s="1036"/>
      <c r="BY74" s="1036"/>
      <c r="BZ74" s="1036"/>
      <c r="CA74" s="1036"/>
      <c r="CB74" s="1036"/>
      <c r="CC74" s="1036"/>
      <c r="CD74" s="1036"/>
      <c r="CE74" s="1036"/>
      <c r="CF74" s="1036"/>
      <c r="CG74" s="1036"/>
      <c r="CH74" s="577"/>
      <c r="CJ74" s="577"/>
      <c r="CK74" s="802" t="s">
        <v>833</v>
      </c>
      <c r="CL74" s="802"/>
      <c r="CM74" s="802" t="str">
        <f>MID(CL46,10,FIND("(",CL46,1)-10)</f>
        <v xml:space="preserve">Alteration to existing wall </v>
      </c>
      <c r="CN74" s="802"/>
      <c r="CO74" s="802"/>
      <c r="CP74" s="802"/>
      <c r="CQ74" s="1037"/>
      <c r="CR74" s="1038"/>
      <c r="CS74" s="1030"/>
      <c r="CT74" s="872" t="str">
        <f>IF(OR(ISBLANK(CQ74),ISBLANK(CK38)),"",IF(CZ61=$ET$17,$ET$17,IF(CL48=$IU$60,CT72,MID(CL48,FIND(")",CL48,1)+3,5))))</f>
        <v/>
      </c>
      <c r="CU74" s="802"/>
      <c r="CV74" s="802"/>
      <c r="CW74" s="728"/>
      <c r="CX74" s="802"/>
      <c r="CY74" s="873" t="str">
        <f>IF(OR(ISBLANK(CQ74),ISBLANK(CK38)),"",IF(CZ61=$ET$17,$ET$17,IF(OR(ISBLANK(CW74),CW74=$ET$51),0,0.17)))</f>
        <v/>
      </c>
      <c r="CZ74" s="1031" t="str">
        <f>IF(ISBLANK(CQ74),"",IF(ISERROR(CQ74-CT74-CY74),$ET$17,IF((CQ74-CT74-CY74)&lt;0,$ET$17,CQ74-CT74-CY74)))</f>
        <v/>
      </c>
      <c r="DA74" s="1032"/>
      <c r="DB74" s="802"/>
      <c r="DC74" s="802"/>
      <c r="DD74" s="577"/>
      <c r="DE74" s="562"/>
      <c r="DF74" s="562"/>
      <c r="DG74" s="562"/>
      <c r="DH74" s="562"/>
      <c r="DI74" s="562"/>
      <c r="DK74" s="624"/>
      <c r="DP74" s="562"/>
      <c r="DQ74" s="562"/>
      <c r="DR74" s="562"/>
      <c r="DS74" s="562"/>
      <c r="DT74" s="562"/>
      <c r="DU74" s="562"/>
      <c r="DV74" s="562"/>
      <c r="DW74" s="562"/>
      <c r="DX74" s="562"/>
      <c r="DY74" s="562"/>
      <c r="DZ74" s="562"/>
      <c r="EA74" s="562"/>
      <c r="EB74" s="562"/>
      <c r="EC74" s="562"/>
      <c r="ED74" s="562"/>
      <c r="EE74" s="562"/>
      <c r="EF74" s="562"/>
      <c r="EG74" s="562"/>
      <c r="EH74" s="562"/>
      <c r="EI74" s="562"/>
      <c r="EJ74" s="562"/>
      <c r="EK74" s="562"/>
      <c r="EL74" s="562"/>
      <c r="EM74" s="562"/>
      <c r="EN74" s="562"/>
      <c r="EO74" s="562"/>
      <c r="EP74" s="562"/>
      <c r="EQ74" s="562"/>
      <c r="ES74" s="543"/>
      <c r="EV74" s="500" t="b">
        <f t="shared" si="118"/>
        <v>0</v>
      </c>
      <c r="EW74" s="500" t="b">
        <f t="shared" si="143"/>
        <v>0</v>
      </c>
      <c r="EX74" s="500" t="b">
        <f t="shared" si="119"/>
        <v>0</v>
      </c>
      <c r="EY74" s="500" t="b">
        <f t="shared" si="120"/>
        <v>0</v>
      </c>
      <c r="EZ74" s="500" t="b">
        <f t="shared" si="121"/>
        <v>0</v>
      </c>
      <c r="FA74" s="500" t="b">
        <f t="shared" si="122"/>
        <v>0</v>
      </c>
      <c r="FB74" s="500" t="b">
        <f t="shared" si="123"/>
        <v>0</v>
      </c>
      <c r="FC74" s="500" t="b">
        <f t="shared" si="124"/>
        <v>0</v>
      </c>
      <c r="FD74" s="500" t="b">
        <f t="shared" si="125"/>
        <v>0</v>
      </c>
      <c r="FE74" s="500" t="b">
        <f t="shared" si="126"/>
        <v>0</v>
      </c>
      <c r="FF74" s="500" t="b">
        <f t="shared" si="127"/>
        <v>0</v>
      </c>
      <c r="FG74" s="500" t="b">
        <f t="shared" si="128"/>
        <v>0</v>
      </c>
      <c r="FI74" s="611">
        <f t="shared" si="129"/>
        <v>0</v>
      </c>
      <c r="FJ74" s="611">
        <f t="shared" si="130"/>
        <v>0</v>
      </c>
      <c r="FK74" s="611">
        <f t="shared" si="69"/>
        <v>0</v>
      </c>
      <c r="FL74" s="612"/>
      <c r="FM74" s="613">
        <f t="shared" si="131"/>
        <v>0</v>
      </c>
      <c r="FN74" s="613">
        <f t="shared" si="132"/>
        <v>0</v>
      </c>
      <c r="FO74" s="613">
        <f t="shared" si="133"/>
        <v>0</v>
      </c>
      <c r="FP74" s="613">
        <f t="shared" si="134"/>
        <v>0</v>
      </c>
      <c r="FQ74" s="613">
        <f t="shared" si="135"/>
        <v>0</v>
      </c>
      <c r="FR74" s="613">
        <f t="shared" si="136"/>
        <v>0</v>
      </c>
      <c r="FS74" s="613">
        <f t="shared" si="137"/>
        <v>0</v>
      </c>
      <c r="FT74" s="613">
        <f t="shared" si="138"/>
        <v>0</v>
      </c>
      <c r="FU74" s="613">
        <f t="shared" si="139"/>
        <v>0</v>
      </c>
      <c r="FV74" s="613">
        <f t="shared" si="140"/>
        <v>0</v>
      </c>
      <c r="FW74" s="613">
        <f t="shared" si="141"/>
        <v>0</v>
      </c>
      <c r="FX74" s="613">
        <f t="shared" si="142"/>
        <v>0</v>
      </c>
      <c r="FZ74" s="500" t="s">
        <v>1107</v>
      </c>
      <c r="GA74" s="500"/>
      <c r="GB74" s="500"/>
      <c r="GC74" s="500"/>
      <c r="GG74" s="526" t="s">
        <v>452</v>
      </c>
      <c r="GH74" s="526">
        <v>5.0999999999999996</v>
      </c>
      <c r="HD74" s="694" t="s">
        <v>1095</v>
      </c>
      <c r="HE74" s="581"/>
      <c r="HF74" s="581"/>
      <c r="HG74" s="569" t="s">
        <v>794</v>
      </c>
      <c r="HN74" s="635" t="s">
        <v>755</v>
      </c>
      <c r="HO74" s="500" t="s">
        <v>756</v>
      </c>
      <c r="HP74" s="642">
        <v>0.05</v>
      </c>
      <c r="HQ74" s="500" t="s">
        <v>757</v>
      </c>
      <c r="HR74" s="500" t="s">
        <v>757</v>
      </c>
      <c r="HS74" s="500" t="s">
        <v>757</v>
      </c>
      <c r="HT74" s="500" t="s">
        <v>757</v>
      </c>
      <c r="HU74" s="500" t="s">
        <v>757</v>
      </c>
      <c r="HV74" s="500" t="s">
        <v>757</v>
      </c>
      <c r="HW74" s="500" t="s">
        <v>757</v>
      </c>
      <c r="HX74" s="500" t="s">
        <v>757</v>
      </c>
      <c r="HY74" s="500" t="s">
        <v>757</v>
      </c>
      <c r="HZ74" s="500" t="s">
        <v>757</v>
      </c>
      <c r="IA74" s="500" t="s">
        <v>757</v>
      </c>
      <c r="IB74" s="500" t="s">
        <v>757</v>
      </c>
      <c r="IG74" s="536" t="s">
        <v>899</v>
      </c>
      <c r="IV74" s="524"/>
      <c r="JT74" s="500" t="b">
        <f>AND(ISBLANK(CQ74),ISTEXT(CW74))</f>
        <v>0</v>
      </c>
      <c r="JU74" s="500" t="b">
        <f>AND(ISTEXT(CW74),ISBLANK(CQ74))</f>
        <v>0</v>
      </c>
      <c r="MM74" s="543"/>
    </row>
    <row r="75" spans="1:351" ht="11.25" customHeight="1" thickBot="1">
      <c r="A75" s="577"/>
      <c r="B75" s="1138" t="s">
        <v>1037</v>
      </c>
      <c r="C75" s="1104"/>
      <c r="D75" s="1104"/>
      <c r="E75" s="1104"/>
      <c r="F75" s="1104"/>
      <c r="G75" s="1104"/>
      <c r="H75" s="775"/>
      <c r="I75" s="775"/>
      <c r="J75" s="775"/>
      <c r="K75" s="775"/>
      <c r="L75" s="775"/>
      <c r="M75" s="775"/>
      <c r="N75" s="775"/>
      <c r="O75" s="775"/>
      <c r="P75" s="775"/>
      <c r="Q75" s="775"/>
      <c r="R75" s="775"/>
      <c r="S75" s="775"/>
      <c r="T75" s="777"/>
      <c r="U75" s="577"/>
      <c r="V75" s="562"/>
      <c r="W75" s="577"/>
      <c r="X75" s="850">
        <v>45</v>
      </c>
      <c r="Y75" s="976"/>
      <c r="Z75" s="978"/>
      <c r="AA75" s="727"/>
      <c r="AB75" s="898"/>
      <c r="AC75" s="725"/>
      <c r="AD75" s="725"/>
      <c r="AE75" s="504"/>
      <c r="AF75" s="735"/>
      <c r="AG75" s="895"/>
      <c r="AH75" s="608" t="str">
        <f t="shared" si="117"/>
        <v/>
      </c>
      <c r="AI75" s="726"/>
      <c r="AJ75" s="726"/>
      <c r="AK75" s="726"/>
      <c r="AL75" s="726"/>
      <c r="AM75" s="726"/>
      <c r="AN75" s="726"/>
      <c r="AO75" s="726"/>
      <c r="AP75" s="726"/>
      <c r="AQ75" s="726"/>
      <c r="AR75" s="726"/>
      <c r="AS75" s="726"/>
      <c r="AT75" s="726"/>
      <c r="AU75" s="577"/>
      <c r="AW75" s="577"/>
      <c r="AX75" s="813"/>
      <c r="AY75" s="813"/>
      <c r="AZ75" s="813"/>
      <c r="BA75" s="813"/>
      <c r="BB75" s="813"/>
      <c r="BC75" s="813"/>
      <c r="BD75" s="1050"/>
      <c r="BE75" s="1050"/>
      <c r="BF75" s="1050"/>
      <c r="BG75" s="1050"/>
      <c r="BH75" s="813"/>
      <c r="BI75" s="1050"/>
      <c r="BJ75" s="813"/>
      <c r="BK75" s="1133"/>
      <c r="BL75" s="813"/>
      <c r="BM75" s="1050"/>
      <c r="BN75" s="1065"/>
      <c r="BO75" s="1050"/>
      <c r="BP75" s="1157"/>
      <c r="BQ75" s="1157"/>
      <c r="BR75" s="577"/>
      <c r="BT75" s="577"/>
      <c r="BU75" s="970"/>
      <c r="BV75" s="970"/>
      <c r="BW75" s="970"/>
      <c r="BX75" s="970"/>
      <c r="BY75" s="970"/>
      <c r="BZ75" s="970"/>
      <c r="CA75" s="970"/>
      <c r="CB75" s="970"/>
      <c r="CC75" s="970"/>
      <c r="CD75" s="970"/>
      <c r="CE75" s="970"/>
      <c r="CF75" s="970"/>
      <c r="CG75" s="970"/>
      <c r="CH75" s="577"/>
      <c r="CJ75" s="577"/>
      <c r="CK75" s="802"/>
      <c r="CL75" s="802"/>
      <c r="CM75" s="802"/>
      <c r="CN75" s="802"/>
      <c r="CO75" s="802"/>
      <c r="CP75" s="802"/>
      <c r="CQ75" s="871"/>
      <c r="CR75" s="802"/>
      <c r="CS75" s="1030"/>
      <c r="CT75" s="805"/>
      <c r="CU75" s="802"/>
      <c r="CV75" s="802"/>
      <c r="CW75" s="802"/>
      <c r="CX75" s="802"/>
      <c r="CY75" s="810"/>
      <c r="CZ75" s="876"/>
      <c r="DA75" s="813"/>
      <c r="DB75" s="802"/>
      <c r="DC75" s="802"/>
      <c r="DD75" s="577"/>
      <c r="DE75" s="562"/>
      <c r="EA75" s="562"/>
      <c r="EB75" s="562"/>
      <c r="EC75" s="562"/>
      <c r="ED75" s="562"/>
      <c r="EE75" s="562"/>
      <c r="EF75" s="562"/>
      <c r="EG75" s="562"/>
      <c r="EH75" s="562"/>
      <c r="EI75" s="562"/>
      <c r="EJ75" s="562"/>
      <c r="EK75" s="562"/>
      <c r="EL75" s="562"/>
      <c r="EM75" s="562"/>
      <c r="EN75" s="562"/>
      <c r="EO75" s="562"/>
      <c r="EP75" s="562"/>
      <c r="EQ75" s="562"/>
      <c r="ES75" s="543"/>
      <c r="EV75" s="500" t="b">
        <f t="shared" si="118"/>
        <v>0</v>
      </c>
      <c r="EW75" s="500" t="b">
        <f t="shared" si="143"/>
        <v>0</v>
      </c>
      <c r="EX75" s="500" t="b">
        <f t="shared" si="119"/>
        <v>0</v>
      </c>
      <c r="EY75" s="500" t="b">
        <f t="shared" si="120"/>
        <v>0</v>
      </c>
      <c r="EZ75" s="500" t="b">
        <f t="shared" si="121"/>
        <v>0</v>
      </c>
      <c r="FA75" s="500" t="b">
        <f t="shared" si="122"/>
        <v>0</v>
      </c>
      <c r="FB75" s="500" t="b">
        <f t="shared" si="123"/>
        <v>0</v>
      </c>
      <c r="FC75" s="500" t="b">
        <f t="shared" si="124"/>
        <v>0</v>
      </c>
      <c r="FD75" s="500" t="b">
        <f t="shared" si="125"/>
        <v>0</v>
      </c>
      <c r="FE75" s="500" t="b">
        <f t="shared" si="126"/>
        <v>0</v>
      </c>
      <c r="FF75" s="500" t="b">
        <f t="shared" si="127"/>
        <v>0</v>
      </c>
      <c r="FG75" s="500" t="b">
        <f t="shared" si="128"/>
        <v>0</v>
      </c>
      <c r="FI75" s="611">
        <f t="shared" si="129"/>
        <v>0</v>
      </c>
      <c r="FJ75" s="611">
        <f t="shared" si="130"/>
        <v>0</v>
      </c>
      <c r="FK75" s="611">
        <f t="shared" si="69"/>
        <v>0</v>
      </c>
      <c r="FL75" s="612"/>
      <c r="FM75" s="613">
        <f t="shared" si="131"/>
        <v>0</v>
      </c>
      <c r="FN75" s="613">
        <f t="shared" si="132"/>
        <v>0</v>
      </c>
      <c r="FO75" s="613">
        <f t="shared" si="133"/>
        <v>0</v>
      </c>
      <c r="FP75" s="613">
        <f t="shared" si="134"/>
        <v>0</v>
      </c>
      <c r="FQ75" s="613">
        <f t="shared" si="135"/>
        <v>0</v>
      </c>
      <c r="FR75" s="613">
        <f t="shared" si="136"/>
        <v>0</v>
      </c>
      <c r="FS75" s="613">
        <f t="shared" si="137"/>
        <v>0</v>
      </c>
      <c r="FT75" s="613">
        <f t="shared" si="138"/>
        <v>0</v>
      </c>
      <c r="FU75" s="613">
        <f t="shared" si="139"/>
        <v>0</v>
      </c>
      <c r="FV75" s="613">
        <f t="shared" si="140"/>
        <v>0</v>
      </c>
      <c r="FW75" s="613">
        <f t="shared" si="141"/>
        <v>0</v>
      </c>
      <c r="FX75" s="613">
        <f t="shared" si="142"/>
        <v>0</v>
      </c>
      <c r="FZ75" s="500" t="s">
        <v>1108</v>
      </c>
      <c r="GA75" s="500"/>
      <c r="GB75" s="500"/>
      <c r="GC75" s="500"/>
      <c r="GF75" s="536" t="s">
        <v>645</v>
      </c>
      <c r="HD75" s="593" t="b">
        <f>AND(ISBLANK(BD78),OR(ISNUMBER(BI78),ISTEXT(BK78)))</f>
        <v>0</v>
      </c>
      <c r="HE75" s="534"/>
      <c r="HF75" s="534"/>
      <c r="HG75" s="614" t="b">
        <f>AND(ISNUMBER(BD78),ISBLANK(BK78))</f>
        <v>0</v>
      </c>
      <c r="HX75" s="829"/>
      <c r="HY75" s="829"/>
      <c r="HZ75" s="829"/>
      <c r="IA75" s="829"/>
      <c r="IB75" s="829"/>
      <c r="IG75" s="681" t="s">
        <v>900</v>
      </c>
      <c r="IU75" s="498"/>
      <c r="IV75" s="503" t="s">
        <v>493</v>
      </c>
      <c r="IW75" s="643" t="e">
        <f>INDEX(BC_WallR,MATCH($D$65,BC_WAZones,0),MATCH(CW28,BC_WallShade,0))</f>
        <v>#N/A</v>
      </c>
      <c r="MM75" s="543"/>
    </row>
    <row r="76" spans="1:351" ht="11.25" customHeight="1" thickBot="1">
      <c r="A76" s="577"/>
      <c r="B76" s="1138"/>
      <c r="C76" s="1104"/>
      <c r="D76" s="1104"/>
      <c r="E76" s="1104"/>
      <c r="F76" s="1104"/>
      <c r="G76" s="1104"/>
      <c r="H76" s="530" t="s">
        <v>382</v>
      </c>
      <c r="I76" s="1052"/>
      <c r="J76" s="971"/>
      <c r="K76" s="775"/>
      <c r="L76" s="775"/>
      <c r="M76" s="662" t="s">
        <v>994</v>
      </c>
      <c r="N76" s="906"/>
      <c r="O76" s="775"/>
      <c r="P76" s="775"/>
      <c r="Q76" s="775"/>
      <c r="R76" s="662" t="s">
        <v>999</v>
      </c>
      <c r="S76" s="1053"/>
      <c r="T76" s="1054"/>
      <c r="U76" s="577"/>
      <c r="V76" s="562"/>
      <c r="W76" s="577"/>
      <c r="X76" s="850">
        <v>46</v>
      </c>
      <c r="Y76" s="976"/>
      <c r="Z76" s="978"/>
      <c r="AA76" s="727"/>
      <c r="AB76" s="898"/>
      <c r="AC76" s="725"/>
      <c r="AD76" s="725"/>
      <c r="AE76" s="504"/>
      <c r="AF76" s="735"/>
      <c r="AG76" s="895"/>
      <c r="AH76" s="608" t="str">
        <f t="shared" si="117"/>
        <v/>
      </c>
      <c r="AI76" s="726"/>
      <c r="AJ76" s="726"/>
      <c r="AK76" s="726"/>
      <c r="AL76" s="726"/>
      <c r="AM76" s="726"/>
      <c r="AN76" s="726"/>
      <c r="AO76" s="726"/>
      <c r="AP76" s="726"/>
      <c r="AQ76" s="726"/>
      <c r="AR76" s="726"/>
      <c r="AS76" s="726"/>
      <c r="AT76" s="726"/>
      <c r="AU76" s="577"/>
      <c r="AW76" s="577"/>
      <c r="AX76" s="1155" t="s">
        <v>1011</v>
      </c>
      <c r="AY76" s="1155"/>
      <c r="AZ76" s="1155"/>
      <c r="BA76" s="1155"/>
      <c r="BB76" s="1155"/>
      <c r="BC76" s="1155"/>
      <c r="BD76" s="1050"/>
      <c r="BE76" s="1050"/>
      <c r="BF76" s="1050"/>
      <c r="BG76" s="1050"/>
      <c r="BH76" s="813"/>
      <c r="BI76" s="1050"/>
      <c r="BJ76" s="813"/>
      <c r="BK76" s="1133"/>
      <c r="BL76" s="813"/>
      <c r="BM76" s="1050"/>
      <c r="BN76" s="1065"/>
      <c r="BO76" s="1050"/>
      <c r="BP76" s="1157"/>
      <c r="BQ76" s="1157"/>
      <c r="BR76" s="577"/>
      <c r="BT76" s="577"/>
      <c r="BU76" s="970"/>
      <c r="BV76" s="970"/>
      <c r="BW76" s="970"/>
      <c r="BX76" s="970"/>
      <c r="BY76" s="970"/>
      <c r="BZ76" s="970"/>
      <c r="CA76" s="970"/>
      <c r="CB76" s="970"/>
      <c r="CC76" s="970"/>
      <c r="CD76" s="970"/>
      <c r="CE76" s="970"/>
      <c r="CF76" s="970"/>
      <c r="CG76" s="970"/>
      <c r="CH76" s="577"/>
      <c r="CJ76" s="577"/>
      <c r="CK76" s="802" t="s">
        <v>838</v>
      </c>
      <c r="CL76" s="802"/>
      <c r="CM76" s="802" t="str">
        <f>MID(CK52,9,30)</f>
        <v>Added wall construction</v>
      </c>
      <c r="CN76" s="802"/>
      <c r="CO76" s="802"/>
      <c r="CP76" s="802"/>
      <c r="CQ76" s="1037"/>
      <c r="CR76" s="1038"/>
      <c r="CS76" s="1030"/>
      <c r="CT76" s="872" t="str">
        <f>IF(OR(ISBLANK(CQ76),ISBLANK(CK53)),"",IF(CZ61=$ET$17,$ET$17,INDEX(BC_WallValues,MATCH(CK53,BC_WallConst,0),6)))</f>
        <v/>
      </c>
      <c r="CU76" s="802"/>
      <c r="CV76" s="802"/>
      <c r="CW76" s="728"/>
      <c r="CX76" s="802"/>
      <c r="CY76" s="873" t="str">
        <f>IF(OR(ISBLANK(CQ76),ISBLANK(CK53)),"",IF(CZ61=$ET$17,$ET$17,IF(OR(ISBLANK(CW76),CW76=$ET$51),0,0.17)))</f>
        <v/>
      </c>
      <c r="CZ76" s="1031" t="str">
        <f>IF(ISBLANK(CQ76),"",IF(ISERROR(CQ76-CT76-CY76),$ET$17,IF((CQ76-CT76-CY76)&lt;0,$ET$17,CQ76-CT76-CY76)))</f>
        <v/>
      </c>
      <c r="DA76" s="1032"/>
      <c r="DB76" s="802"/>
      <c r="DC76" s="802"/>
      <c r="DD76" s="577"/>
      <c r="DE76" s="562"/>
      <c r="EA76" s="562"/>
      <c r="EB76" s="562"/>
      <c r="EC76" s="562"/>
      <c r="ED76" s="562"/>
      <c r="EE76" s="562"/>
      <c r="EF76" s="562"/>
      <c r="EG76" s="562"/>
      <c r="EH76" s="562"/>
      <c r="EI76" s="562"/>
      <c r="EJ76" s="562"/>
      <c r="EK76" s="562"/>
      <c r="EL76" s="562"/>
      <c r="EM76" s="562"/>
      <c r="EN76" s="562"/>
      <c r="EO76" s="562"/>
      <c r="EP76" s="562"/>
      <c r="EQ76" s="562"/>
      <c r="ES76" s="543"/>
      <c r="EV76" s="500" t="b">
        <f t="shared" si="118"/>
        <v>0</v>
      </c>
      <c r="EW76" s="500" t="b">
        <f t="shared" si="143"/>
        <v>0</v>
      </c>
      <c r="EX76" s="500" t="b">
        <f t="shared" si="119"/>
        <v>0</v>
      </c>
      <c r="EY76" s="500" t="b">
        <f t="shared" si="120"/>
        <v>0</v>
      </c>
      <c r="EZ76" s="500" t="b">
        <f t="shared" si="121"/>
        <v>0</v>
      </c>
      <c r="FA76" s="500" t="b">
        <f t="shared" si="122"/>
        <v>0</v>
      </c>
      <c r="FB76" s="500" t="b">
        <f t="shared" si="123"/>
        <v>0</v>
      </c>
      <c r="FC76" s="500" t="b">
        <f t="shared" si="124"/>
        <v>0</v>
      </c>
      <c r="FD76" s="500" t="b">
        <f t="shared" si="125"/>
        <v>0</v>
      </c>
      <c r="FE76" s="500" t="b">
        <f t="shared" si="126"/>
        <v>0</v>
      </c>
      <c r="FF76" s="500" t="b">
        <f t="shared" si="127"/>
        <v>0</v>
      </c>
      <c r="FG76" s="500" t="b">
        <f t="shared" si="128"/>
        <v>0</v>
      </c>
      <c r="FI76" s="611">
        <f t="shared" si="129"/>
        <v>0</v>
      </c>
      <c r="FJ76" s="611">
        <f t="shared" si="130"/>
        <v>0</v>
      </c>
      <c r="FK76" s="611">
        <f t="shared" si="69"/>
        <v>0</v>
      </c>
      <c r="FL76" s="612"/>
      <c r="FM76" s="613">
        <f t="shared" si="131"/>
        <v>0</v>
      </c>
      <c r="FN76" s="613">
        <f t="shared" si="132"/>
        <v>0</v>
      </c>
      <c r="FO76" s="613">
        <f t="shared" si="133"/>
        <v>0</v>
      </c>
      <c r="FP76" s="613">
        <f t="shared" si="134"/>
        <v>0</v>
      </c>
      <c r="FQ76" s="613">
        <f t="shared" si="135"/>
        <v>0</v>
      </c>
      <c r="FR76" s="613">
        <f t="shared" si="136"/>
        <v>0</v>
      </c>
      <c r="FS76" s="613">
        <f t="shared" si="137"/>
        <v>0</v>
      </c>
      <c r="FT76" s="613">
        <f t="shared" si="138"/>
        <v>0</v>
      </c>
      <c r="FU76" s="613">
        <f t="shared" si="139"/>
        <v>0</v>
      </c>
      <c r="FV76" s="613">
        <f t="shared" si="140"/>
        <v>0</v>
      </c>
      <c r="FW76" s="613">
        <f t="shared" si="141"/>
        <v>0</v>
      </c>
      <c r="FX76" s="613">
        <f t="shared" si="142"/>
        <v>0</v>
      </c>
      <c r="FZ76" s="500" t="s">
        <v>1109</v>
      </c>
      <c r="GA76" s="500"/>
      <c r="GB76" s="500"/>
      <c r="GC76" s="500"/>
      <c r="GF76" s="500" t="s">
        <v>654</v>
      </c>
      <c r="HD76" s="593" t="b">
        <f>AND(ISBLANK(BD79),OR(ISNUMBER(BI79),ISTEXT(BK79)))</f>
        <v>0</v>
      </c>
      <c r="HE76" s="534"/>
      <c r="HF76" s="534"/>
      <c r="HG76" s="614" t="b">
        <f>AND(ISNUMBER(BD79),ISBLANK(BK79))</f>
        <v>0</v>
      </c>
      <c r="HN76" s="498" t="s">
        <v>802</v>
      </c>
      <c r="HY76" s="828"/>
      <c r="HZ76" s="828"/>
      <c r="IA76" s="828"/>
      <c r="IB76" s="826"/>
      <c r="IG76" s="498" t="s">
        <v>885</v>
      </c>
      <c r="IU76" s="498"/>
      <c r="IV76" s="503"/>
      <c r="IW76" s="500"/>
      <c r="JT76" s="500" t="b">
        <f>AND(ISBLANK(CQ76),ISTEXT(CW76))</f>
        <v>0</v>
      </c>
      <c r="JU76" s="500" t="b">
        <f>AND(ISTEXT(CW76),ISBLANK(CQ76))</f>
        <v>0</v>
      </c>
      <c r="LZ76" s="500" t="s">
        <v>803</v>
      </c>
      <c r="MA76" s="500"/>
      <c r="MB76" s="500"/>
      <c r="MC76" s="499" t="s">
        <v>619</v>
      </c>
      <c r="MD76" s="499"/>
      <c r="ME76" s="499" t="s">
        <v>621</v>
      </c>
      <c r="MF76" s="500"/>
      <c r="MG76" s="499" t="s">
        <v>620</v>
      </c>
      <c r="MM76" s="543"/>
    </row>
    <row r="77" spans="1:351" ht="11.25" customHeight="1" thickBot="1">
      <c r="A77" s="577"/>
      <c r="B77" s="1138"/>
      <c r="C77" s="1104"/>
      <c r="D77" s="1104"/>
      <c r="E77" s="1104"/>
      <c r="F77" s="1104"/>
      <c r="G77" s="1104"/>
      <c r="H77" s="531"/>
      <c r="I77" s="531"/>
      <c r="J77" s="531"/>
      <c r="K77" s="531"/>
      <c r="L77" s="531"/>
      <c r="M77" s="531"/>
      <c r="N77" s="531"/>
      <c r="O77" s="531"/>
      <c r="P77" s="531"/>
      <c r="Q77" s="531"/>
      <c r="R77" s="531"/>
      <c r="S77" s="531"/>
      <c r="T77" s="776"/>
      <c r="U77" s="577"/>
      <c r="V77" s="562"/>
      <c r="W77" s="577"/>
      <c r="X77" s="850">
        <v>47</v>
      </c>
      <c r="Y77" s="976"/>
      <c r="Z77" s="978"/>
      <c r="AA77" s="727"/>
      <c r="AB77" s="898"/>
      <c r="AC77" s="725"/>
      <c r="AD77" s="725"/>
      <c r="AE77" s="504"/>
      <c r="AF77" s="735"/>
      <c r="AG77" s="895"/>
      <c r="AH77" s="608" t="str">
        <f t="shared" si="117"/>
        <v/>
      </c>
      <c r="AI77" s="726"/>
      <c r="AJ77" s="726"/>
      <c r="AK77" s="726"/>
      <c r="AL77" s="726"/>
      <c r="AM77" s="726"/>
      <c r="AN77" s="726"/>
      <c r="AO77" s="726"/>
      <c r="AP77" s="726"/>
      <c r="AQ77" s="726"/>
      <c r="AR77" s="726"/>
      <c r="AS77" s="726"/>
      <c r="AT77" s="726"/>
      <c r="AU77" s="577"/>
      <c r="AW77" s="577"/>
      <c r="AX77" s="1156"/>
      <c r="AY77" s="1156"/>
      <c r="AZ77" s="1156"/>
      <c r="BA77" s="1156"/>
      <c r="BB77" s="1156"/>
      <c r="BC77" s="1156"/>
      <c r="BD77" s="1051"/>
      <c r="BE77" s="1051"/>
      <c r="BF77" s="1051"/>
      <c r="BG77" s="1051"/>
      <c r="BH77" s="824"/>
      <c r="BI77" s="1051"/>
      <c r="BJ77" s="824"/>
      <c r="BK77" s="1134"/>
      <c r="BL77" s="824"/>
      <c r="BM77" s="1051"/>
      <c r="BN77" s="1066"/>
      <c r="BO77" s="1051"/>
      <c r="BP77" s="1158"/>
      <c r="BQ77" s="1158"/>
      <c r="BR77" s="577"/>
      <c r="BT77" s="577"/>
      <c r="BU77" s="970"/>
      <c r="BV77" s="970"/>
      <c r="BW77" s="970"/>
      <c r="BX77" s="970"/>
      <c r="BY77" s="970"/>
      <c r="BZ77" s="970"/>
      <c r="CA77" s="970"/>
      <c r="CB77" s="970"/>
      <c r="CC77" s="970"/>
      <c r="CD77" s="970"/>
      <c r="CE77" s="970"/>
      <c r="CF77" s="970"/>
      <c r="CG77" s="970"/>
      <c r="CH77" s="577"/>
      <c r="CJ77" s="577"/>
      <c r="CK77" s="802" t="s">
        <v>839</v>
      </c>
      <c r="CL77" s="802"/>
      <c r="CM77" s="802" t="str">
        <f>MID(CK55,9,FIND("(",CK55,1)-10)</f>
        <v>Added wall construction</v>
      </c>
      <c r="CN77" s="802"/>
      <c r="CO77" s="802"/>
      <c r="CP77" s="802"/>
      <c r="CQ77" s="1037"/>
      <c r="CR77" s="1038"/>
      <c r="CS77" s="1030"/>
      <c r="CT77" s="872" t="str">
        <f>IF(OR(ISBLANK(CQ77),ISBLANK(CK56)),"",IF(CZ61=$ET$17,$ET$17,INDEX(BC_WallValues,MATCH(CK56,BC_WallConst,0),6)))</f>
        <v/>
      </c>
      <c r="CU77" s="802"/>
      <c r="CV77" s="802"/>
      <c r="CW77" s="728"/>
      <c r="CX77" s="802"/>
      <c r="CY77" s="873" t="str">
        <f>IF(OR(ISBLANK(CQ77),ISBLANK(CK56)),"",IF(CZ61=$ET$17,$ET$17,IF(OR(ISBLANK(CW77),CW77=$ET$51),0,0.17)))</f>
        <v/>
      </c>
      <c r="CZ77" s="1031" t="str">
        <f>IF(ISBLANK(CQ77),"",IF(ISERROR(CQ77-CT77-CY77),$ET$17,IF((CQ77-CT77-CY77)&lt;0,$ET$17,CQ77-CT77-CY77)))</f>
        <v/>
      </c>
      <c r="DA77" s="1032"/>
      <c r="DB77" s="802"/>
      <c r="DC77" s="802"/>
      <c r="DD77" s="577"/>
      <c r="DE77" s="562"/>
      <c r="EA77" s="562"/>
      <c r="EB77" s="562"/>
      <c r="EC77" s="562"/>
      <c r="ED77" s="562"/>
      <c r="EE77" s="562"/>
      <c r="EF77" s="562"/>
      <c r="EG77" s="562"/>
      <c r="EH77" s="562"/>
      <c r="EI77" s="562"/>
      <c r="EJ77" s="562"/>
      <c r="EK77" s="562"/>
      <c r="EL77" s="562"/>
      <c r="EM77" s="562"/>
      <c r="EN77" s="562"/>
      <c r="EO77" s="562"/>
      <c r="EP77" s="562"/>
      <c r="EQ77" s="562"/>
      <c r="ES77" s="543"/>
      <c r="EV77" s="500" t="b">
        <f t="shared" si="118"/>
        <v>0</v>
      </c>
      <c r="EW77" s="500" t="b">
        <f t="shared" si="143"/>
        <v>0</v>
      </c>
      <c r="EX77" s="500" t="b">
        <f t="shared" si="119"/>
        <v>0</v>
      </c>
      <c r="EY77" s="500" t="b">
        <f t="shared" si="120"/>
        <v>0</v>
      </c>
      <c r="EZ77" s="500" t="b">
        <f t="shared" si="121"/>
        <v>0</v>
      </c>
      <c r="FA77" s="500" t="b">
        <f t="shared" si="122"/>
        <v>0</v>
      </c>
      <c r="FB77" s="500" t="b">
        <f t="shared" si="123"/>
        <v>0</v>
      </c>
      <c r="FC77" s="500" t="b">
        <f t="shared" si="124"/>
        <v>0</v>
      </c>
      <c r="FD77" s="500" t="b">
        <f t="shared" si="125"/>
        <v>0</v>
      </c>
      <c r="FE77" s="500" t="b">
        <f t="shared" si="126"/>
        <v>0</v>
      </c>
      <c r="FF77" s="500" t="b">
        <f t="shared" si="127"/>
        <v>0</v>
      </c>
      <c r="FG77" s="500" t="b">
        <f t="shared" si="128"/>
        <v>0</v>
      </c>
      <c r="FI77" s="611">
        <f t="shared" si="129"/>
        <v>0</v>
      </c>
      <c r="FJ77" s="611">
        <f t="shared" si="130"/>
        <v>0</v>
      </c>
      <c r="FK77" s="611">
        <f t="shared" si="69"/>
        <v>0</v>
      </c>
      <c r="FL77" s="612"/>
      <c r="FM77" s="613">
        <f t="shared" si="131"/>
        <v>0</v>
      </c>
      <c r="FN77" s="613">
        <f t="shared" si="132"/>
        <v>0</v>
      </c>
      <c r="FO77" s="613">
        <f t="shared" si="133"/>
        <v>0</v>
      </c>
      <c r="FP77" s="613">
        <f t="shared" si="134"/>
        <v>0</v>
      </c>
      <c r="FQ77" s="613">
        <f t="shared" si="135"/>
        <v>0</v>
      </c>
      <c r="FR77" s="613">
        <f t="shared" si="136"/>
        <v>0</v>
      </c>
      <c r="FS77" s="613">
        <f t="shared" si="137"/>
        <v>0</v>
      </c>
      <c r="FT77" s="613">
        <f t="shared" si="138"/>
        <v>0</v>
      </c>
      <c r="FU77" s="613">
        <f t="shared" si="139"/>
        <v>0</v>
      </c>
      <c r="FV77" s="613">
        <f t="shared" si="140"/>
        <v>0</v>
      </c>
      <c r="FW77" s="613">
        <f t="shared" si="141"/>
        <v>0</v>
      </c>
      <c r="FX77" s="613">
        <f t="shared" si="142"/>
        <v>0</v>
      </c>
      <c r="GF77" s="500" t="s">
        <v>655</v>
      </c>
      <c r="HD77" s="593" t="b">
        <f>AND(ISBLANK(BD80),OR(ISNUMBER(BI80),ISTEXT(BK80)))</f>
        <v>0</v>
      </c>
      <c r="HE77" s="534"/>
      <c r="HF77" s="534"/>
      <c r="HG77" s="614" t="b">
        <f>AND(ISNUMBER(BD80),ISBLANK(BK80))</f>
        <v>0</v>
      </c>
      <c r="HQ77" s="536" t="s">
        <v>1024</v>
      </c>
      <c r="IG77" s="497" t="s">
        <v>879</v>
      </c>
      <c r="IU77" s="498"/>
      <c r="IV77" s="503" t="s">
        <v>463</v>
      </c>
      <c r="IW77" s="643" t="e">
        <f>IW75*IW73</f>
        <v>#N/A</v>
      </c>
      <c r="JT77" s="500" t="b">
        <f>AND(ISBLANK(CQ77),ISTEXT(CW77))</f>
        <v>0</v>
      </c>
      <c r="JU77" s="500" t="b">
        <f>AND(ISTEXT(CW77),ISBLANK(CQ77))</f>
        <v>0</v>
      </c>
      <c r="MM77" s="543"/>
    </row>
    <row r="78" spans="1:351" ht="11.25" customHeight="1" thickBot="1">
      <c r="A78" s="577"/>
      <c r="B78" s="1138"/>
      <c r="C78" s="1104"/>
      <c r="D78" s="1104"/>
      <c r="E78" s="1104"/>
      <c r="F78" s="1104"/>
      <c r="G78" s="1104"/>
      <c r="H78" s="530" t="s">
        <v>515</v>
      </c>
      <c r="I78" s="976"/>
      <c r="J78" s="977"/>
      <c r="K78" s="978"/>
      <c r="L78" s="775"/>
      <c r="M78" s="530" t="s">
        <v>516</v>
      </c>
      <c r="N78" s="1055"/>
      <c r="O78" s="1056"/>
      <c r="P78" s="1056"/>
      <c r="Q78" s="1056"/>
      <c r="R78" s="1056"/>
      <c r="S78" s="1056"/>
      <c r="T78" s="1057"/>
      <c r="U78" s="577"/>
      <c r="V78" s="562"/>
      <c r="W78" s="577"/>
      <c r="X78" s="850">
        <v>48</v>
      </c>
      <c r="Y78" s="976"/>
      <c r="Z78" s="978"/>
      <c r="AA78" s="727"/>
      <c r="AB78" s="898"/>
      <c r="AC78" s="725"/>
      <c r="AD78" s="725"/>
      <c r="AE78" s="504"/>
      <c r="AF78" s="735"/>
      <c r="AG78" s="895"/>
      <c r="AH78" s="608" t="str">
        <f t="shared" si="117"/>
        <v/>
      </c>
      <c r="AI78" s="726"/>
      <c r="AJ78" s="726"/>
      <c r="AK78" s="726"/>
      <c r="AL78" s="726"/>
      <c r="AM78" s="726"/>
      <c r="AN78" s="726"/>
      <c r="AO78" s="726"/>
      <c r="AP78" s="726"/>
      <c r="AQ78" s="726"/>
      <c r="AR78" s="726"/>
      <c r="AS78" s="726"/>
      <c r="AT78" s="726"/>
      <c r="AU78" s="577"/>
      <c r="AW78" s="577"/>
      <c r="AX78" s="802" t="s">
        <v>788</v>
      </c>
      <c r="AY78" s="802"/>
      <c r="AZ78" s="802" t="str">
        <f>MID(AX25,9,30)</f>
        <v>Existing roof construction</v>
      </c>
      <c r="BA78" s="802"/>
      <c r="BB78" s="802"/>
      <c r="BC78" s="802"/>
      <c r="BD78" s="738"/>
      <c r="BE78" s="1071" t="s">
        <v>1012</v>
      </c>
      <c r="BF78" s="811" t="str">
        <f>IF(OR(ISBLANK(BD78),ISBLANK(AX26)),"",INDEX(BC_RoofValues,MATCH(AX26,BC_RoofConst,0),6))</f>
        <v/>
      </c>
      <c r="BG78" s="802"/>
      <c r="BH78" s="807"/>
      <c r="BI78" s="731"/>
      <c r="BJ78" s="802"/>
      <c r="BK78" s="737"/>
      <c r="BL78" s="802"/>
      <c r="BM78" s="812" t="str">
        <f>IF(OR(ISBLANK(BD78),ISBLANK(AX26)),"",IF(OR(ISBLANK(BK78),BK78=$ET$51),0,INDEX(BC_RoofValues,MATCH(AX26,BC_RoofConst,0),3)))</f>
        <v/>
      </c>
      <c r="BN78" s="1059" t="str">
        <f>IF(OR(ISBLANK(BD78),OR(BF78="",BM78="")),"",IF((BD78-BF78-BI78+BM78)&lt;0,$ET$17,BD78-BF78-BI78+BM78))</f>
        <v/>
      </c>
      <c r="BO78" s="1060"/>
      <c r="BP78" s="1148" t="str">
        <f>IF(BK71="","",IF(OR(ISBLANK(BD78),BN78=""),"",IF(ISBLANK($BK$71),$ET$17,IF(BN78=$ET$17,$ET$17,IF(BN78&gt;6,$ET$32,INDEX(BC_InsValue1,MATCH($BK$71,BC_PenRange1,-1),MATCH(BN78,BC_InsRange1,0),1))))))</f>
        <v/>
      </c>
      <c r="BQ78" s="1149"/>
      <c r="BR78" s="577"/>
      <c r="BT78" s="577"/>
      <c r="BU78" s="577"/>
      <c r="BV78" s="577"/>
      <c r="BW78" s="577"/>
      <c r="BX78" s="577"/>
      <c r="BY78" s="577"/>
      <c r="BZ78" s="577"/>
      <c r="CA78" s="577"/>
      <c r="CB78" s="577"/>
      <c r="CC78" s="577"/>
      <c r="CD78" s="577"/>
      <c r="CE78" s="577"/>
      <c r="CF78" s="577"/>
      <c r="CG78" s="577"/>
      <c r="CH78" s="577"/>
      <c r="CJ78" s="577"/>
      <c r="CK78" s="802"/>
      <c r="CL78" s="802"/>
      <c r="CM78" s="802"/>
      <c r="CN78" s="802"/>
      <c r="CO78" s="802"/>
      <c r="CP78" s="802"/>
      <c r="CQ78" s="802"/>
      <c r="CR78" s="802"/>
      <c r="CS78" s="802"/>
      <c r="CT78" s="802"/>
      <c r="CU78" s="802"/>
      <c r="CV78" s="802"/>
      <c r="CW78" s="802"/>
      <c r="CX78" s="802"/>
      <c r="CY78" s="802"/>
      <c r="CZ78" s="802"/>
      <c r="DA78" s="802"/>
      <c r="DB78" s="802"/>
      <c r="DC78" s="802"/>
      <c r="DD78" s="577"/>
      <c r="DE78" s="562"/>
      <c r="EA78" s="562"/>
      <c r="EB78" s="562"/>
      <c r="EC78" s="562"/>
      <c r="ED78" s="562"/>
      <c r="EE78" s="562"/>
      <c r="EF78" s="562"/>
      <c r="EG78" s="562"/>
      <c r="EH78" s="562"/>
      <c r="EI78" s="562"/>
      <c r="EJ78" s="562"/>
      <c r="EK78" s="562"/>
      <c r="EL78" s="562"/>
      <c r="EM78" s="562"/>
      <c r="EN78" s="562"/>
      <c r="EO78" s="562"/>
      <c r="EP78" s="562"/>
      <c r="EQ78" s="562"/>
      <c r="ES78" s="543"/>
      <c r="EV78" s="500" t="b">
        <f t="shared" si="118"/>
        <v>0</v>
      </c>
      <c r="EW78" s="500" t="b">
        <f t="shared" si="143"/>
        <v>0</v>
      </c>
      <c r="EX78" s="500" t="b">
        <f t="shared" si="119"/>
        <v>0</v>
      </c>
      <c r="EY78" s="500" t="b">
        <f t="shared" si="120"/>
        <v>0</v>
      </c>
      <c r="EZ78" s="500" t="b">
        <f t="shared" si="121"/>
        <v>0</v>
      </c>
      <c r="FA78" s="500" t="b">
        <f t="shared" si="122"/>
        <v>0</v>
      </c>
      <c r="FB78" s="500" t="b">
        <f t="shared" si="123"/>
        <v>0</v>
      </c>
      <c r="FC78" s="500" t="b">
        <f t="shared" si="124"/>
        <v>0</v>
      </c>
      <c r="FD78" s="500" t="b">
        <f t="shared" si="125"/>
        <v>0</v>
      </c>
      <c r="FE78" s="500" t="b">
        <f t="shared" si="126"/>
        <v>0</v>
      </c>
      <c r="FF78" s="500" t="b">
        <f t="shared" si="127"/>
        <v>0</v>
      </c>
      <c r="FG78" s="500" t="b">
        <f t="shared" si="128"/>
        <v>0</v>
      </c>
      <c r="FI78" s="611">
        <f t="shared" si="129"/>
        <v>0</v>
      </c>
      <c r="FJ78" s="611">
        <f t="shared" si="130"/>
        <v>0</v>
      </c>
      <c r="FK78" s="611">
        <f t="shared" si="69"/>
        <v>0</v>
      </c>
      <c r="FL78" s="612"/>
      <c r="FM78" s="613">
        <f t="shared" si="131"/>
        <v>0</v>
      </c>
      <c r="FN78" s="613">
        <f t="shared" si="132"/>
        <v>0</v>
      </c>
      <c r="FO78" s="613">
        <f t="shared" si="133"/>
        <v>0</v>
      </c>
      <c r="FP78" s="613">
        <f t="shared" si="134"/>
        <v>0</v>
      </c>
      <c r="FQ78" s="613">
        <f t="shared" si="135"/>
        <v>0</v>
      </c>
      <c r="FR78" s="613">
        <f t="shared" si="136"/>
        <v>0</v>
      </c>
      <c r="FS78" s="613">
        <f t="shared" si="137"/>
        <v>0</v>
      </c>
      <c r="FT78" s="613">
        <f t="shared" si="138"/>
        <v>0</v>
      </c>
      <c r="FU78" s="613">
        <f t="shared" si="139"/>
        <v>0</v>
      </c>
      <c r="FV78" s="613">
        <f t="shared" si="140"/>
        <v>0</v>
      </c>
      <c r="FW78" s="613">
        <f t="shared" si="141"/>
        <v>0</v>
      </c>
      <c r="FX78" s="613">
        <f t="shared" si="142"/>
        <v>0</v>
      </c>
      <c r="FZ78" s="500" t="s">
        <v>579</v>
      </c>
      <c r="GA78" s="500"/>
      <c r="GB78" s="500"/>
      <c r="GC78" s="500"/>
      <c r="GF78" s="500" t="s">
        <v>393</v>
      </c>
      <c r="HD78" s="533"/>
      <c r="HE78" s="534"/>
      <c r="HF78" s="534"/>
      <c r="HG78" s="535"/>
      <c r="HQ78" s="536" t="s">
        <v>1025</v>
      </c>
      <c r="IF78" s="536" t="s">
        <v>902</v>
      </c>
      <c r="IG78" s="500" t="s">
        <v>898</v>
      </c>
      <c r="IH78" s="500" t="s">
        <v>897</v>
      </c>
      <c r="II78" s="500" t="s">
        <v>896</v>
      </c>
      <c r="IJ78" s="500" t="s">
        <v>895</v>
      </c>
      <c r="IU78" s="498"/>
      <c r="IV78" s="503"/>
      <c r="IW78" s="500"/>
      <c r="LZ78" s="497" t="s">
        <v>622</v>
      </c>
      <c r="MA78" s="497" t="s">
        <v>623</v>
      </c>
      <c r="MC78" s="632">
        <v>1</v>
      </c>
      <c r="ME78" s="636" t="e">
        <f>$AC$85/$AC$86</f>
        <v>#DIV/0!</v>
      </c>
      <c r="MG78" s="632">
        <v>0</v>
      </c>
      <c r="MM78" s="543"/>
    </row>
    <row r="79" spans="1:351" ht="11.25" customHeight="1" thickBot="1">
      <c r="A79" s="577"/>
      <c r="B79" s="1138"/>
      <c r="C79" s="1104"/>
      <c r="D79" s="1104"/>
      <c r="E79" s="1104"/>
      <c r="F79" s="1104"/>
      <c r="G79" s="1104"/>
      <c r="H79" s="531"/>
      <c r="I79" s="585"/>
      <c r="J79" s="585"/>
      <c r="K79" s="585"/>
      <c r="L79" s="585"/>
      <c r="M79" s="585"/>
      <c r="N79" s="585"/>
      <c r="O79" s="585"/>
      <c r="P79" s="585"/>
      <c r="Q79" s="585"/>
      <c r="R79" s="585"/>
      <c r="S79" s="585"/>
      <c r="T79" s="774"/>
      <c r="U79" s="577"/>
      <c r="V79" s="562"/>
      <c r="W79" s="577"/>
      <c r="X79" s="850">
        <v>49</v>
      </c>
      <c r="Y79" s="976"/>
      <c r="Z79" s="978"/>
      <c r="AA79" s="727"/>
      <c r="AB79" s="898"/>
      <c r="AC79" s="725"/>
      <c r="AD79" s="725"/>
      <c r="AE79" s="504"/>
      <c r="AF79" s="735"/>
      <c r="AG79" s="895"/>
      <c r="AH79" s="608" t="str">
        <f t="shared" si="117"/>
        <v/>
      </c>
      <c r="AI79" s="726"/>
      <c r="AJ79" s="726"/>
      <c r="AK79" s="726"/>
      <c r="AL79" s="726"/>
      <c r="AM79" s="726"/>
      <c r="AN79" s="726"/>
      <c r="AO79" s="726"/>
      <c r="AP79" s="726"/>
      <c r="AQ79" s="726"/>
      <c r="AR79" s="726"/>
      <c r="AS79" s="726"/>
      <c r="AT79" s="726"/>
      <c r="AU79" s="577"/>
      <c r="AW79" s="577"/>
      <c r="AX79" s="802" t="s">
        <v>785</v>
      </c>
      <c r="AY79" s="802"/>
      <c r="AZ79" s="802" t="str">
        <f>MID(AY29,10,30)</f>
        <v>Alteration to existing roof</v>
      </c>
      <c r="BA79" s="802"/>
      <c r="BB79" s="802"/>
      <c r="BC79" s="802"/>
      <c r="BD79" s="727"/>
      <c r="BE79" s="1071"/>
      <c r="BF79" s="811" t="str">
        <f>IF(OR(ISBLANK(BD79),OR(ISBLANK(AX26),AY32=$ET$17)),"",MID(AY32,FIND("R",AY32,1)+1,5))</f>
        <v/>
      </c>
      <c r="BG79" s="807"/>
      <c r="BH79" s="807"/>
      <c r="BI79" s="732"/>
      <c r="BJ79" s="802"/>
      <c r="BK79" s="728"/>
      <c r="BL79" s="802"/>
      <c r="BM79" s="812" t="str">
        <f>IF(OR(ISBLANK(BD79),ISBLANK(AX26)),"",IF(OR(ISBLANK(BK79),BK79=$ET$51),0,INDEX(BC_RoofValues,MATCH(MID(AY32,1,FIND("R",AY32,1)-2),BC_RoofConst,0),3)))</f>
        <v/>
      </c>
      <c r="BN79" s="1059" t="str">
        <f>IF(OR(ISBLANK(BD79),OR(BF79="",BM79="")),"",IF((BD79-BF79-BI79+BM79)&lt;0,$ET$17,BD79-BF79-BI79+BM79))</f>
        <v/>
      </c>
      <c r="BO79" s="1060"/>
      <c r="BP79" s="1148" t="str">
        <f>IF(BK71="","",IF(OR(ISBLANK(BD79),BN79=""),"",IF(ISBLANK($BK$71),$ET$17,IF(BN79=$ET$17,$ET$17,IF(BN79&gt;6,$ET$32,INDEX(BC_InsValue2,MATCH($BK$71,BC_PenRange2,-1),MATCH(BN79,BC_InsRange2,0),1))))))</f>
        <v/>
      </c>
      <c r="BQ79" s="1149"/>
      <c r="BR79" s="577"/>
      <c r="CJ79" s="577"/>
      <c r="CK79" s="802"/>
      <c r="CL79" s="802"/>
      <c r="CM79" s="802"/>
      <c r="CN79" s="802"/>
      <c r="CO79" s="802"/>
      <c r="CP79" s="802"/>
      <c r="CQ79" s="802"/>
      <c r="CR79" s="802"/>
      <c r="CS79" s="802"/>
      <c r="CT79" s="802"/>
      <c r="CU79" s="802"/>
      <c r="CV79" s="802"/>
      <c r="CW79" s="802"/>
      <c r="CX79" s="802"/>
      <c r="CY79" s="802"/>
      <c r="CZ79" s="802"/>
      <c r="DA79" s="802"/>
      <c r="DB79" s="802"/>
      <c r="DC79" s="802"/>
      <c r="DD79" s="577"/>
      <c r="DE79" s="562"/>
      <c r="EA79" s="562"/>
      <c r="EB79" s="562"/>
      <c r="EC79" s="562"/>
      <c r="ED79" s="562"/>
      <c r="EE79" s="562"/>
      <c r="EF79" s="562"/>
      <c r="EG79" s="562"/>
      <c r="EH79" s="562"/>
      <c r="EI79" s="562"/>
      <c r="EJ79" s="562"/>
      <c r="EK79" s="562"/>
      <c r="EL79" s="562"/>
      <c r="EM79" s="562"/>
      <c r="EN79" s="562"/>
      <c r="EO79" s="562"/>
      <c r="EP79" s="562"/>
      <c r="EQ79" s="562"/>
      <c r="ES79" s="543"/>
      <c r="EV79" s="500" t="b">
        <f t="shared" si="118"/>
        <v>0</v>
      </c>
      <c r="EW79" s="500" t="b">
        <f t="shared" si="143"/>
        <v>0</v>
      </c>
      <c r="EX79" s="500" t="b">
        <f t="shared" si="119"/>
        <v>0</v>
      </c>
      <c r="EY79" s="500" t="b">
        <f t="shared" si="120"/>
        <v>0</v>
      </c>
      <c r="EZ79" s="500" t="b">
        <f t="shared" si="121"/>
        <v>0</v>
      </c>
      <c r="FA79" s="500" t="b">
        <f t="shared" si="122"/>
        <v>0</v>
      </c>
      <c r="FB79" s="500" t="b">
        <f t="shared" si="123"/>
        <v>0</v>
      </c>
      <c r="FC79" s="500" t="b">
        <f t="shared" si="124"/>
        <v>0</v>
      </c>
      <c r="FD79" s="500" t="b">
        <f t="shared" si="125"/>
        <v>0</v>
      </c>
      <c r="FE79" s="500" t="b">
        <f t="shared" si="126"/>
        <v>0</v>
      </c>
      <c r="FF79" s="500" t="b">
        <f t="shared" si="127"/>
        <v>0</v>
      </c>
      <c r="FG79" s="500" t="b">
        <f t="shared" si="128"/>
        <v>0</v>
      </c>
      <c r="FI79" s="611">
        <f t="shared" si="129"/>
        <v>0</v>
      </c>
      <c r="FJ79" s="611">
        <f t="shared" si="130"/>
        <v>0</v>
      </c>
      <c r="FK79" s="611">
        <f t="shared" si="69"/>
        <v>0</v>
      </c>
      <c r="FL79" s="612"/>
      <c r="FM79" s="613">
        <f t="shared" si="131"/>
        <v>0</v>
      </c>
      <c r="FN79" s="613">
        <f t="shared" si="132"/>
        <v>0</v>
      </c>
      <c r="FO79" s="613">
        <f t="shared" si="133"/>
        <v>0</v>
      </c>
      <c r="FP79" s="613">
        <f t="shared" si="134"/>
        <v>0</v>
      </c>
      <c r="FQ79" s="613">
        <f t="shared" si="135"/>
        <v>0</v>
      </c>
      <c r="FR79" s="613">
        <f t="shared" si="136"/>
        <v>0</v>
      </c>
      <c r="FS79" s="613">
        <f t="shared" si="137"/>
        <v>0</v>
      </c>
      <c r="FT79" s="613">
        <f t="shared" si="138"/>
        <v>0</v>
      </c>
      <c r="FU79" s="613">
        <f t="shared" si="139"/>
        <v>0</v>
      </c>
      <c r="FV79" s="613">
        <f t="shared" si="140"/>
        <v>0</v>
      </c>
      <c r="FW79" s="613">
        <f t="shared" si="141"/>
        <v>0</v>
      </c>
      <c r="FX79" s="613">
        <f t="shared" si="142"/>
        <v>0</v>
      </c>
      <c r="HD79" s="593" t="b">
        <f>AND(ISBLANK(BD82),OR(ISNUMBER(BI82),ISTEXT(BK82)))</f>
        <v>0</v>
      </c>
      <c r="HE79" s="534"/>
      <c r="HF79" s="534"/>
      <c r="HG79" s="614" t="b">
        <f>AND(ISNUMBER(BD82),ISBLANK(BK82))</f>
        <v>0</v>
      </c>
      <c r="HP79" s="649" t="s">
        <v>758</v>
      </c>
      <c r="HQ79" s="641">
        <v>6</v>
      </c>
      <c r="HR79" s="641">
        <f t="shared" ref="HR79:IB79" si="144">IF(AND($BN$78&gt;=HR65,$BN$78&lt;HQ65),$BN$78,HR65)</f>
        <v>5.5</v>
      </c>
      <c r="HS79" s="641">
        <f t="shared" si="144"/>
        <v>5</v>
      </c>
      <c r="HT79" s="641">
        <f t="shared" si="144"/>
        <v>4.5</v>
      </c>
      <c r="HU79" s="641">
        <f t="shared" si="144"/>
        <v>4</v>
      </c>
      <c r="HV79" s="641">
        <f t="shared" si="144"/>
        <v>3.5</v>
      </c>
      <c r="HW79" s="641">
        <f t="shared" si="144"/>
        <v>3</v>
      </c>
      <c r="HX79" s="641">
        <f t="shared" si="144"/>
        <v>2.5</v>
      </c>
      <c r="HY79" s="641">
        <f t="shared" si="144"/>
        <v>2</v>
      </c>
      <c r="HZ79" s="641">
        <f t="shared" si="144"/>
        <v>1.5</v>
      </c>
      <c r="IA79" s="641">
        <f t="shared" si="144"/>
        <v>1</v>
      </c>
      <c r="IB79" s="641">
        <f t="shared" si="144"/>
        <v>1E-4</v>
      </c>
      <c r="IF79" s="497" t="s">
        <v>880</v>
      </c>
      <c r="IG79" s="706">
        <v>0.05</v>
      </c>
      <c r="IH79" s="706">
        <v>0.04</v>
      </c>
      <c r="II79" s="706">
        <v>0.03</v>
      </c>
      <c r="IJ79" s="706">
        <v>0.02</v>
      </c>
      <c r="IU79" s="498"/>
      <c r="IV79" s="503" t="s">
        <v>464</v>
      </c>
      <c r="IW79" s="643" t="e">
        <f>IF((IW71+IW77)&gt;IW75,IW75,IW71+IW77)</f>
        <v>#N/A</v>
      </c>
      <c r="MA79" s="497" t="s">
        <v>624</v>
      </c>
      <c r="MC79" s="632">
        <v>0</v>
      </c>
      <c r="ME79" s="636" t="e">
        <f>$AC$84/$AC$86</f>
        <v>#DIV/0!</v>
      </c>
      <c r="MG79" s="632">
        <v>1</v>
      </c>
      <c r="MM79" s="543"/>
    </row>
    <row r="80" spans="1:351" ht="11.25" customHeight="1" thickBot="1">
      <c r="A80" s="577"/>
      <c r="B80" s="1138"/>
      <c r="C80" s="1104"/>
      <c r="D80" s="1104"/>
      <c r="E80" s="1104"/>
      <c r="F80" s="1104"/>
      <c r="G80" s="1104"/>
      <c r="H80" s="530" t="s">
        <v>998</v>
      </c>
      <c r="I80" s="969"/>
      <c r="J80" s="970"/>
      <c r="K80" s="971"/>
      <c r="L80" s="530" t="s">
        <v>551</v>
      </c>
      <c r="M80" s="976"/>
      <c r="N80" s="978"/>
      <c r="O80" s="530" t="s">
        <v>528</v>
      </c>
      <c r="P80" s="1086"/>
      <c r="Q80" s="1087"/>
      <c r="R80" s="1087"/>
      <c r="S80" s="1087"/>
      <c r="T80" s="1088"/>
      <c r="U80" s="577"/>
      <c r="V80" s="562"/>
      <c r="W80" s="577"/>
      <c r="X80" s="850">
        <v>50</v>
      </c>
      <c r="Y80" s="976"/>
      <c r="Z80" s="978"/>
      <c r="AA80" s="727"/>
      <c r="AB80" s="898"/>
      <c r="AC80" s="725"/>
      <c r="AD80" s="725"/>
      <c r="AE80" s="504"/>
      <c r="AF80" s="735"/>
      <c r="AG80" s="895"/>
      <c r="AH80" s="608" t="str">
        <f t="shared" si="117"/>
        <v/>
      </c>
      <c r="AI80" s="726"/>
      <c r="AJ80" s="726"/>
      <c r="AK80" s="726"/>
      <c r="AL80" s="726"/>
      <c r="AM80" s="726"/>
      <c r="AN80" s="726"/>
      <c r="AO80" s="726"/>
      <c r="AP80" s="726"/>
      <c r="AQ80" s="726"/>
      <c r="AR80" s="726"/>
      <c r="AS80" s="726"/>
      <c r="AT80" s="726"/>
      <c r="AU80" s="577"/>
      <c r="AW80" s="577"/>
      <c r="AX80" s="802" t="s">
        <v>784</v>
      </c>
      <c r="AY80" s="802"/>
      <c r="AZ80" s="802" t="str">
        <f>MID(AY34,10,FIND("(",AY34,1)-11)</f>
        <v>Alteration to existing roof</v>
      </c>
      <c r="BA80" s="802"/>
      <c r="BB80" s="802"/>
      <c r="BC80" s="802"/>
      <c r="BD80" s="727"/>
      <c r="BE80" s="1071"/>
      <c r="BF80" s="811" t="str">
        <f>IF(OR(ISBLANK(BD80),OR(ISBLANK(AX26),AY37=$ET$17)),"",MID(AY37,FIND("R",AY37,1)+1,5))</f>
        <v/>
      </c>
      <c r="BG80" s="807"/>
      <c r="BH80" s="807"/>
      <c r="BI80" s="732"/>
      <c r="BJ80" s="802"/>
      <c r="BK80" s="728"/>
      <c r="BL80" s="802"/>
      <c r="BM80" s="812" t="str">
        <f>IF(OR(ISBLANK(BD80),ISBLANK(AX26)),"",IF(OR(ISBLANK(BK80),BK80=$ET$51),0,INDEX(BC_RoofValues,MATCH(MID(AY37,1,FIND("R",AY37,1)-2),BC_RoofConst,0),3)))</f>
        <v/>
      </c>
      <c r="BN80" s="1059" t="str">
        <f>IF(OR(ISBLANK(BD80),OR(BF80="",BM80="")),"",IF((BD80-BF80-BI80+BM80)&lt;0,$ET$17,BD80-BF80-BI80+BM80))</f>
        <v/>
      </c>
      <c r="BO80" s="1060"/>
      <c r="BP80" s="1148" t="str">
        <f>IF(BK71="","",IF(OR(ISBLANK(BD80),BN80=""),"",IF(ISBLANK($BK$71),$ET$17,IF(BN80=$ET$17,$ET$17,IF(BN80&gt;6,$ET$32,INDEX(BC_InsValue3,MATCH($BK$71,BC_PenRange3,-1),MATCH(BN80,BC_InsRange3,0),1))))))</f>
        <v/>
      </c>
      <c r="BQ80" s="1149"/>
      <c r="BR80" s="577"/>
      <c r="CJ80" s="577"/>
      <c r="CK80" s="878" t="s">
        <v>870</v>
      </c>
      <c r="CL80" s="879"/>
      <c r="CM80" s="651" t="s">
        <v>873</v>
      </c>
      <c r="CN80" s="879"/>
      <c r="CO80" s="879"/>
      <c r="CP80" s="879"/>
      <c r="CQ80" s="879"/>
      <c r="CR80" s="879"/>
      <c r="CS80" s="879"/>
      <c r="CT80" s="879"/>
      <c r="CU80" s="879"/>
      <c r="CV80" s="879"/>
      <c r="CW80" s="879"/>
      <c r="CX80" s="879"/>
      <c r="CY80" s="879"/>
      <c r="CZ80" s="879"/>
      <c r="DA80" s="879"/>
      <c r="DB80" s="879"/>
      <c r="DC80" s="879"/>
      <c r="DD80" s="577"/>
      <c r="DE80" s="562"/>
      <c r="EA80" s="562"/>
      <c r="EB80" s="562"/>
      <c r="EC80" s="562"/>
      <c r="ED80" s="562"/>
      <c r="EE80" s="562"/>
      <c r="EF80" s="562"/>
      <c r="EG80" s="562"/>
      <c r="EH80" s="562"/>
      <c r="EI80" s="562"/>
      <c r="EJ80" s="562"/>
      <c r="EK80" s="562"/>
      <c r="EL80" s="562"/>
      <c r="EM80" s="562"/>
      <c r="EN80" s="562"/>
      <c r="EO80" s="562"/>
      <c r="EP80" s="562"/>
      <c r="EQ80" s="562"/>
      <c r="ES80" s="543"/>
      <c r="EV80" s="500" t="b">
        <f t="shared" si="118"/>
        <v>0</v>
      </c>
      <c r="EW80" s="500" t="b">
        <f t="shared" si="143"/>
        <v>0</v>
      </c>
      <c r="EX80" s="500" t="b">
        <f t="shared" si="119"/>
        <v>0</v>
      </c>
      <c r="EY80" s="500" t="b">
        <f t="shared" si="120"/>
        <v>0</v>
      </c>
      <c r="EZ80" s="500" t="b">
        <f t="shared" si="121"/>
        <v>0</v>
      </c>
      <c r="FA80" s="500" t="b">
        <f t="shared" si="122"/>
        <v>0</v>
      </c>
      <c r="FB80" s="500" t="b">
        <f t="shared" si="123"/>
        <v>0</v>
      </c>
      <c r="FC80" s="500" t="b">
        <f t="shared" si="124"/>
        <v>0</v>
      </c>
      <c r="FD80" s="500" t="b">
        <f t="shared" si="125"/>
        <v>0</v>
      </c>
      <c r="FE80" s="500" t="b">
        <f t="shared" si="126"/>
        <v>0</v>
      </c>
      <c r="FF80" s="500" t="b">
        <f t="shared" si="127"/>
        <v>0</v>
      </c>
      <c r="FG80" s="500" t="b">
        <f t="shared" si="128"/>
        <v>0</v>
      </c>
      <c r="FI80" s="611">
        <f t="shared" si="129"/>
        <v>0</v>
      </c>
      <c r="FJ80" s="611">
        <f t="shared" si="130"/>
        <v>0</v>
      </c>
      <c r="FK80" s="611">
        <f t="shared" si="69"/>
        <v>0</v>
      </c>
      <c r="FL80" s="612"/>
      <c r="FM80" s="613">
        <f t="shared" si="131"/>
        <v>0</v>
      </c>
      <c r="FN80" s="613">
        <f t="shared" si="132"/>
        <v>0</v>
      </c>
      <c r="FO80" s="613">
        <f t="shared" si="133"/>
        <v>0</v>
      </c>
      <c r="FP80" s="613">
        <f t="shared" si="134"/>
        <v>0</v>
      </c>
      <c r="FQ80" s="613">
        <f t="shared" si="135"/>
        <v>0</v>
      </c>
      <c r="FR80" s="613">
        <f t="shared" si="136"/>
        <v>0</v>
      </c>
      <c r="FS80" s="613">
        <f t="shared" si="137"/>
        <v>0</v>
      </c>
      <c r="FT80" s="613">
        <f t="shared" si="138"/>
        <v>0</v>
      </c>
      <c r="FU80" s="613">
        <f t="shared" si="139"/>
        <v>0</v>
      </c>
      <c r="FV80" s="613">
        <f t="shared" si="140"/>
        <v>0</v>
      </c>
      <c r="FW80" s="613">
        <f t="shared" si="141"/>
        <v>0</v>
      </c>
      <c r="FX80" s="613">
        <f t="shared" si="142"/>
        <v>0</v>
      </c>
      <c r="FZ80" s="500" t="s">
        <v>850</v>
      </c>
      <c r="GA80" s="500"/>
      <c r="HD80" s="593" t="b">
        <f>AND(ISBLANK(BD83),OR(ISNUMBER(BI83),ISTEXT(BK83)))</f>
        <v>0</v>
      </c>
      <c r="HE80" s="534"/>
      <c r="HF80" s="534"/>
      <c r="HG80" s="614" t="b">
        <f>AND(ISNUMBER(BD83),ISBLANK(BK83))</f>
        <v>0</v>
      </c>
      <c r="HN80" s="635" t="s">
        <v>755</v>
      </c>
      <c r="HO80" s="500" t="s">
        <v>756</v>
      </c>
      <c r="HP80" s="642">
        <v>0.05</v>
      </c>
      <c r="HQ80" s="500" t="s">
        <v>757</v>
      </c>
      <c r="HR80" s="500" t="s">
        <v>757</v>
      </c>
      <c r="HS80" s="500" t="s">
        <v>757</v>
      </c>
      <c r="HT80" s="500" t="s">
        <v>757</v>
      </c>
      <c r="HU80" s="500" t="s">
        <v>757</v>
      </c>
      <c r="HV80" s="500" t="s">
        <v>757</v>
      </c>
      <c r="HW80" s="500" t="s">
        <v>757</v>
      </c>
      <c r="HX80" s="500" t="s">
        <v>757</v>
      </c>
      <c r="HY80" s="500" t="s">
        <v>757</v>
      </c>
      <c r="HZ80" s="500" t="s">
        <v>757</v>
      </c>
      <c r="IA80" s="500" t="s">
        <v>757</v>
      </c>
      <c r="IB80" s="500" t="s">
        <v>757</v>
      </c>
      <c r="ID80" s="514" t="s">
        <v>881</v>
      </c>
      <c r="IE80" s="500" t="s">
        <v>756</v>
      </c>
      <c r="IF80" s="711">
        <v>100</v>
      </c>
      <c r="IG80" s="503" t="s">
        <v>887</v>
      </c>
      <c r="IH80" s="503" t="s">
        <v>887</v>
      </c>
      <c r="II80" s="503" t="s">
        <v>887</v>
      </c>
      <c r="IJ80" s="503" t="s">
        <v>887</v>
      </c>
      <c r="IU80" s="498"/>
      <c r="IV80" s="635" t="s">
        <v>716</v>
      </c>
      <c r="IW80" s="604" t="e">
        <f>IF(IW79&lt;CY23,CY23,IW79)</f>
        <v>#N/A</v>
      </c>
      <c r="MC80" s="650">
        <f>SUM(MC78:MC79)</f>
        <v>1</v>
      </c>
      <c r="ME80" s="650" t="e">
        <f>SUM(ME78:ME79)</f>
        <v>#DIV/0!</v>
      </c>
      <c r="MG80" s="650">
        <f>SUM(MG78:MG79)</f>
        <v>1</v>
      </c>
      <c r="MM80" s="543"/>
    </row>
    <row r="81" spans="1:351" ht="11.25" customHeight="1" thickBot="1">
      <c r="A81" s="577"/>
      <c r="B81" s="1138"/>
      <c r="C81" s="1104"/>
      <c r="D81" s="1104"/>
      <c r="E81" s="1104"/>
      <c r="F81" s="1104"/>
      <c r="G81" s="1104"/>
      <c r="H81" s="775"/>
      <c r="I81" s="775"/>
      <c r="J81" s="775"/>
      <c r="K81" s="775"/>
      <c r="L81" s="775"/>
      <c r="M81" s="775"/>
      <c r="N81" s="775"/>
      <c r="O81" s="775"/>
      <c r="P81" s="775"/>
      <c r="Q81" s="775"/>
      <c r="R81" s="775"/>
      <c r="S81" s="775"/>
      <c r="T81" s="777"/>
      <c r="U81" s="577"/>
      <c r="V81" s="562"/>
      <c r="W81" s="577"/>
      <c r="X81" s="526"/>
      <c r="Y81" s="526"/>
      <c r="Z81" s="526"/>
      <c r="AA81" s="526"/>
      <c r="AB81" s="526"/>
      <c r="AC81" s="526"/>
      <c r="AD81" s="526"/>
      <c r="AE81" s="504"/>
      <c r="AF81" s="504"/>
      <c r="AG81" s="504"/>
      <c r="AH81" s="516"/>
      <c r="AI81" s="651"/>
      <c r="AJ81" s="621"/>
      <c r="AK81" s="621"/>
      <c r="AL81" s="621"/>
      <c r="AM81" s="621"/>
      <c r="AN81" s="621"/>
      <c r="AO81" s="621"/>
      <c r="AP81" s="621"/>
      <c r="AQ81" s="621"/>
      <c r="AR81" s="621"/>
      <c r="AS81" s="621"/>
      <c r="AT81" s="621"/>
      <c r="AU81" s="577"/>
      <c r="AW81" s="577"/>
      <c r="AX81" s="802"/>
      <c r="AY81" s="802"/>
      <c r="AZ81" s="802"/>
      <c r="BA81" s="802"/>
      <c r="BB81" s="802"/>
      <c r="BC81" s="802"/>
      <c r="BD81" s="805"/>
      <c r="BE81" s="1071"/>
      <c r="BF81" s="806"/>
      <c r="BG81" s="807"/>
      <c r="BH81" s="807"/>
      <c r="BI81" s="810"/>
      <c r="BJ81" s="802"/>
      <c r="BK81" s="805"/>
      <c r="BL81" s="802"/>
      <c r="BM81" s="809"/>
      <c r="BN81" s="822"/>
      <c r="BO81" s="813"/>
      <c r="BP81" s="802"/>
      <c r="BQ81" s="808"/>
      <c r="BR81" s="577"/>
      <c r="CJ81" s="577"/>
      <c r="CK81" s="858" t="s">
        <v>871</v>
      </c>
      <c r="CL81" s="877"/>
      <c r="CM81" s="515" t="s">
        <v>1046</v>
      </c>
      <c r="CN81" s="877"/>
      <c r="CO81" s="877"/>
      <c r="CP81" s="877"/>
      <c r="CQ81" s="877"/>
      <c r="CR81" s="877"/>
      <c r="CS81" s="877"/>
      <c r="CT81" s="877"/>
      <c r="CU81" s="877"/>
      <c r="CV81" s="877"/>
      <c r="CW81" s="877"/>
      <c r="CX81" s="877"/>
      <c r="CY81" s="877"/>
      <c r="CZ81" s="877"/>
      <c r="DA81" s="877"/>
      <c r="DB81" s="877"/>
      <c r="DC81" s="877"/>
      <c r="DD81" s="577"/>
      <c r="DE81" s="562"/>
      <c r="EA81" s="562"/>
      <c r="EB81" s="562"/>
      <c r="EC81" s="562"/>
      <c r="ED81" s="562"/>
      <c r="EE81" s="562"/>
      <c r="EF81" s="562"/>
      <c r="EG81" s="562"/>
      <c r="EH81" s="562"/>
      <c r="EI81" s="562"/>
      <c r="EJ81" s="562"/>
      <c r="EK81" s="562"/>
      <c r="EL81" s="562"/>
      <c r="EM81" s="562"/>
      <c r="EN81" s="562"/>
      <c r="EO81" s="562"/>
      <c r="EP81" s="562"/>
      <c r="EQ81" s="562"/>
      <c r="ES81" s="543"/>
      <c r="EV81" s="509" t="s">
        <v>561</v>
      </c>
      <c r="EW81" s="509"/>
      <c r="GF81" s="536" t="s">
        <v>653</v>
      </c>
      <c r="HD81" s="593" t="b">
        <f>AND(ISBLANK(BD84),OR(ISNUMBER(BI84),ISTEXT(BK84)))</f>
        <v>0</v>
      </c>
      <c r="HE81" s="534"/>
      <c r="HF81" s="534"/>
      <c r="HG81" s="614" t="b">
        <f>AND(ISNUMBER(BD84),ISBLANK(BK84))</f>
        <v>0</v>
      </c>
      <c r="HN81" s="635" t="s">
        <v>747</v>
      </c>
      <c r="HO81" s="500" t="s">
        <v>754</v>
      </c>
      <c r="HP81" s="642">
        <v>0.05</v>
      </c>
      <c r="HQ81" s="500" t="s">
        <v>757</v>
      </c>
      <c r="HR81" s="500" t="s">
        <v>757</v>
      </c>
      <c r="HS81" s="500" t="s">
        <v>757</v>
      </c>
      <c r="HT81" s="500" t="s">
        <v>757</v>
      </c>
      <c r="HU81" s="500" t="s">
        <v>757</v>
      </c>
      <c r="HV81" s="500" t="s">
        <v>757</v>
      </c>
      <c r="HW81" s="500" t="s">
        <v>757</v>
      </c>
      <c r="HX81" s="911">
        <f>IF(HX79&gt;$HX$65,$HX$74,$HX$73)</f>
        <v>5</v>
      </c>
      <c r="HY81" s="652">
        <f>HY73+((HX73-HY73)*((HY$79-HY$65)/0.5))</f>
        <v>3.4</v>
      </c>
      <c r="HZ81" s="652">
        <f>HZ73+((HY73-HZ73)*((HZ$79-HZ$65)/0.5))</f>
        <v>2.2000000000000002</v>
      </c>
      <c r="IA81" s="652">
        <f>IA73+((HZ73-IA73)*((IA$79-IA$65)/0.5))</f>
        <v>1.3</v>
      </c>
      <c r="IB81" s="566">
        <f>IB73+((IA73-IB73)*((IB$79-IB$65)/1))</f>
        <v>0.3</v>
      </c>
      <c r="ID81" s="514" t="s">
        <v>882</v>
      </c>
      <c r="IE81" s="500" t="s">
        <v>754</v>
      </c>
      <c r="IF81" s="604">
        <v>2.5</v>
      </c>
      <c r="IG81" s="503" t="s">
        <v>888</v>
      </c>
      <c r="IH81" s="503" t="s">
        <v>891</v>
      </c>
      <c r="II81" s="503" t="s">
        <v>887</v>
      </c>
      <c r="IJ81" s="503" t="s">
        <v>887</v>
      </c>
      <c r="IU81" s="498"/>
      <c r="IV81" s="524"/>
      <c r="MM81" s="543"/>
    </row>
    <row r="82" spans="1:351" ht="11.25" customHeight="1" thickBot="1">
      <c r="A82" s="577"/>
      <c r="B82" s="880" t="s">
        <v>1038</v>
      </c>
      <c r="C82" s="881"/>
      <c r="D82" s="881"/>
      <c r="E82" s="881"/>
      <c r="F82" s="881"/>
      <c r="G82" s="881"/>
      <c r="H82" s="881"/>
      <c r="I82" s="881"/>
      <c r="J82" s="881"/>
      <c r="K82" s="881"/>
      <c r="L82" s="881"/>
      <c r="M82" s="881"/>
      <c r="N82" s="881"/>
      <c r="O82" s="881"/>
      <c r="P82" s="881"/>
      <c r="Q82" s="881"/>
      <c r="R82" s="881"/>
      <c r="S82" s="881"/>
      <c r="T82" s="882"/>
      <c r="U82" s="577"/>
      <c r="V82" s="562"/>
      <c r="W82" s="577"/>
      <c r="X82" s="851" t="s">
        <v>583</v>
      </c>
      <c r="Y82" s="623"/>
      <c r="Z82" s="623"/>
      <c r="AA82" s="623"/>
      <c r="AB82" s="623"/>
      <c r="AC82" s="623"/>
      <c r="AD82" s="623"/>
      <c r="AE82" s="504"/>
      <c r="AF82" s="504"/>
      <c r="AG82" s="504"/>
      <c r="AH82" s="516"/>
      <c r="AI82" s="602" t="s">
        <v>560</v>
      </c>
      <c r="AJ82" s="621"/>
      <c r="AK82" s="621"/>
      <c r="AL82" s="621"/>
      <c r="AM82" s="621"/>
      <c r="AN82" s="621"/>
      <c r="AO82" s="621"/>
      <c r="AP82" s="621"/>
      <c r="AQ82" s="621"/>
      <c r="AR82" s="621"/>
      <c r="AS82" s="621"/>
      <c r="AT82" s="621"/>
      <c r="AU82" s="577"/>
      <c r="AW82" s="577"/>
      <c r="AX82" s="802" t="s">
        <v>789</v>
      </c>
      <c r="AY82" s="802"/>
      <c r="AZ82" s="802" t="str">
        <f>MID(AX41,9,FIND("(",AX41,1)-10)</f>
        <v>Existing roof construction</v>
      </c>
      <c r="BA82" s="802"/>
      <c r="BB82" s="802"/>
      <c r="BC82" s="802"/>
      <c r="BD82" s="727"/>
      <c r="BE82" s="1071"/>
      <c r="BF82" s="811" t="str">
        <f>IF(OR(ISBLANK(BD82),ISBLANK(AX42)),"",INDEX(BC_RoofValues,MATCH(AX42,BC_RoofConst,0),6))</f>
        <v/>
      </c>
      <c r="BG82" s="807"/>
      <c r="BH82" s="807"/>
      <c r="BI82" s="732"/>
      <c r="BJ82" s="802"/>
      <c r="BK82" s="728"/>
      <c r="BL82" s="802"/>
      <c r="BM82" s="812" t="str">
        <f>IF(OR(ISBLANK(BD82),ISBLANK(AX42)),"",IF(OR(ISBLANK(BK82),BK82=$ET$51),0,INDEX(BC_RoofValues,MATCH(AX42,BC_RoofConst,0),3)))</f>
        <v/>
      </c>
      <c r="BN82" s="1059" t="str">
        <f>IF(OR(ISBLANK(BD82),OR(BF82="",BM82="")),"",IF((BD82-BF82-BI82+BM82)&lt;0,$ET$17,BD82-BF82-BI82+BM82))</f>
        <v/>
      </c>
      <c r="BO82" s="1060"/>
      <c r="BP82" s="1045" t="str">
        <f>IF(BK71="","",IF(OR(ISBLANK(BD82),BN82=""),"",IF(ISBLANK($BK$71),$ET$17,IF(BN82=$ET$17,$ET$17,IF(BN82&gt;6,$ET$32,INDEX(BC_InsValue4,MATCH($BK$71,BC_PenRange4,-1),MATCH(BN82,BC_InsRange4,0),1))))))</f>
        <v/>
      </c>
      <c r="BQ82" s="1046"/>
      <c r="BR82" s="577"/>
      <c r="CJ82" s="577"/>
      <c r="CK82" s="858" t="s">
        <v>872</v>
      </c>
      <c r="CL82" s="877"/>
      <c r="CM82" s="1047" t="s">
        <v>1047</v>
      </c>
      <c r="CN82" s="1047"/>
      <c r="CO82" s="1047"/>
      <c r="CP82" s="1047"/>
      <c r="CQ82" s="1047"/>
      <c r="CR82" s="1047"/>
      <c r="CS82" s="1047"/>
      <c r="CT82" s="1047"/>
      <c r="CU82" s="1047"/>
      <c r="CV82" s="1047"/>
      <c r="CW82" s="1047"/>
      <c r="CX82" s="1047"/>
      <c r="CY82" s="1047"/>
      <c r="CZ82" s="1047"/>
      <c r="DA82" s="1047"/>
      <c r="DB82" s="1047"/>
      <c r="DC82" s="1047"/>
      <c r="DD82" s="577"/>
      <c r="DE82" s="562"/>
      <c r="EA82" s="562"/>
      <c r="EB82" s="562"/>
      <c r="EC82" s="562"/>
      <c r="ED82" s="562"/>
      <c r="EE82" s="562"/>
      <c r="EF82" s="562"/>
      <c r="EG82" s="562"/>
      <c r="EH82" s="562"/>
      <c r="EI82" s="562"/>
      <c r="EJ82" s="562"/>
      <c r="EK82" s="562"/>
      <c r="EL82" s="562"/>
      <c r="EM82" s="562"/>
      <c r="EN82" s="562"/>
      <c r="EO82" s="562"/>
      <c r="EP82" s="562"/>
      <c r="EQ82" s="562"/>
      <c r="ES82" s="543"/>
      <c r="EV82" s="653">
        <f>COUNTIF(EV29:EV80,TRUE())</f>
        <v>0</v>
      </c>
      <c r="EW82" s="653">
        <f>COUNTIF(EW29:EW80,TRUE())</f>
        <v>0</v>
      </c>
      <c r="EX82" s="653">
        <f t="shared" ref="EX82:FG82" si="145">COUNTIF(EX29:EX80,TRUE())</f>
        <v>0</v>
      </c>
      <c r="EY82" s="653">
        <f t="shared" si="145"/>
        <v>0</v>
      </c>
      <c r="EZ82" s="653">
        <f t="shared" si="145"/>
        <v>0</v>
      </c>
      <c r="FA82" s="653">
        <f t="shared" si="145"/>
        <v>0</v>
      </c>
      <c r="FB82" s="653">
        <f t="shared" si="145"/>
        <v>0</v>
      </c>
      <c r="FC82" s="653">
        <f t="shared" si="145"/>
        <v>0</v>
      </c>
      <c r="FD82" s="653">
        <f t="shared" si="145"/>
        <v>0</v>
      </c>
      <c r="FE82" s="653">
        <f t="shared" si="145"/>
        <v>0</v>
      </c>
      <c r="FF82" s="653">
        <f t="shared" si="145"/>
        <v>0</v>
      </c>
      <c r="FG82" s="653">
        <f t="shared" si="145"/>
        <v>0</v>
      </c>
      <c r="FL82" s="578" t="s">
        <v>417</v>
      </c>
      <c r="FM82" s="654">
        <f>SUM(FM29:FM80)</f>
        <v>0</v>
      </c>
      <c r="FN82" s="654">
        <f t="shared" ref="FN82:FX82" si="146">SUM(FN29:FN80)</f>
        <v>0</v>
      </c>
      <c r="FO82" s="654">
        <f t="shared" si="146"/>
        <v>0</v>
      </c>
      <c r="FP82" s="654">
        <f t="shared" si="146"/>
        <v>0</v>
      </c>
      <c r="FQ82" s="654">
        <f t="shared" si="146"/>
        <v>0</v>
      </c>
      <c r="FR82" s="654">
        <f t="shared" si="146"/>
        <v>0</v>
      </c>
      <c r="FS82" s="654">
        <f t="shared" si="146"/>
        <v>0</v>
      </c>
      <c r="FT82" s="654">
        <f t="shared" si="146"/>
        <v>0</v>
      </c>
      <c r="FU82" s="654">
        <f t="shared" si="146"/>
        <v>0</v>
      </c>
      <c r="FV82" s="654">
        <f t="shared" si="146"/>
        <v>0</v>
      </c>
      <c r="FW82" s="654">
        <f t="shared" si="146"/>
        <v>0</v>
      </c>
      <c r="FX82" s="654">
        <f t="shared" si="146"/>
        <v>0</v>
      </c>
      <c r="FZ82" s="509" t="s">
        <v>983</v>
      </c>
      <c r="GF82" s="500" t="s">
        <v>656</v>
      </c>
      <c r="HD82" s="533"/>
      <c r="HE82" s="534"/>
      <c r="HF82" s="534"/>
      <c r="HG82" s="535"/>
      <c r="HN82" s="635" t="s">
        <v>752</v>
      </c>
      <c r="HO82" s="500" t="s">
        <v>754</v>
      </c>
      <c r="HP82" s="642">
        <v>0.04</v>
      </c>
      <c r="HQ82" s="500" t="s">
        <v>757</v>
      </c>
      <c r="HR82" s="563" t="s">
        <v>757</v>
      </c>
      <c r="HS82" s="563" t="s">
        <v>757</v>
      </c>
      <c r="HT82" s="563" t="s">
        <v>757</v>
      </c>
      <c r="HU82" s="563" t="s">
        <v>757</v>
      </c>
      <c r="HV82" s="563" t="s">
        <v>757</v>
      </c>
      <c r="HW82" s="911">
        <f>IF(HW79&gt;$HW$65,$HW$74,$HW$72)</f>
        <v>5.7</v>
      </c>
      <c r="HX82" s="652">
        <f>HX72+((HW72-HX72)*((HX$79-HX$65)/0.5))</f>
        <v>4.2</v>
      </c>
      <c r="HY82" s="652">
        <f>HY72+((HX72-HY72)*((HY$79-HY$65)/0.5))</f>
        <v>3</v>
      </c>
      <c r="HZ82" s="652">
        <f>HZ72+((HY72-HZ72)*((HZ$79-HZ$65)/0.5))</f>
        <v>2</v>
      </c>
      <c r="IA82" s="652">
        <f>IA72+((HZ72-IA72)*((IA$79-IA$65)/0.5))</f>
        <v>1.2</v>
      </c>
      <c r="IB82" s="566">
        <f>IB72+((IA72-IB72)*((IB$79-IB$65)/1))</f>
        <v>0.2</v>
      </c>
      <c r="ID82" s="514" t="s">
        <v>883</v>
      </c>
      <c r="IE82" s="500" t="s">
        <v>754</v>
      </c>
      <c r="IF82" s="604">
        <v>1</v>
      </c>
      <c r="IG82" s="503" t="s">
        <v>889</v>
      </c>
      <c r="IH82" s="503" t="s">
        <v>892</v>
      </c>
      <c r="II82" s="503" t="s">
        <v>893</v>
      </c>
      <c r="IJ82" s="503" t="s">
        <v>887</v>
      </c>
      <c r="LX82" s="509"/>
      <c r="LY82" s="509"/>
      <c r="LZ82" s="509"/>
      <c r="MA82" s="509"/>
      <c r="MB82" s="509"/>
      <c r="MC82" s="655">
        <f>IF($AC$85=0,100%,(MC70*$MC$78)+(ME70*$MC$79))</f>
        <v>1</v>
      </c>
      <c r="MD82" s="655">
        <f>IF($AC$85=0,100%,(MD70*$MC$78)+(MF70*$MC$79))</f>
        <v>1</v>
      </c>
      <c r="ME82" s="656"/>
      <c r="MF82" s="657"/>
      <c r="MG82" s="655" t="e">
        <f>(MC70*$MG$78)+(ME70*$MG$79)</f>
        <v>#DIV/0!</v>
      </c>
      <c r="MH82" s="655" t="e">
        <f>(MD70*$MG$78)+(MF70*$MG$79)</f>
        <v>#N/A</v>
      </c>
      <c r="MM82" s="543"/>
    </row>
    <row r="83" spans="1:351" ht="11.25" customHeight="1" thickBot="1">
      <c r="A83" s="543"/>
      <c r="B83" s="543"/>
      <c r="C83" s="543"/>
      <c r="D83" s="543"/>
      <c r="E83" s="543"/>
      <c r="F83" s="543"/>
      <c r="G83" s="543"/>
      <c r="H83" s="543"/>
      <c r="I83" s="543"/>
      <c r="J83" s="543"/>
      <c r="K83" s="543"/>
      <c r="L83" s="543"/>
      <c r="M83" s="543"/>
      <c r="N83" s="543"/>
      <c r="O83" s="543"/>
      <c r="P83" s="543"/>
      <c r="Q83" s="543"/>
      <c r="R83" s="543"/>
      <c r="S83" s="543"/>
      <c r="T83" s="543"/>
      <c r="U83" s="543"/>
      <c r="V83" s="562"/>
      <c r="W83" s="577"/>
      <c r="X83" s="852" t="s">
        <v>977</v>
      </c>
      <c r="Y83" s="853"/>
      <c r="Z83" s="526"/>
      <c r="AA83" s="526"/>
      <c r="AB83" s="526"/>
      <c r="AC83" s="526"/>
      <c r="AD83" s="526"/>
      <c r="AE83" s="504"/>
      <c r="AF83" s="504"/>
      <c r="AG83" s="504"/>
      <c r="AH83" s="574" t="s">
        <v>978</v>
      </c>
      <c r="AI83" s="658" t="str">
        <f>IF($FG$83&gt;0,$ET$17,IF(OR(FM24=1,FM24=2),$ET$17,IF(AND(FM24=3,FM87&gt;0),$ET$17,IF(AND(FM24=0,FM87=0),$ET$17,IF(AND(FM24=3,FM87=0),"",FM82)))))</f>
        <v/>
      </c>
      <c r="AJ83" s="658" t="str">
        <f t="shared" ref="AJ83:AT83" si="147">IF($FG$83&gt;0,$ET$17,IF(OR(FN24=1,FN24=2),$ET$17,IF(AND(FN24=3,FN87&gt;0),$ET$17,IF(AND(FN24=0,FN87=0),$ET$17,IF(AND(FN24=3,FN87=0),"",FN82)))))</f>
        <v/>
      </c>
      <c r="AK83" s="658" t="str">
        <f t="shared" si="147"/>
        <v/>
      </c>
      <c r="AL83" s="658" t="str">
        <f t="shared" si="147"/>
        <v/>
      </c>
      <c r="AM83" s="658" t="str">
        <f t="shared" si="147"/>
        <v/>
      </c>
      <c r="AN83" s="658" t="str">
        <f t="shared" si="147"/>
        <v/>
      </c>
      <c r="AO83" s="658" t="str">
        <f t="shared" si="147"/>
        <v/>
      </c>
      <c r="AP83" s="658" t="str">
        <f t="shared" si="147"/>
        <v/>
      </c>
      <c r="AQ83" s="658" t="str">
        <f t="shared" si="147"/>
        <v/>
      </c>
      <c r="AR83" s="658" t="str">
        <f t="shared" si="147"/>
        <v/>
      </c>
      <c r="AS83" s="658" t="str">
        <f t="shared" si="147"/>
        <v/>
      </c>
      <c r="AT83" s="658" t="str">
        <f t="shared" si="147"/>
        <v/>
      </c>
      <c r="AU83" s="577"/>
      <c r="AW83" s="577"/>
      <c r="AX83" s="802" t="s">
        <v>786</v>
      </c>
      <c r="AY83" s="802"/>
      <c r="AZ83" s="802" t="str">
        <f>MID(AY45,10,30)</f>
        <v>Alteration to existing roof</v>
      </c>
      <c r="BA83" s="802"/>
      <c r="BB83" s="802"/>
      <c r="BC83" s="802"/>
      <c r="BD83" s="727"/>
      <c r="BE83" s="1071"/>
      <c r="BF83" s="811" t="str">
        <f>IF(OR(ISBLANK(BD83),OR(ISBLANK(AX42),AY48=$ET$17)),"",MID(AY48,FIND("R",AY48,1)+1,5))</f>
        <v/>
      </c>
      <c r="BG83" s="807"/>
      <c r="BH83" s="807"/>
      <c r="BI83" s="732"/>
      <c r="BJ83" s="802"/>
      <c r="BK83" s="728"/>
      <c r="BL83" s="802"/>
      <c r="BM83" s="812" t="str">
        <f>IF(OR(ISBLANK(BD83),ISBLANK(AX42)),"",IF(OR(ISBLANK(BK83),BK83=$ET$51),0,INDEX(BC_RoofValues,MATCH(MID(AY48,1,FIND("R",AY48,1)-2),BC_RoofConst,0),3)))</f>
        <v/>
      </c>
      <c r="BN83" s="1059" t="str">
        <f>IF(OR(ISBLANK(BD83),OR(BF83="",BM83="")),"",IF((BD83-BF83-BI83+BM83)&lt;0,$ET$17,BD83-BF83-BI83+BM83))</f>
        <v/>
      </c>
      <c r="BO83" s="1060"/>
      <c r="BP83" s="1148" t="str">
        <f>IF(BK71="","",IF(OR(ISBLANK(BD83),BN83=""),"",IF(ISBLANK($BK$71),$ET$17,IF(BN83=$ET$17,$ET$17,IF(BN83&gt;6,$ET$32,INDEX(BC_InsValue5,MATCH($BK$71,BC_PenRange5,-1),MATCH(BN83,BC_InsRange5,0),1))))))</f>
        <v/>
      </c>
      <c r="BQ83" s="1149"/>
      <c r="BR83" s="577"/>
      <c r="CJ83" s="577"/>
      <c r="CK83" s="877"/>
      <c r="CL83" s="877"/>
      <c r="CM83" s="1047"/>
      <c r="CN83" s="1047"/>
      <c r="CO83" s="1047"/>
      <c r="CP83" s="1047"/>
      <c r="CQ83" s="1047"/>
      <c r="CR83" s="1047"/>
      <c r="CS83" s="1047"/>
      <c r="CT83" s="1047"/>
      <c r="CU83" s="1047"/>
      <c r="CV83" s="1047"/>
      <c r="CW83" s="1047"/>
      <c r="CX83" s="1047"/>
      <c r="CY83" s="1047"/>
      <c r="CZ83" s="1047"/>
      <c r="DA83" s="1047"/>
      <c r="DB83" s="1047"/>
      <c r="DC83" s="1047"/>
      <c r="DD83" s="577"/>
      <c r="DE83" s="562"/>
      <c r="EA83" s="562"/>
      <c r="EB83" s="562"/>
      <c r="EC83" s="562"/>
      <c r="ED83" s="562"/>
      <c r="EE83" s="562"/>
      <c r="EF83" s="562"/>
      <c r="EG83" s="562"/>
      <c r="EH83" s="562"/>
      <c r="EI83" s="562"/>
      <c r="EJ83" s="562"/>
      <c r="EK83" s="562"/>
      <c r="EL83" s="562"/>
      <c r="EM83" s="562"/>
      <c r="EN83" s="562"/>
      <c r="EO83" s="562"/>
      <c r="EP83" s="562"/>
      <c r="ES83" s="543"/>
      <c r="FD83" s="578" t="s">
        <v>804</v>
      </c>
      <c r="FE83" s="578"/>
      <c r="FF83" s="578"/>
      <c r="FG83" s="586">
        <f>SUM(EV82:FG82)</f>
        <v>0</v>
      </c>
      <c r="FZ83" s="500" t="s">
        <v>984</v>
      </c>
      <c r="GA83" s="500"/>
      <c r="GB83" s="500"/>
      <c r="GC83" s="500"/>
      <c r="GF83" s="500" t="s">
        <v>657</v>
      </c>
      <c r="HD83" s="593" t="b">
        <f>AND(ISBLANK(BD86),OR(ISNUMBER(BI86),ISTEXT(BK86)))</f>
        <v>0</v>
      </c>
      <c r="HE83" s="534"/>
      <c r="HF83" s="534"/>
      <c r="HG83" s="614" t="b">
        <f>AND(ISNUMBER(BD86),ISBLANK(BK86))</f>
        <v>0</v>
      </c>
      <c r="HN83" s="635" t="s">
        <v>751</v>
      </c>
      <c r="HO83" s="500" t="s">
        <v>754</v>
      </c>
      <c r="HP83" s="642">
        <v>0.03</v>
      </c>
      <c r="HQ83" s="500" t="s">
        <v>757</v>
      </c>
      <c r="HR83" s="563" t="s">
        <v>757</v>
      </c>
      <c r="HS83" s="563" t="s">
        <v>757</v>
      </c>
      <c r="HT83" s="563" t="s">
        <v>757</v>
      </c>
      <c r="HU83" s="563" t="s">
        <v>757</v>
      </c>
      <c r="HV83" s="911">
        <f>IF(HV79&gt;$HV$65,$HV$74,$HV$71)</f>
        <v>5.9</v>
      </c>
      <c r="HW83" s="652">
        <f t="shared" ref="HW83:IA83" si="148">HW71+((HV71-HW71)*((HW$79-HW$65)/0.5))</f>
        <v>4.5999999999999996</v>
      </c>
      <c r="HX83" s="652">
        <f t="shared" si="148"/>
        <v>3.6</v>
      </c>
      <c r="HY83" s="652">
        <f t="shared" si="148"/>
        <v>2.6</v>
      </c>
      <c r="HZ83" s="652">
        <f t="shared" si="148"/>
        <v>1.9</v>
      </c>
      <c r="IA83" s="652">
        <f t="shared" si="148"/>
        <v>1.2</v>
      </c>
      <c r="IB83" s="566">
        <f>IB71+((IA71-IB71)*((IB$79-IB$65)/1))</f>
        <v>0.2</v>
      </c>
      <c r="ID83" s="514" t="s">
        <v>884</v>
      </c>
      <c r="IE83" s="500" t="s">
        <v>754</v>
      </c>
      <c r="IF83" s="604">
        <v>0.5</v>
      </c>
      <c r="IG83" s="503" t="s">
        <v>890</v>
      </c>
      <c r="IH83" s="503" t="s">
        <v>889</v>
      </c>
      <c r="II83" s="503" t="s">
        <v>894</v>
      </c>
      <c r="IJ83" s="503" t="s">
        <v>887</v>
      </c>
      <c r="IV83" s="638" t="s">
        <v>832</v>
      </c>
      <c r="LX83" s="498"/>
      <c r="LY83" s="498"/>
      <c r="LZ83" s="498"/>
      <c r="MA83" s="498"/>
      <c r="MB83" s="498"/>
      <c r="MC83" s="659"/>
      <c r="MD83" s="659"/>
      <c r="ME83" s="660" t="e">
        <f>IF(ME79&lt;=10%,MC82,IF(ME79&gt;80%,MG82,MC82-((MC82-MG82)*((ME79-10%)*(100/70)))))</f>
        <v>#DIV/0!</v>
      </c>
      <c r="MF83" s="660" t="e">
        <f>IF(ME79&lt;=10%,MD82,IF(ME79&gt;80%,MH82,MD82-((MD82-MH82)*((ME79-10%)*(100/70)))))</f>
        <v>#DIV/0!</v>
      </c>
      <c r="MG83" s="657"/>
      <c r="MH83" s="657"/>
      <c r="MM83" s="543"/>
    </row>
    <row r="84" spans="1:351" ht="11.25" customHeight="1" thickBot="1">
      <c r="A84" s="543"/>
      <c r="B84" s="740"/>
      <c r="C84" s="740"/>
      <c r="D84" s="741" t="s">
        <v>874</v>
      </c>
      <c r="E84" s="741"/>
      <c r="F84" s="741"/>
      <c r="G84" s="741"/>
      <c r="H84" s="740"/>
      <c r="I84" s="740"/>
      <c r="J84" s="741"/>
      <c r="K84" s="741"/>
      <c r="L84" s="741"/>
      <c r="M84" s="741"/>
      <c r="N84" s="741"/>
      <c r="O84" s="741"/>
      <c r="P84" s="741"/>
      <c r="Q84" s="741"/>
      <c r="R84" s="741"/>
      <c r="S84" s="741"/>
      <c r="T84" s="741"/>
      <c r="U84" s="543"/>
      <c r="V84" s="562"/>
      <c r="W84" s="577"/>
      <c r="X84" s="526"/>
      <c r="Y84" s="526" t="s">
        <v>592</v>
      </c>
      <c r="Z84" s="526"/>
      <c r="AA84" s="526"/>
      <c r="AB84" s="526"/>
      <c r="AC84" s="567">
        <f>LV69-LW69</f>
        <v>0</v>
      </c>
      <c r="AD84" s="526"/>
      <c r="AE84" s="504"/>
      <c r="AF84" s="504"/>
      <c r="AG84" s="504"/>
      <c r="AH84" s="574" t="s">
        <v>574</v>
      </c>
      <c r="AI84" s="661" t="str">
        <f>IF($FG$83&gt;0,$ET$17,IF(OR(FM24=1,FM24=2),$ET$17,IF(AND(FM24=3,FM87&gt;0),$ET$17,IF(AND(FM24=0,FM87=0),$ET$17,IF(AND(FM24=3,FM87=0),"",AI23*AI27)))))</f>
        <v/>
      </c>
      <c r="AJ84" s="661" t="str">
        <f t="shared" ref="AJ84:AT84" si="149">IF($FG$83&gt;0,$ET$17,IF(OR(FN24=1,FN24=2),$ET$17,IF(AND(FN24=3,FN87&gt;0),$ET$17,IF(AND(FN24=0,FN87=0),$ET$17,IF(AND(FN24=3,FN87=0),"",AJ23*AJ27)))))</f>
        <v/>
      </c>
      <c r="AK84" s="661" t="str">
        <f t="shared" si="149"/>
        <v/>
      </c>
      <c r="AL84" s="661" t="str">
        <f t="shared" si="149"/>
        <v/>
      </c>
      <c r="AM84" s="661" t="str">
        <f t="shared" si="149"/>
        <v/>
      </c>
      <c r="AN84" s="661" t="str">
        <f t="shared" si="149"/>
        <v/>
      </c>
      <c r="AO84" s="661" t="str">
        <f t="shared" si="149"/>
        <v/>
      </c>
      <c r="AP84" s="661" t="str">
        <f t="shared" si="149"/>
        <v/>
      </c>
      <c r="AQ84" s="661" t="str">
        <f t="shared" si="149"/>
        <v/>
      </c>
      <c r="AR84" s="661" t="str">
        <f t="shared" si="149"/>
        <v/>
      </c>
      <c r="AS84" s="661" t="str">
        <f t="shared" si="149"/>
        <v/>
      </c>
      <c r="AT84" s="661" t="str">
        <f t="shared" si="149"/>
        <v/>
      </c>
      <c r="AU84" s="577"/>
      <c r="AW84" s="577"/>
      <c r="AX84" s="802" t="s">
        <v>787</v>
      </c>
      <c r="AY84" s="802"/>
      <c r="AZ84" s="802" t="str">
        <f>MID(AY50,10,FIND("(",AY50,1)-11)</f>
        <v>Alteration to existing roof</v>
      </c>
      <c r="BA84" s="802"/>
      <c r="BB84" s="802"/>
      <c r="BC84" s="802"/>
      <c r="BD84" s="727"/>
      <c r="BE84" s="1071"/>
      <c r="BF84" s="811" t="str">
        <f>IF(OR(ISBLANK(BD84),OR(ISBLANK(AX42),AY53=$ET$17)),"",MID(AY53,FIND("R",AY53,1)+1,5))</f>
        <v/>
      </c>
      <c r="BG84" s="807"/>
      <c r="BH84" s="807"/>
      <c r="BI84" s="732"/>
      <c r="BJ84" s="802"/>
      <c r="BK84" s="728"/>
      <c r="BL84" s="802"/>
      <c r="BM84" s="812" t="str">
        <f>IF(OR(ISBLANK(BD84),ISBLANK(AX42)),"",IF(OR(ISBLANK(BK84),BK84=$ET$51),0,INDEX(BC_RoofValues,MATCH(MID(AY53,1,FIND("R",AY53,1)-2),BC_RoofConst,0),3)))</f>
        <v/>
      </c>
      <c r="BN84" s="1059" t="str">
        <f>IF(OR(ISBLANK(BD84),OR(BF84="",BM84="")),"",IF((BD84-BF84-BI84+BM84)&lt;0,$ET$17,BD84-BF84-BI84+BM84))</f>
        <v/>
      </c>
      <c r="BO84" s="1060"/>
      <c r="BP84" s="1148" t="str">
        <f>IF(BK71="","",IF(OR(ISBLANK(BD84),BN84=""),"",IF(ISBLANK($BK$71),$ET$17,IF(BN84=$ET$17,$ET$17,IF(BN84&gt;6,$ET$32,INDEX(BC_InsValue6,MATCH($BK$71,BC_PenRange6,-1),MATCH(BN84,BC_InsRange6,0),1))))))</f>
        <v/>
      </c>
      <c r="BQ84" s="1149"/>
      <c r="BR84" s="577"/>
      <c r="CJ84" s="577"/>
      <c r="CK84" s="823" t="s">
        <v>1010</v>
      </c>
      <c r="CL84" s="621"/>
      <c r="CM84" s="621"/>
      <c r="CN84" s="621"/>
      <c r="CO84" s="621"/>
      <c r="CP84" s="621"/>
      <c r="CQ84" s="621"/>
      <c r="CR84" s="621"/>
      <c r="CS84" s="621"/>
      <c r="CT84" s="621"/>
      <c r="CU84" s="621"/>
      <c r="CV84" s="621"/>
      <c r="CW84" s="621"/>
      <c r="CX84" s="621"/>
      <c r="CY84" s="621"/>
      <c r="CZ84" s="621"/>
      <c r="DA84" s="621"/>
      <c r="DB84" s="621"/>
      <c r="DC84" s="621"/>
      <c r="DD84" s="577"/>
      <c r="DE84" s="562"/>
      <c r="DF84" s="562"/>
      <c r="DG84" s="562"/>
      <c r="DH84" s="562"/>
      <c r="DI84" s="562"/>
      <c r="DJ84" s="562"/>
      <c r="DK84" s="562"/>
      <c r="DL84" s="562"/>
      <c r="DM84" s="562"/>
      <c r="DN84" s="562"/>
      <c r="DO84" s="562"/>
      <c r="DP84" s="562"/>
      <c r="DQ84" s="562"/>
      <c r="DR84" s="562"/>
      <c r="DS84" s="562"/>
      <c r="DT84" s="562"/>
      <c r="DU84" s="562"/>
      <c r="DV84" s="562"/>
      <c r="DW84" s="562"/>
      <c r="DX84" s="562"/>
      <c r="DY84" s="562"/>
      <c r="DZ84" s="562"/>
      <c r="EA84" s="562"/>
      <c r="EB84" s="562"/>
      <c r="EC84" s="562"/>
      <c r="ED84" s="562"/>
      <c r="EE84" s="562"/>
      <c r="EF84" s="562"/>
      <c r="EG84" s="562"/>
      <c r="EH84" s="562"/>
      <c r="EI84" s="562"/>
      <c r="EJ84" s="562"/>
      <c r="EK84" s="562"/>
      <c r="EL84" s="562"/>
      <c r="EM84" s="562"/>
      <c r="EN84" s="562"/>
      <c r="EO84" s="562"/>
      <c r="EP84" s="562"/>
      <c r="ES84" s="543"/>
      <c r="GF84" s="500" t="s">
        <v>658</v>
      </c>
      <c r="HD84" s="625" t="b">
        <f>AND(ISBLANK(BD87),OR(ISNUMBER(BI87),ISTEXT(BK87)))</f>
        <v>0</v>
      </c>
      <c r="HE84" s="622"/>
      <c r="HF84" s="622"/>
      <c r="HG84" s="698" t="b">
        <f>AND(ISNUMBER(BD87),ISBLANK(BK87))</f>
        <v>0</v>
      </c>
      <c r="HN84" s="635" t="s">
        <v>750</v>
      </c>
      <c r="HO84" s="500" t="s">
        <v>754</v>
      </c>
      <c r="HP84" s="642">
        <v>2.5000000000000001E-2</v>
      </c>
      <c r="HQ84" s="500" t="s">
        <v>757</v>
      </c>
      <c r="HR84" s="563" t="s">
        <v>757</v>
      </c>
      <c r="HS84" s="563" t="s">
        <v>757</v>
      </c>
      <c r="HT84" s="563" t="s">
        <v>757</v>
      </c>
      <c r="HU84" s="911">
        <f>IF(HU79&gt;$HU$65,$HU$74,$HU$70)</f>
        <v>6.5</v>
      </c>
      <c r="HV84" s="652">
        <f t="shared" ref="HV84:IA84" si="150">HV70+((HU70-HV70)*((HV$79-HV$65)/0.5))</f>
        <v>5.3</v>
      </c>
      <c r="HW84" s="652">
        <f t="shared" si="150"/>
        <v>4.2</v>
      </c>
      <c r="HX84" s="652">
        <f t="shared" si="150"/>
        <v>3.3</v>
      </c>
      <c r="HY84" s="652">
        <f t="shared" si="150"/>
        <v>2.5</v>
      </c>
      <c r="HZ84" s="652">
        <f t="shared" si="150"/>
        <v>1.8</v>
      </c>
      <c r="IA84" s="652">
        <f t="shared" si="150"/>
        <v>1.1000000000000001</v>
      </c>
      <c r="IB84" s="566">
        <f>IB70+((IA70-IB70)*((IB$79-IB$65)/1))</f>
        <v>0.1</v>
      </c>
      <c r="IF84" s="509" t="s">
        <v>918</v>
      </c>
      <c r="IV84" s="503" t="s">
        <v>491</v>
      </c>
      <c r="IW84" s="499" t="e">
        <f>IW66</f>
        <v>#N/A</v>
      </c>
      <c r="IX84" s="509" t="s">
        <v>841</v>
      </c>
      <c r="MM84" s="543"/>
    </row>
    <row r="85" spans="1:351" ht="11.25" customHeight="1" thickBot="1">
      <c r="A85" s="543"/>
      <c r="B85" s="742" t="s">
        <v>380</v>
      </c>
      <c r="C85" s="743"/>
      <c r="D85" s="1150" t="s">
        <v>1097</v>
      </c>
      <c r="E85" s="1150"/>
      <c r="F85" s="743"/>
      <c r="G85" s="743"/>
      <c r="H85" s="743"/>
      <c r="I85" s="743"/>
      <c r="J85" s="744"/>
      <c r="K85" s="744"/>
      <c r="L85" s="744"/>
      <c r="M85" s="745"/>
      <c r="N85" s="745"/>
      <c r="O85" s="745"/>
      <c r="P85" s="745"/>
      <c r="Q85" s="745"/>
      <c r="R85" s="745"/>
      <c r="S85" s="745"/>
      <c r="T85" s="745"/>
      <c r="U85" s="543"/>
      <c r="V85" s="562"/>
      <c r="W85" s="577"/>
      <c r="X85" s="526"/>
      <c r="Y85" s="526" t="s">
        <v>593</v>
      </c>
      <c r="Z85" s="526"/>
      <c r="AA85" s="526"/>
      <c r="AB85" s="526"/>
      <c r="AC85" s="567">
        <f>LW69</f>
        <v>0</v>
      </c>
      <c r="AD85" s="526"/>
      <c r="AE85" s="504"/>
      <c r="AF85" s="504"/>
      <c r="AG85" s="504"/>
      <c r="AH85" s="574" t="s">
        <v>435</v>
      </c>
      <c r="AI85" s="663" t="str">
        <f>IF(AND(AI83="",AI84=""),"",IF(ISERROR(FM89),$ET$17,IF(FM89&gt;=0,$ET$15,$ET$16)))</f>
        <v/>
      </c>
      <c r="AJ85" s="663" t="str">
        <f t="shared" ref="AJ85:AT85" si="151">IF(AND(AJ83="",AJ84=""),"",IF(ISERROR(FN89),$ET$17,IF(FN89&gt;=0,$ET$15,$ET$16)))</f>
        <v/>
      </c>
      <c r="AK85" s="663" t="str">
        <f t="shared" si="151"/>
        <v/>
      </c>
      <c r="AL85" s="663" t="str">
        <f t="shared" si="151"/>
        <v/>
      </c>
      <c r="AM85" s="663" t="str">
        <f t="shared" si="151"/>
        <v/>
      </c>
      <c r="AN85" s="663" t="str">
        <f t="shared" si="151"/>
        <v/>
      </c>
      <c r="AO85" s="663" t="str">
        <f t="shared" si="151"/>
        <v/>
      </c>
      <c r="AP85" s="663" t="str">
        <f t="shared" si="151"/>
        <v/>
      </c>
      <c r="AQ85" s="663" t="str">
        <f t="shared" si="151"/>
        <v/>
      </c>
      <c r="AR85" s="663" t="str">
        <f t="shared" si="151"/>
        <v/>
      </c>
      <c r="AS85" s="663" t="str">
        <f t="shared" si="151"/>
        <v/>
      </c>
      <c r="AT85" s="663" t="str">
        <f t="shared" si="151"/>
        <v/>
      </c>
      <c r="AU85" s="577"/>
      <c r="AW85" s="577"/>
      <c r="AX85" s="802"/>
      <c r="AY85" s="802"/>
      <c r="AZ85" s="802"/>
      <c r="BA85" s="802"/>
      <c r="BB85" s="802"/>
      <c r="BC85" s="802"/>
      <c r="BD85" s="805"/>
      <c r="BE85" s="1071"/>
      <c r="BF85" s="806"/>
      <c r="BG85" s="807"/>
      <c r="BH85" s="807"/>
      <c r="BI85" s="810"/>
      <c r="BJ85" s="802"/>
      <c r="BK85" s="805"/>
      <c r="BL85" s="802"/>
      <c r="BM85" s="809"/>
      <c r="BN85" s="822"/>
      <c r="BO85" s="813"/>
      <c r="BP85" s="802"/>
      <c r="BQ85" s="808"/>
      <c r="BR85" s="577"/>
      <c r="CJ85" s="577"/>
      <c r="CK85" s="1039"/>
      <c r="CL85" s="1040"/>
      <c r="CM85" s="1040"/>
      <c r="CN85" s="1040"/>
      <c r="CO85" s="1040"/>
      <c r="CP85" s="1040"/>
      <c r="CQ85" s="1040"/>
      <c r="CR85" s="1040"/>
      <c r="CS85" s="1040"/>
      <c r="CT85" s="1040"/>
      <c r="CU85" s="1040"/>
      <c r="CV85" s="1040"/>
      <c r="CW85" s="1040"/>
      <c r="CX85" s="1040"/>
      <c r="CY85" s="1040"/>
      <c r="CZ85" s="1040"/>
      <c r="DA85" s="1040"/>
      <c r="DB85" s="1040"/>
      <c r="DC85" s="1041"/>
      <c r="DD85" s="577"/>
      <c r="DE85" s="562"/>
      <c r="DF85" s="562"/>
      <c r="DG85" s="562"/>
      <c r="DH85" s="562"/>
      <c r="DI85" s="562"/>
      <c r="DJ85" s="562"/>
      <c r="DL85" s="562"/>
      <c r="DM85" s="562"/>
      <c r="DN85" s="562"/>
      <c r="DO85" s="562"/>
      <c r="DP85" s="562"/>
      <c r="DQ85" s="562"/>
      <c r="DR85" s="562"/>
      <c r="DS85" s="562"/>
      <c r="DT85" s="562"/>
      <c r="DU85" s="562"/>
      <c r="DV85" s="562"/>
      <c r="DW85" s="562"/>
      <c r="DX85" s="562"/>
      <c r="DY85" s="562"/>
      <c r="DZ85" s="562"/>
      <c r="EA85" s="562"/>
      <c r="EB85" s="562"/>
      <c r="EC85" s="562"/>
      <c r="ED85" s="562"/>
      <c r="EE85" s="562"/>
      <c r="EF85" s="562"/>
      <c r="EG85" s="562"/>
      <c r="EH85" s="562"/>
      <c r="EI85" s="562"/>
      <c r="EJ85" s="562"/>
      <c r="EK85" s="562"/>
      <c r="EL85" s="562"/>
      <c r="EM85" s="562"/>
      <c r="EN85" s="562"/>
      <c r="EO85" s="562"/>
      <c r="EP85" s="562"/>
      <c r="ES85" s="543"/>
      <c r="FL85" s="578" t="s">
        <v>564</v>
      </c>
      <c r="FM85" s="579">
        <f t="shared" ref="FM85:FX85" si="152">COUNTIF(AI29:AI68,$ET$14)</f>
        <v>0</v>
      </c>
      <c r="FN85" s="579">
        <f t="shared" si="152"/>
        <v>0</v>
      </c>
      <c r="FO85" s="579">
        <f t="shared" si="152"/>
        <v>0</v>
      </c>
      <c r="FP85" s="579">
        <f t="shared" si="152"/>
        <v>0</v>
      </c>
      <c r="FQ85" s="579">
        <f t="shared" si="152"/>
        <v>0</v>
      </c>
      <c r="FR85" s="579">
        <f t="shared" si="152"/>
        <v>0</v>
      </c>
      <c r="FS85" s="579">
        <f t="shared" si="152"/>
        <v>0</v>
      </c>
      <c r="FT85" s="579">
        <f t="shared" si="152"/>
        <v>0</v>
      </c>
      <c r="FU85" s="579">
        <f t="shared" si="152"/>
        <v>0</v>
      </c>
      <c r="FV85" s="579">
        <f t="shared" si="152"/>
        <v>0</v>
      </c>
      <c r="FW85" s="579">
        <f t="shared" si="152"/>
        <v>0</v>
      </c>
      <c r="FX85" s="579">
        <f t="shared" si="152"/>
        <v>0</v>
      </c>
      <c r="FZ85" s="509" t="s">
        <v>1110</v>
      </c>
      <c r="GF85" s="500" t="s">
        <v>393</v>
      </c>
      <c r="HN85" s="635" t="s">
        <v>749</v>
      </c>
      <c r="HO85" s="500" t="s">
        <v>754</v>
      </c>
      <c r="HP85" s="642">
        <v>0.02</v>
      </c>
      <c r="HQ85" s="500" t="s">
        <v>757</v>
      </c>
      <c r="HR85" s="563" t="s">
        <v>757</v>
      </c>
      <c r="HS85" s="563" t="s">
        <v>757</v>
      </c>
      <c r="HT85" s="911">
        <f>IF(HT79&gt;$HT$65,$HT$74,$HT$69)</f>
        <v>6.8</v>
      </c>
      <c r="HU85" s="652">
        <f t="shared" ref="HU85:IA85" si="153">HU69+((HT69-HU69)*((HU$79-HU$65)/0.5))</f>
        <v>5.8</v>
      </c>
      <c r="HV85" s="652">
        <f t="shared" si="153"/>
        <v>4.8</v>
      </c>
      <c r="HW85" s="652">
        <f t="shared" si="153"/>
        <v>3.9</v>
      </c>
      <c r="HX85" s="652">
        <f t="shared" si="153"/>
        <v>3.1</v>
      </c>
      <c r="HY85" s="652">
        <f t="shared" si="153"/>
        <v>2.4</v>
      </c>
      <c r="HZ85" s="652">
        <f t="shared" si="153"/>
        <v>1.7</v>
      </c>
      <c r="IA85" s="652">
        <f t="shared" si="153"/>
        <v>1.1000000000000001</v>
      </c>
      <c r="IB85" s="566">
        <f>IB69+((IA69-IB69)*((IB$79-IB$65)/1))</f>
        <v>0.1</v>
      </c>
      <c r="IU85" s="578" t="s">
        <v>829</v>
      </c>
      <c r="IV85" s="635" t="e">
        <f>IF(CL32=$IU$59,CK23,IF(CK23=$IT$29,INDEX(BC_WallAlt_WB_Match,MATCH(CL32,BC_WallAlt_WB,0),1),IF(CK23=$IT$35,INDEX(BC_WallAlt_FC_Match,MATCH(CL32,BC_WallAlt_FC,0),1),IF(CK23=$IT$41,INDEX(BC_WallAlt_BV_Match,MATCH(CL32,BC_WallAlt_BV,0),1),IF(CK23=$IT$47,INDEX(BC_WallAlt_C_Match,MATCH(CL32,BC_WallAlt_C,0),1),INDEX(BC_WallAlt_RBV_Match,MATCH(CL32,BC_WallAlt_RBV,0),1))))))</f>
        <v>#N/A</v>
      </c>
      <c r="MM85" s="543"/>
    </row>
    <row r="86" spans="1:351" ht="11.25" customHeight="1" thickBot="1">
      <c r="A86" s="543"/>
      <c r="B86" s="746" t="s">
        <v>381</v>
      </c>
      <c r="C86" s="747"/>
      <c r="D86" s="748" t="s">
        <v>382</v>
      </c>
      <c r="E86" s="747"/>
      <c r="F86" s="748" t="s">
        <v>383</v>
      </c>
      <c r="G86" s="747"/>
      <c r="H86" s="747"/>
      <c r="I86" s="747"/>
      <c r="J86" s="747"/>
      <c r="K86" s="747"/>
      <c r="L86" s="747"/>
      <c r="M86" s="747"/>
      <c r="N86" s="747"/>
      <c r="O86" s="747"/>
      <c r="P86" s="747"/>
      <c r="Q86" s="747"/>
      <c r="R86" s="747"/>
      <c r="S86" s="747"/>
      <c r="T86" s="749"/>
      <c r="U86" s="543"/>
      <c r="V86" s="562"/>
      <c r="W86" s="577"/>
      <c r="X86" s="526"/>
      <c r="Y86" s="526" t="s">
        <v>591</v>
      </c>
      <c r="Z86" s="526"/>
      <c r="AA86" s="526"/>
      <c r="AB86" s="526"/>
      <c r="AC86" s="854">
        <f>SUM(AC84:AC85)</f>
        <v>0</v>
      </c>
      <c r="AD86" s="526" t="s">
        <v>436</v>
      </c>
      <c r="AE86" s="504"/>
      <c r="AF86" s="504"/>
      <c r="AG86" s="504"/>
      <c r="AH86" s="504"/>
      <c r="AI86" s="504"/>
      <c r="AJ86" s="504"/>
      <c r="AK86" s="504"/>
      <c r="AL86" s="504"/>
      <c r="AM86" s="504"/>
      <c r="AN86" s="504"/>
      <c r="AO86" s="504"/>
      <c r="AP86" s="504"/>
      <c r="AQ86" s="504"/>
      <c r="AR86" s="504"/>
      <c r="AS86" s="504"/>
      <c r="AT86" s="504"/>
      <c r="AU86" s="577"/>
      <c r="AW86" s="577"/>
      <c r="AX86" s="802" t="s">
        <v>790</v>
      </c>
      <c r="AY86" s="802"/>
      <c r="AZ86" s="802" t="str">
        <f>MID(AX57,9,30)</f>
        <v>Added roof construction</v>
      </c>
      <c r="BA86" s="802"/>
      <c r="BB86" s="802"/>
      <c r="BC86" s="802"/>
      <c r="BD86" s="727"/>
      <c r="BE86" s="1071"/>
      <c r="BF86" s="811" t="str">
        <f>IF(OR(ISBLANK(BD86),ISBLANK(AX58)),"",INDEX(BC_RoofValues,MATCH(AX58,BC_RoofConst,0),6))</f>
        <v/>
      </c>
      <c r="BG86" s="807"/>
      <c r="BH86" s="807"/>
      <c r="BI86" s="732"/>
      <c r="BJ86" s="802"/>
      <c r="BK86" s="728"/>
      <c r="BL86" s="802"/>
      <c r="BM86" s="812" t="str">
        <f>IF(OR(ISBLANK(BD86),ISBLANK(AX58)),"",IF(OR(ISBLANK(BK86),BK86=$ET$51),0,INDEX(BC_RoofValues,MATCH(AX58,BC_RoofConst,0),3)))</f>
        <v/>
      </c>
      <c r="BN86" s="1059" t="str">
        <f>IF(OR(ISBLANK(BD86),OR(BF86="",BM86="")),"",IF((BD86-BF86-BI86+BM86)&lt;0,$ET$17,BD86-BF86-BI86+BM86))</f>
        <v/>
      </c>
      <c r="BO86" s="1060"/>
      <c r="BP86" s="1045" t="str">
        <f>IF(BK71="","",IF(OR(ISBLANK(BD86),BN86=""),"",IF(ISBLANK($BK$71),$ET$17,IF(BN86=$ET$17,$ET$17,IF(BN86&gt;6,$ET$32,INDEX(BC_InsValue7,MATCH($BK$71,BC_PenRange7,-1),MATCH(BN86,BC_InsRange7,0),1))))))</f>
        <v/>
      </c>
      <c r="BQ86" s="1046"/>
      <c r="BR86" s="577"/>
      <c r="CJ86" s="577"/>
      <c r="CK86" s="978"/>
      <c r="CL86" s="993"/>
      <c r="CM86" s="993"/>
      <c r="CN86" s="993"/>
      <c r="CO86" s="993"/>
      <c r="CP86" s="993"/>
      <c r="CQ86" s="993"/>
      <c r="CR86" s="993"/>
      <c r="CS86" s="993"/>
      <c r="CT86" s="993"/>
      <c r="CU86" s="993"/>
      <c r="CV86" s="993"/>
      <c r="CW86" s="993"/>
      <c r="CX86" s="993"/>
      <c r="CY86" s="993"/>
      <c r="CZ86" s="993"/>
      <c r="DA86" s="993"/>
      <c r="DB86" s="993"/>
      <c r="DC86" s="976"/>
      <c r="DD86" s="577"/>
      <c r="DE86" s="562"/>
      <c r="DF86" s="562"/>
      <c r="DG86" s="562"/>
      <c r="DH86" s="562"/>
      <c r="DI86" s="562"/>
      <c r="DJ86" s="562"/>
      <c r="DL86" s="562"/>
      <c r="DP86" s="562"/>
      <c r="DQ86" s="562"/>
      <c r="DR86" s="562"/>
      <c r="DS86" s="562"/>
      <c r="DT86" s="562"/>
      <c r="DU86" s="562"/>
      <c r="DV86" s="562"/>
      <c r="DW86" s="562"/>
      <c r="DX86" s="562"/>
      <c r="DY86" s="562"/>
      <c r="DZ86" s="562"/>
      <c r="EA86" s="562"/>
      <c r="EB86" s="562"/>
      <c r="EC86" s="562"/>
      <c r="ED86" s="562"/>
      <c r="EE86" s="562"/>
      <c r="EF86" s="562"/>
      <c r="EG86" s="562"/>
      <c r="EH86" s="562"/>
      <c r="EI86" s="562"/>
      <c r="EJ86" s="562"/>
      <c r="EK86" s="562"/>
      <c r="EL86" s="562"/>
      <c r="EM86" s="562"/>
      <c r="EN86" s="562"/>
      <c r="EO86" s="562"/>
      <c r="EP86" s="562"/>
      <c r="ES86" s="543"/>
      <c r="FL86" s="578" t="s">
        <v>564</v>
      </c>
      <c r="FM86" s="579">
        <f t="shared" ref="FM86:FX86" si="154">COUNTIF(AI71:AI80,$ET$14)</f>
        <v>0</v>
      </c>
      <c r="FN86" s="579">
        <f t="shared" si="154"/>
        <v>0</v>
      </c>
      <c r="FO86" s="579">
        <f t="shared" si="154"/>
        <v>0</v>
      </c>
      <c r="FP86" s="579">
        <f t="shared" si="154"/>
        <v>0</v>
      </c>
      <c r="FQ86" s="579">
        <f t="shared" si="154"/>
        <v>0</v>
      </c>
      <c r="FR86" s="579">
        <f t="shared" si="154"/>
        <v>0</v>
      </c>
      <c r="FS86" s="579">
        <f t="shared" si="154"/>
        <v>0</v>
      </c>
      <c r="FT86" s="579">
        <f t="shared" si="154"/>
        <v>0</v>
      </c>
      <c r="FU86" s="579">
        <f t="shared" si="154"/>
        <v>0</v>
      </c>
      <c r="FV86" s="579">
        <f t="shared" si="154"/>
        <v>0</v>
      </c>
      <c r="FW86" s="579">
        <f t="shared" si="154"/>
        <v>0</v>
      </c>
      <c r="FX86" s="579">
        <f t="shared" si="154"/>
        <v>0</v>
      </c>
      <c r="FZ86" s="500" t="str">
        <f>CONCATENATE(FZ72," ",FZ75," ",FZ76)</f>
        <v>BCA Climate Zone 6: Glazing nominated to verify GLAZING CALCULATOR outcomes.  Air movement does not apply (5% ventilation opening indicates Part 3.8.5 compliance).</v>
      </c>
      <c r="GA86" s="500"/>
      <c r="GB86" s="500"/>
      <c r="GC86" s="500"/>
      <c r="HD86" s="497" t="s">
        <v>1118</v>
      </c>
      <c r="HN86" s="635" t="s">
        <v>748</v>
      </c>
      <c r="HO86" s="500" t="s">
        <v>754</v>
      </c>
      <c r="HP86" s="642">
        <v>1.4999999999999999E-2</v>
      </c>
      <c r="HQ86" s="500" t="s">
        <v>757</v>
      </c>
      <c r="HR86" s="563" t="s">
        <v>757</v>
      </c>
      <c r="HS86" s="911">
        <f>IF(HS79&gt;$HS$65,$HS$74,$HS$68)</f>
        <v>7</v>
      </c>
      <c r="HT86" s="652">
        <f t="shared" ref="HT86:IA86" si="155">HT68+((HS68-HT68)*((HT$79-HT$65)/0.5))</f>
        <v>6.1</v>
      </c>
      <c r="HU86" s="652">
        <f t="shared" si="155"/>
        <v>5.2</v>
      </c>
      <c r="HV86" s="652">
        <f t="shared" si="155"/>
        <v>4.4000000000000004</v>
      </c>
      <c r="HW86" s="652">
        <f t="shared" si="155"/>
        <v>3.6</v>
      </c>
      <c r="HX86" s="652">
        <f t="shared" si="155"/>
        <v>2.9</v>
      </c>
      <c r="HY86" s="652">
        <f t="shared" si="155"/>
        <v>2.2999999999999998</v>
      </c>
      <c r="HZ86" s="652">
        <f t="shared" si="155"/>
        <v>1.7</v>
      </c>
      <c r="IA86" s="652">
        <f t="shared" si="155"/>
        <v>1.1000000000000001</v>
      </c>
      <c r="IB86" s="566">
        <f>IB68+((IA68-IB68)*((IB$79-IB$65)/1))</f>
        <v>0.1</v>
      </c>
      <c r="IG86" s="681" t="s">
        <v>901</v>
      </c>
      <c r="IU86" s="578" t="s">
        <v>830</v>
      </c>
      <c r="IV86" s="635" t="str">
        <f>IF(ISBLANK(CL32),"",CONCATENATE(IV85," R",INDEX(BC_WallValues,MATCH(IV85,BC_WallConst,0),6)))</f>
        <v/>
      </c>
      <c r="LZ86" s="509" t="s">
        <v>625</v>
      </c>
      <c r="MM86" s="543"/>
    </row>
    <row r="87" spans="1:351" ht="11.25" customHeight="1" thickBot="1">
      <c r="A87" s="543"/>
      <c r="B87" s="746">
        <v>2</v>
      </c>
      <c r="C87" s="747"/>
      <c r="D87" s="1146" t="s">
        <v>1120</v>
      </c>
      <c r="E87" s="1147"/>
      <c r="F87" s="748" t="s">
        <v>1121</v>
      </c>
      <c r="G87" s="747"/>
      <c r="H87" s="747"/>
      <c r="I87" s="747"/>
      <c r="J87" s="747"/>
      <c r="K87" s="747"/>
      <c r="L87" s="747"/>
      <c r="M87" s="747"/>
      <c r="N87" s="747"/>
      <c r="O87" s="747"/>
      <c r="P87" s="747"/>
      <c r="Q87" s="747"/>
      <c r="R87" s="747"/>
      <c r="S87" s="747"/>
      <c r="T87" s="747"/>
      <c r="U87" s="543"/>
      <c r="W87" s="577"/>
      <c r="X87" s="779"/>
      <c r="Y87" s="779"/>
      <c r="Z87" s="779"/>
      <c r="AA87" s="779"/>
      <c r="AB87" s="779"/>
      <c r="AC87" s="779"/>
      <c r="AD87" s="779"/>
      <c r="AE87" s="516"/>
      <c r="AF87" s="504"/>
      <c r="AG87" s="504"/>
      <c r="AH87" s="504"/>
      <c r="AI87" s="603" t="s">
        <v>565</v>
      </c>
      <c r="AJ87" s="515"/>
      <c r="AK87" s="515"/>
      <c r="AL87" s="515"/>
      <c r="AM87" s="515"/>
      <c r="AN87" s="515"/>
      <c r="AO87" s="515"/>
      <c r="AP87" s="515"/>
      <c r="AQ87" s="515"/>
      <c r="AR87" s="515"/>
      <c r="AS87" s="515"/>
      <c r="AT87" s="515"/>
      <c r="AU87" s="577"/>
      <c r="AW87" s="577"/>
      <c r="AX87" s="802" t="s">
        <v>791</v>
      </c>
      <c r="AY87" s="802"/>
      <c r="AZ87" s="802" t="str">
        <f>MID(AX60,9,FIND("(",AX60,1)-10)</f>
        <v>Added roof construction</v>
      </c>
      <c r="BA87" s="802"/>
      <c r="BB87" s="802"/>
      <c r="BC87" s="802"/>
      <c r="BD87" s="727"/>
      <c r="BE87" s="1071"/>
      <c r="BF87" s="811" t="str">
        <f>IF(OR(ISBLANK(BD87),ISBLANK(AX61)),"",INDEX(BC_RoofValues,MATCH(AX61,BC_RoofConst,0),6))</f>
        <v/>
      </c>
      <c r="BG87" s="802"/>
      <c r="BH87" s="802"/>
      <c r="BI87" s="732"/>
      <c r="BJ87" s="802"/>
      <c r="BK87" s="728"/>
      <c r="BL87" s="802"/>
      <c r="BM87" s="812" t="str">
        <f>IF(OR(ISBLANK(BD87),ISBLANK(AX61)),"",IF(OR(ISBLANK(BK87),BK87=$ET$51),0,INDEX(BC_RoofValues,MATCH(AX61,BC_RoofConst,0),3)))</f>
        <v/>
      </c>
      <c r="BN87" s="1059" t="str">
        <f>IF(OR(ISBLANK(BD87),OR(BF87="",BM87="")),"",IF((BD87-BF87-BI87+BM87)&lt;0,$ET$17,BD87-BF87-BI87+BM87))</f>
        <v/>
      </c>
      <c r="BO87" s="1060"/>
      <c r="BP87" s="1148" t="str">
        <f>IF(BK71="","",IF(OR(ISBLANK(BD87),BN87=""),"",IF(ISBLANK($BK$71),$ET$17,IF(BN87=$ET$17,$ET$17,IF(BN87&gt;6,$ET$32,INDEX(BC_InsValue8,MATCH($BK$71,BC_PenRange8,-1),MATCH(BN87,BC_InsRange8,0),1))))))</f>
        <v/>
      </c>
      <c r="BQ87" s="1149"/>
      <c r="BR87" s="577"/>
      <c r="CJ87" s="577"/>
      <c r="CK87" s="978"/>
      <c r="CL87" s="993"/>
      <c r="CM87" s="993"/>
      <c r="CN87" s="993"/>
      <c r="CO87" s="993"/>
      <c r="CP87" s="993"/>
      <c r="CQ87" s="993"/>
      <c r="CR87" s="993"/>
      <c r="CS87" s="993"/>
      <c r="CT87" s="993"/>
      <c r="CU87" s="993"/>
      <c r="CV87" s="993"/>
      <c r="CW87" s="993"/>
      <c r="CX87" s="993"/>
      <c r="CY87" s="993"/>
      <c r="CZ87" s="993"/>
      <c r="DA87" s="993"/>
      <c r="DB87" s="993"/>
      <c r="DC87" s="976"/>
      <c r="DD87" s="577"/>
      <c r="DE87" s="562"/>
      <c r="DF87" s="562"/>
      <c r="DG87" s="562"/>
      <c r="DH87" s="562"/>
      <c r="DI87" s="562"/>
      <c r="DJ87" s="562"/>
      <c r="DK87" s="562"/>
      <c r="DL87" s="562"/>
      <c r="DP87" s="562"/>
      <c r="DQ87" s="562"/>
      <c r="DR87" s="562"/>
      <c r="DS87" s="562"/>
      <c r="DT87" s="562"/>
      <c r="DU87" s="562"/>
      <c r="DV87" s="562"/>
      <c r="DW87" s="562"/>
      <c r="DX87" s="562"/>
      <c r="DY87" s="562"/>
      <c r="DZ87" s="562"/>
      <c r="EA87" s="562"/>
      <c r="EB87" s="562"/>
      <c r="EC87" s="562"/>
      <c r="ED87" s="562"/>
      <c r="EE87" s="562"/>
      <c r="EF87" s="562"/>
      <c r="EG87" s="562"/>
      <c r="EH87" s="562"/>
      <c r="EI87" s="562"/>
      <c r="EJ87" s="562"/>
      <c r="EK87" s="562"/>
      <c r="EL87" s="562"/>
      <c r="EM87" s="562"/>
      <c r="EN87" s="562"/>
      <c r="EO87" s="562"/>
      <c r="EP87" s="562"/>
      <c r="ES87" s="543"/>
      <c r="FM87" s="591">
        <f>SUM(FM85:FM86)</f>
        <v>0</v>
      </c>
      <c r="FN87" s="591">
        <f t="shared" ref="FN87:FX87" si="156">SUM(FN85:FN86)</f>
        <v>0</v>
      </c>
      <c r="FO87" s="591">
        <f t="shared" si="156"/>
        <v>0</v>
      </c>
      <c r="FP87" s="591">
        <f t="shared" si="156"/>
        <v>0</v>
      </c>
      <c r="FQ87" s="591">
        <f t="shared" si="156"/>
        <v>0</v>
      </c>
      <c r="FR87" s="591">
        <f t="shared" si="156"/>
        <v>0</v>
      </c>
      <c r="FS87" s="591">
        <f t="shared" si="156"/>
        <v>0</v>
      </c>
      <c r="FT87" s="591">
        <f t="shared" si="156"/>
        <v>0</v>
      </c>
      <c r="FU87" s="591">
        <f t="shared" si="156"/>
        <v>0</v>
      </c>
      <c r="FV87" s="591">
        <f t="shared" si="156"/>
        <v>0</v>
      </c>
      <c r="FW87" s="591">
        <f t="shared" si="156"/>
        <v>0</v>
      </c>
      <c r="FX87" s="591">
        <f t="shared" si="156"/>
        <v>0</v>
      </c>
      <c r="FZ87" s="500" t="str">
        <f>CONCATENATE(FZ73," ",FZ75," ",FZ76)</f>
        <v>BCA 3.12.4.1(c)  Region D exemption applies: Glazing nominated to verify GLAZING CALCULATOR outcomes.  Air movement does not apply (5% ventilation opening indicates Part 3.8.5 compliance).</v>
      </c>
      <c r="GA87" s="500"/>
      <c r="GB87" s="500"/>
      <c r="GC87" s="500"/>
      <c r="HD87" s="631">
        <f>IF(BI71&lt;0.5%,BI71,BI71-0.5%)</f>
        <v>0</v>
      </c>
      <c r="HN87" s="635" t="s">
        <v>746</v>
      </c>
      <c r="HO87" s="500" t="s">
        <v>754</v>
      </c>
      <c r="HP87" s="642">
        <v>0.01</v>
      </c>
      <c r="HQ87" s="500" t="s">
        <v>757</v>
      </c>
      <c r="HR87" s="911">
        <f>IF(HR79&gt;$HR$65,$HR$74,$HR$67)</f>
        <v>6.9</v>
      </c>
      <c r="HS87" s="652">
        <f t="shared" ref="HS87:IA87" si="157">HS67+((HR67-HS67)*((HS$79-HS$65)/0.5))</f>
        <v>6.2</v>
      </c>
      <c r="HT87" s="652">
        <f t="shared" si="157"/>
        <v>5.4</v>
      </c>
      <c r="HU87" s="652">
        <f t="shared" si="157"/>
        <v>4.7</v>
      </c>
      <c r="HV87" s="652">
        <f t="shared" si="157"/>
        <v>4</v>
      </c>
      <c r="HW87" s="652">
        <f t="shared" si="157"/>
        <v>3.4</v>
      </c>
      <c r="HX87" s="652">
        <f t="shared" si="157"/>
        <v>2.8</v>
      </c>
      <c r="HY87" s="652">
        <f t="shared" si="157"/>
        <v>2.2000000000000002</v>
      </c>
      <c r="HZ87" s="652">
        <f t="shared" si="157"/>
        <v>1.6</v>
      </c>
      <c r="IA87" s="652">
        <f t="shared" si="157"/>
        <v>1</v>
      </c>
      <c r="IB87" s="566">
        <f>IB67+((IA67-IB67)*((IB$79-IB$65)/1))</f>
        <v>0</v>
      </c>
      <c r="IG87" s="498" t="s">
        <v>886</v>
      </c>
      <c r="IV87" s="503" t="s">
        <v>457</v>
      </c>
      <c r="IW87" s="499" t="str">
        <f>IF(CL32=$IU$39,0,IF(MID(CL32,1,8)=$ET$13,INDEX(BC_WallValues,MATCH(CK23,BC_WallConst,0),9),IF(MID(CL32,1,3)=$ET$31,INDEX(BC_WallValues,MATCH(CK23,BC_WallConst,0),8),$ET$17)))</f>
        <v>Data</v>
      </c>
      <c r="LZ87" s="543" t="s">
        <v>634</v>
      </c>
      <c r="MA87" s="543"/>
      <c r="MB87" s="543"/>
      <c r="MC87" s="664" t="e">
        <f>ME49</f>
        <v>#N/A</v>
      </c>
      <c r="MD87" s="665" t="e">
        <f>MF49-(MF49*($MD$60*($MH$63-1)))</f>
        <v>#N/A</v>
      </c>
      <c r="ME87" s="666">
        <f>MG49</f>
        <v>1</v>
      </c>
      <c r="MF87" s="667">
        <f>MH49</f>
        <v>1</v>
      </c>
      <c r="MM87" s="543"/>
    </row>
    <row r="88" spans="1:351" ht="11.25" customHeight="1" thickBot="1">
      <c r="A88" s="543"/>
      <c r="B88" s="746">
        <v>3</v>
      </c>
      <c r="C88" s="747"/>
      <c r="D88" s="1146" t="s">
        <v>1128</v>
      </c>
      <c r="E88" s="1147"/>
      <c r="F88" s="750" t="s">
        <v>1127</v>
      </c>
      <c r="G88" s="747"/>
      <c r="H88" s="747"/>
      <c r="I88" s="747"/>
      <c r="J88" s="747"/>
      <c r="K88" s="747"/>
      <c r="L88" s="747"/>
      <c r="M88" s="747"/>
      <c r="N88" s="747"/>
      <c r="O88" s="747"/>
      <c r="P88" s="747"/>
      <c r="Q88" s="747"/>
      <c r="R88" s="747"/>
      <c r="S88" s="747"/>
      <c r="T88" s="747"/>
      <c r="U88" s="543"/>
      <c r="W88" s="577"/>
      <c r="X88" s="526"/>
      <c r="Y88" s="526" t="s">
        <v>594</v>
      </c>
      <c r="Z88" s="526"/>
      <c r="AA88" s="526"/>
      <c r="AB88" s="526"/>
      <c r="AC88" s="923" t="str">
        <f>IF(AC86=0,$ET$17,AC84/AC86)</f>
        <v>Data</v>
      </c>
      <c r="AD88" s="779"/>
      <c r="AE88" s="504"/>
      <c r="AF88" s="504"/>
      <c r="AG88" s="504"/>
      <c r="AH88" s="504"/>
      <c r="AI88" s="504" t="s">
        <v>1008</v>
      </c>
      <c r="AJ88" s="504"/>
      <c r="AK88" s="504"/>
      <c r="AL88" s="504"/>
      <c r="AM88" s="504"/>
      <c r="AN88" s="504"/>
      <c r="AO88" s="504"/>
      <c r="AP88" s="504"/>
      <c r="AQ88" s="504"/>
      <c r="AR88" s="504"/>
      <c r="AS88" s="504"/>
      <c r="AT88" s="504"/>
      <c r="AU88" s="577"/>
      <c r="AW88" s="577"/>
      <c r="AX88" s="814"/>
      <c r="AY88" s="814"/>
      <c r="AZ88" s="814"/>
      <c r="BA88" s="814"/>
      <c r="BB88" s="814"/>
      <c r="BC88" s="814"/>
      <c r="BD88" s="814"/>
      <c r="BE88" s="814"/>
      <c r="BF88" s="814"/>
      <c r="BG88" s="814"/>
      <c r="BH88" s="814"/>
      <c r="BI88" s="814"/>
      <c r="BJ88" s="814"/>
      <c r="BK88" s="814"/>
      <c r="BL88" s="814"/>
      <c r="BM88" s="814"/>
      <c r="BN88" s="814"/>
      <c r="BO88" s="814"/>
      <c r="BP88" s="814"/>
      <c r="BQ88" s="814"/>
      <c r="BR88" s="577"/>
      <c r="CJ88" s="577"/>
      <c r="CK88" s="978"/>
      <c r="CL88" s="993"/>
      <c r="CM88" s="993"/>
      <c r="CN88" s="993"/>
      <c r="CO88" s="993"/>
      <c r="CP88" s="993"/>
      <c r="CQ88" s="993"/>
      <c r="CR88" s="993"/>
      <c r="CS88" s="993"/>
      <c r="CT88" s="993"/>
      <c r="CU88" s="993"/>
      <c r="CV88" s="993"/>
      <c r="CW88" s="993"/>
      <c r="CX88" s="993"/>
      <c r="CY88" s="993"/>
      <c r="CZ88" s="993"/>
      <c r="DA88" s="993"/>
      <c r="DB88" s="993"/>
      <c r="DC88" s="976"/>
      <c r="DD88" s="577"/>
      <c r="DE88" s="562"/>
      <c r="DF88" s="562"/>
      <c r="DG88" s="562"/>
      <c r="DH88" s="562"/>
      <c r="DI88" s="562"/>
      <c r="DJ88" s="562"/>
      <c r="DK88" s="562"/>
      <c r="DL88" s="562"/>
      <c r="DM88" s="562"/>
      <c r="DN88" s="562"/>
      <c r="DO88" s="562"/>
      <c r="DP88" s="562"/>
      <c r="DQ88" s="562"/>
      <c r="DR88" s="562"/>
      <c r="DS88" s="562"/>
      <c r="DT88" s="562"/>
      <c r="DU88" s="562"/>
      <c r="DV88" s="562"/>
      <c r="DW88" s="562"/>
      <c r="DX88" s="562"/>
      <c r="DY88" s="562"/>
      <c r="DZ88" s="562"/>
      <c r="EA88" s="562"/>
      <c r="EB88" s="562"/>
      <c r="EC88" s="562"/>
      <c r="ED88" s="562"/>
      <c r="EE88" s="562"/>
      <c r="EF88" s="562"/>
      <c r="EG88" s="562"/>
      <c r="EH88" s="562"/>
      <c r="EI88" s="562"/>
      <c r="EJ88" s="562"/>
      <c r="EK88" s="562"/>
      <c r="EL88" s="562"/>
      <c r="EM88" s="562"/>
      <c r="EN88" s="562"/>
      <c r="EO88" s="562"/>
      <c r="EP88" s="562"/>
      <c r="ES88" s="543"/>
      <c r="FZ88" s="500" t="str">
        <f>CONCATENATE(FZ74," ",FZ75," ",FZ76)</f>
        <v>BCA 3.12.4 "Not applicable": Glazing nominated to verify GLAZING CALCULATOR outcomes.  Air movement does not apply (5% ventilation opening indicates Part 3.8.5 compliance).</v>
      </c>
      <c r="GA88" s="500"/>
      <c r="GB88" s="500"/>
      <c r="GC88" s="500"/>
      <c r="GF88" s="536" t="s">
        <v>680</v>
      </c>
      <c r="HN88" s="635" t="s">
        <v>745</v>
      </c>
      <c r="HO88" s="500" t="s">
        <v>754</v>
      </c>
      <c r="HP88" s="642">
        <v>5.0000000000000001E-3</v>
      </c>
      <c r="HQ88" s="572" t="str">
        <f t="shared" ref="HQ88:IB88" si="158">$BN$78</f>
        <v/>
      </c>
      <c r="HR88" s="572" t="str">
        <f t="shared" si="158"/>
        <v/>
      </c>
      <c r="HS88" s="572" t="str">
        <f t="shared" si="158"/>
        <v/>
      </c>
      <c r="HT88" s="572" t="str">
        <f t="shared" si="158"/>
        <v/>
      </c>
      <c r="HU88" s="572" t="str">
        <f t="shared" si="158"/>
        <v/>
      </c>
      <c r="HV88" s="572" t="str">
        <f t="shared" si="158"/>
        <v/>
      </c>
      <c r="HW88" s="572" t="str">
        <f t="shared" si="158"/>
        <v/>
      </c>
      <c r="HX88" s="572" t="str">
        <f t="shared" si="158"/>
        <v/>
      </c>
      <c r="HY88" s="572" t="str">
        <f t="shared" si="158"/>
        <v/>
      </c>
      <c r="HZ88" s="572" t="str">
        <f t="shared" si="158"/>
        <v/>
      </c>
      <c r="IA88" s="572" t="str">
        <f t="shared" si="158"/>
        <v/>
      </c>
      <c r="IB88" s="572" t="str">
        <f t="shared" si="158"/>
        <v/>
      </c>
      <c r="IG88" s="497" t="s">
        <v>879</v>
      </c>
      <c r="IV88" s="503"/>
      <c r="IW88" s="500"/>
      <c r="MC88" s="664" t="e">
        <f>ME50</f>
        <v>#N/A</v>
      </c>
      <c r="MD88" s="665" t="e">
        <f>MF50-(MF50*($MD$61*($MH$63-1)))</f>
        <v>#N/A</v>
      </c>
      <c r="ME88" s="666">
        <f>MG50</f>
        <v>1</v>
      </c>
      <c r="MF88" s="667">
        <f>MH50</f>
        <v>1</v>
      </c>
      <c r="MM88" s="543"/>
    </row>
    <row r="89" spans="1:351" ht="11.25" customHeight="1" thickBot="1">
      <c r="A89" s="543"/>
      <c r="B89" s="742">
        <v>4</v>
      </c>
      <c r="C89" s="745"/>
      <c r="D89" s="1146" t="s">
        <v>1129</v>
      </c>
      <c r="E89" s="1147"/>
      <c r="F89" s="750" t="s">
        <v>1130</v>
      </c>
      <c r="G89" s="745"/>
      <c r="H89" s="745"/>
      <c r="I89" s="745"/>
      <c r="J89" s="745"/>
      <c r="K89" s="745"/>
      <c r="L89" s="745"/>
      <c r="M89" s="745"/>
      <c r="N89" s="745"/>
      <c r="O89" s="745"/>
      <c r="P89" s="745"/>
      <c r="Q89" s="745"/>
      <c r="R89" s="745"/>
      <c r="S89" s="745"/>
      <c r="T89" s="745"/>
      <c r="U89" s="543"/>
      <c r="W89" s="577"/>
      <c r="X89" s="526"/>
      <c r="Y89" s="526"/>
      <c r="Z89" s="526"/>
      <c r="AA89" s="526"/>
      <c r="AB89" s="526"/>
      <c r="AC89" s="526"/>
      <c r="AD89" s="779"/>
      <c r="AE89" s="504"/>
      <c r="AF89" s="504"/>
      <c r="AG89" s="504"/>
      <c r="AH89" s="560" t="s">
        <v>575</v>
      </c>
      <c r="AI89" s="1031" t="str">
        <f>IF(COUNTIF(AI85:AT85,"")=12,"",IF(COUNTIF(AI85:AT85,ET17)&gt;0,ET17,IF(COUNTIF(AI85:AT85,ET16)&gt;0,ET16,ET18)))</f>
        <v/>
      </c>
      <c r="AJ89" s="1123"/>
      <c r="AK89" s="1032"/>
      <c r="AL89" s="504"/>
      <c r="AM89" s="504"/>
      <c r="AN89" s="504"/>
      <c r="AO89" s="504"/>
      <c r="AP89" s="504"/>
      <c r="AQ89" s="504"/>
      <c r="AR89" s="504"/>
      <c r="AS89" s="504"/>
      <c r="AT89" s="504"/>
      <c r="AU89" s="577"/>
      <c r="AW89" s="577"/>
      <c r="AX89" s="823" t="s">
        <v>870</v>
      </c>
      <c r="AY89" s="621"/>
      <c r="AZ89" s="1058" t="s">
        <v>1015</v>
      </c>
      <c r="BA89" s="1058"/>
      <c r="BB89" s="1058"/>
      <c r="BC89" s="1058"/>
      <c r="BD89" s="1058"/>
      <c r="BE89" s="1058"/>
      <c r="BF89" s="1058"/>
      <c r="BG89" s="1058"/>
      <c r="BH89" s="1058"/>
      <c r="BI89" s="1058"/>
      <c r="BJ89" s="1058"/>
      <c r="BK89" s="1058"/>
      <c r="BL89" s="1058"/>
      <c r="BM89" s="1058"/>
      <c r="BN89" s="1058"/>
      <c r="BO89" s="1058"/>
      <c r="BP89" s="1058"/>
      <c r="BQ89" s="1058"/>
      <c r="BR89" s="577"/>
      <c r="CJ89" s="577"/>
      <c r="CK89" s="978"/>
      <c r="CL89" s="993"/>
      <c r="CM89" s="993"/>
      <c r="CN89" s="993"/>
      <c r="CO89" s="993"/>
      <c r="CP89" s="993"/>
      <c r="CQ89" s="993"/>
      <c r="CR89" s="993"/>
      <c r="CS89" s="993"/>
      <c r="CT89" s="993"/>
      <c r="CU89" s="993"/>
      <c r="CV89" s="993"/>
      <c r="CW89" s="993"/>
      <c r="CX89" s="993"/>
      <c r="CY89" s="993"/>
      <c r="CZ89" s="993"/>
      <c r="DA89" s="993"/>
      <c r="DB89" s="993"/>
      <c r="DC89" s="976"/>
      <c r="DD89" s="577"/>
      <c r="DE89" s="562"/>
      <c r="DF89" s="562"/>
      <c r="DG89" s="562"/>
      <c r="DH89" s="562"/>
      <c r="DI89" s="562"/>
      <c r="DJ89" s="562"/>
      <c r="DK89" s="562"/>
      <c r="DL89" s="562"/>
      <c r="DM89" s="562"/>
      <c r="DN89" s="562"/>
      <c r="DO89" s="562"/>
      <c r="DP89" s="562"/>
      <c r="DQ89" s="562"/>
      <c r="DR89" s="562"/>
      <c r="DS89" s="562"/>
      <c r="DT89" s="562"/>
      <c r="DU89" s="562"/>
      <c r="DV89" s="562"/>
      <c r="DW89" s="562"/>
      <c r="DX89" s="562"/>
      <c r="DY89" s="562"/>
      <c r="DZ89" s="562"/>
      <c r="EA89" s="562"/>
      <c r="EB89" s="562"/>
      <c r="EC89" s="562"/>
      <c r="ED89" s="562"/>
      <c r="EE89" s="562"/>
      <c r="EF89" s="562"/>
      <c r="EG89" s="562"/>
      <c r="EH89" s="562"/>
      <c r="EI89" s="562"/>
      <c r="EJ89" s="562"/>
      <c r="EK89" s="562"/>
      <c r="EL89" s="562"/>
      <c r="EM89" s="562"/>
      <c r="EN89" s="562"/>
      <c r="EO89" s="562"/>
      <c r="EP89" s="562"/>
      <c r="ES89" s="543"/>
      <c r="FL89" s="668" t="s">
        <v>563</v>
      </c>
      <c r="FM89" s="669" t="e">
        <f t="shared" ref="FM89:FX89" si="159">AI83-AI84</f>
        <v>#VALUE!</v>
      </c>
      <c r="FN89" s="670" t="e">
        <f t="shared" si="159"/>
        <v>#VALUE!</v>
      </c>
      <c r="FO89" s="670" t="e">
        <f t="shared" si="159"/>
        <v>#VALUE!</v>
      </c>
      <c r="FP89" s="670" t="e">
        <f t="shared" si="159"/>
        <v>#VALUE!</v>
      </c>
      <c r="FQ89" s="669" t="e">
        <f t="shared" si="159"/>
        <v>#VALUE!</v>
      </c>
      <c r="FR89" s="670" t="e">
        <f t="shared" si="159"/>
        <v>#VALUE!</v>
      </c>
      <c r="FS89" s="670" t="e">
        <f t="shared" si="159"/>
        <v>#VALUE!</v>
      </c>
      <c r="FT89" s="670" t="e">
        <f t="shared" si="159"/>
        <v>#VALUE!</v>
      </c>
      <c r="FU89" s="670" t="e">
        <f t="shared" si="159"/>
        <v>#VALUE!</v>
      </c>
      <c r="FV89" s="670" t="e">
        <f t="shared" si="159"/>
        <v>#VALUE!</v>
      </c>
      <c r="FW89" s="670" t="e">
        <f t="shared" si="159"/>
        <v>#VALUE!</v>
      </c>
      <c r="FX89" s="670" t="e">
        <f t="shared" si="159"/>
        <v>#VALUE!</v>
      </c>
      <c r="GE89" s="578" t="s">
        <v>681</v>
      </c>
      <c r="GF89" s="500" t="str">
        <f>IF($D$65=1,"Unvent, Dn","Unvent, Up")</f>
        <v>Unvent, Up</v>
      </c>
      <c r="IG89" s="500" t="s">
        <v>898</v>
      </c>
      <c r="IH89" s="500" t="s">
        <v>897</v>
      </c>
      <c r="II89" s="500" t="s">
        <v>896</v>
      </c>
      <c r="IJ89" s="500" t="s">
        <v>895</v>
      </c>
      <c r="IV89" s="503" t="s">
        <v>458</v>
      </c>
      <c r="IW89" s="499" t="e">
        <f>IW84-IW87</f>
        <v>#N/A</v>
      </c>
      <c r="MM89" s="543"/>
    </row>
    <row r="90" spans="1:351" ht="11.25" customHeight="1" thickBot="1">
      <c r="A90" s="543"/>
      <c r="B90" s="543" t="s">
        <v>981</v>
      </c>
      <c r="C90" s="543"/>
      <c r="D90" s="1136" t="s">
        <v>1129</v>
      </c>
      <c r="E90" s="1136"/>
      <c r="F90" s="543"/>
      <c r="G90" s="543"/>
      <c r="H90" s="543"/>
      <c r="I90" s="543"/>
      <c r="J90" s="543"/>
      <c r="K90" s="543"/>
      <c r="L90" s="543"/>
      <c r="M90" s="543"/>
      <c r="N90" s="543"/>
      <c r="O90" s="543"/>
      <c r="P90" s="543"/>
      <c r="Q90" s="543"/>
      <c r="R90" s="543"/>
      <c r="S90" s="543"/>
      <c r="T90" s="543"/>
      <c r="U90" s="543"/>
      <c r="W90" s="577"/>
      <c r="X90" s="852" t="s">
        <v>584</v>
      </c>
      <c r="Y90" s="853"/>
      <c r="Z90" s="526"/>
      <c r="AA90" s="526"/>
      <c r="AB90" s="526"/>
      <c r="AC90" s="526"/>
      <c r="AD90" s="779"/>
      <c r="AE90" s="504"/>
      <c r="AF90" s="504"/>
      <c r="AG90" s="504"/>
      <c r="AH90" s="504"/>
      <c r="AI90" s="504" t="s">
        <v>576</v>
      </c>
      <c r="AJ90" s="504"/>
      <c r="AK90" s="504"/>
      <c r="AL90" s="504"/>
      <c r="AM90" s="504"/>
      <c r="AN90" s="504"/>
      <c r="AO90" s="504"/>
      <c r="AP90" s="504"/>
      <c r="AQ90" s="504"/>
      <c r="AR90" s="504"/>
      <c r="AS90" s="504"/>
      <c r="AT90" s="504"/>
      <c r="AU90" s="577"/>
      <c r="AW90" s="577"/>
      <c r="AX90" s="621"/>
      <c r="AY90" s="621"/>
      <c r="AZ90" s="1049"/>
      <c r="BA90" s="1049"/>
      <c r="BB90" s="1049"/>
      <c r="BC90" s="1049"/>
      <c r="BD90" s="1049"/>
      <c r="BE90" s="1049"/>
      <c r="BF90" s="1049"/>
      <c r="BG90" s="1049"/>
      <c r="BH90" s="1049"/>
      <c r="BI90" s="1049"/>
      <c r="BJ90" s="1049"/>
      <c r="BK90" s="1049"/>
      <c r="BL90" s="1049"/>
      <c r="BM90" s="1049"/>
      <c r="BN90" s="1049"/>
      <c r="BO90" s="1049"/>
      <c r="BP90" s="1049"/>
      <c r="BQ90" s="1049"/>
      <c r="BR90" s="577"/>
      <c r="CJ90" s="577"/>
      <c r="CK90" s="978"/>
      <c r="CL90" s="993"/>
      <c r="CM90" s="993"/>
      <c r="CN90" s="993"/>
      <c r="CO90" s="993"/>
      <c r="CP90" s="993"/>
      <c r="CQ90" s="993"/>
      <c r="CR90" s="993"/>
      <c r="CS90" s="993"/>
      <c r="CT90" s="993"/>
      <c r="CU90" s="993"/>
      <c r="CV90" s="993"/>
      <c r="CW90" s="993"/>
      <c r="CX90" s="993"/>
      <c r="CY90" s="993"/>
      <c r="CZ90" s="993"/>
      <c r="DA90" s="993"/>
      <c r="DB90" s="993"/>
      <c r="DC90" s="976"/>
      <c r="DD90" s="577"/>
      <c r="DE90" s="562"/>
      <c r="DF90" s="562"/>
      <c r="DG90" s="562"/>
      <c r="DH90" s="562"/>
      <c r="DI90" s="562"/>
      <c r="DJ90" s="562"/>
      <c r="DK90" s="562"/>
      <c r="DL90" s="562"/>
      <c r="DM90" s="562"/>
      <c r="DN90" s="562"/>
      <c r="DO90" s="562"/>
      <c r="DP90" s="562"/>
      <c r="DQ90" s="562"/>
      <c r="DR90" s="562"/>
      <c r="DS90" s="562"/>
      <c r="DT90" s="562"/>
      <c r="DU90" s="562"/>
      <c r="DV90" s="562"/>
      <c r="DW90" s="562"/>
      <c r="DX90" s="562"/>
      <c r="DY90" s="562"/>
      <c r="DZ90" s="562"/>
      <c r="EA90" s="562"/>
      <c r="EB90" s="562"/>
      <c r="EC90" s="562"/>
      <c r="ED90" s="562"/>
      <c r="EE90" s="562"/>
      <c r="EF90" s="562"/>
      <c r="EG90" s="562"/>
      <c r="EH90" s="562"/>
      <c r="EI90" s="562"/>
      <c r="EJ90" s="562"/>
      <c r="EK90" s="562"/>
      <c r="EL90" s="562"/>
      <c r="EM90" s="562"/>
      <c r="EN90" s="562"/>
      <c r="EO90" s="562"/>
      <c r="EP90" s="562"/>
      <c r="ES90" s="543"/>
      <c r="GF90" s="500" t="str">
        <f>IF($D$65=1,"Vented, Dn","Vented, Up")</f>
        <v>Vented, Up</v>
      </c>
      <c r="IF90" s="497" t="s">
        <v>880</v>
      </c>
      <c r="IG90" s="706">
        <v>0.05</v>
      </c>
      <c r="IH90" s="706">
        <v>0.04</v>
      </c>
      <c r="II90" s="706">
        <v>0.03</v>
      </c>
      <c r="IJ90" s="706">
        <v>0.02</v>
      </c>
      <c r="IV90" s="503"/>
      <c r="IW90" s="500"/>
      <c r="LZ90" s="543" t="s">
        <v>805</v>
      </c>
      <c r="MA90" s="543"/>
      <c r="MB90" s="543"/>
      <c r="MC90" s="671" t="e">
        <f>(MC87*$ME$78)+(ME87*$ME$79)</f>
        <v>#N/A</v>
      </c>
      <c r="MD90" s="672" t="e">
        <f>(MD87*$ME$78)+(MF87*$ME$79)</f>
        <v>#N/A</v>
      </c>
      <c r="MM90" s="543"/>
    </row>
    <row r="91" spans="1:351" ht="11.25" customHeight="1" thickBot="1">
      <c r="A91" s="543"/>
      <c r="B91" s="543"/>
      <c r="C91" s="543"/>
      <c r="D91" s="543"/>
      <c r="E91" s="543"/>
      <c r="F91" s="543"/>
      <c r="G91" s="543"/>
      <c r="H91" s="543"/>
      <c r="I91" s="543"/>
      <c r="J91" s="543"/>
      <c r="K91" s="543"/>
      <c r="L91" s="543"/>
      <c r="M91" s="543"/>
      <c r="N91" s="543"/>
      <c r="O91" s="543"/>
      <c r="P91" s="543"/>
      <c r="Q91" s="543"/>
      <c r="R91" s="543"/>
      <c r="S91" s="543"/>
      <c r="T91" s="543"/>
      <c r="U91" s="543"/>
      <c r="W91" s="577"/>
      <c r="X91" s="853"/>
      <c r="Y91" s="855" t="s">
        <v>585</v>
      </c>
      <c r="Z91" s="623"/>
      <c r="AA91" s="623"/>
      <c r="AB91" s="623"/>
      <c r="AC91" s="856" t="str">
        <f ca="1">MA112</f>
        <v/>
      </c>
      <c r="AD91" s="779"/>
      <c r="AE91" s="504"/>
      <c r="AF91" s="504"/>
      <c r="AG91" s="504"/>
      <c r="AH91" s="560" t="s">
        <v>577</v>
      </c>
      <c r="AI91" s="1127" t="str">
        <f>IF(AI89="","",IF(OR($D$65=6,OR($T$52=$ET$50,$FZ$40&gt;0)),$ET$55,IF(AI89=ET17,ET17,IF(AI89=ET16,ET16,IF(FM105+FM106+FM107=0,ET19,ET55)))))</f>
        <v/>
      </c>
      <c r="AJ91" s="1128"/>
      <c r="AK91" s="1129"/>
      <c r="AL91" s="568" t="str">
        <f>IF(AI91=ET19,FZ78,"")</f>
        <v/>
      </c>
      <c r="AM91" s="504"/>
      <c r="AN91" s="504"/>
      <c r="AO91" s="504"/>
      <c r="AP91" s="504"/>
      <c r="AQ91" s="504"/>
      <c r="AR91" s="504"/>
      <c r="AS91" s="504"/>
      <c r="AT91" s="504"/>
      <c r="AU91" s="577"/>
      <c r="AW91" s="577"/>
      <c r="AX91" s="823" t="s">
        <v>871</v>
      </c>
      <c r="AY91" s="621"/>
      <c r="AZ91" s="1049" t="s">
        <v>1016</v>
      </c>
      <c r="BA91" s="1049"/>
      <c r="BB91" s="1049"/>
      <c r="BC91" s="1049"/>
      <c r="BD91" s="1049"/>
      <c r="BE91" s="1049"/>
      <c r="BF91" s="1049"/>
      <c r="BG91" s="1049"/>
      <c r="BH91" s="1049"/>
      <c r="BI91" s="1049"/>
      <c r="BJ91" s="1049"/>
      <c r="BK91" s="1049"/>
      <c r="BL91" s="1049"/>
      <c r="BM91" s="1049"/>
      <c r="BN91" s="1049"/>
      <c r="BO91" s="1049"/>
      <c r="BP91" s="1049"/>
      <c r="BQ91" s="1049"/>
      <c r="BR91" s="577"/>
      <c r="CJ91" s="577"/>
      <c r="CK91" s="978"/>
      <c r="CL91" s="993"/>
      <c r="CM91" s="993"/>
      <c r="CN91" s="993"/>
      <c r="CO91" s="993"/>
      <c r="CP91" s="993"/>
      <c r="CQ91" s="993"/>
      <c r="CR91" s="993"/>
      <c r="CS91" s="993"/>
      <c r="CT91" s="993"/>
      <c r="CU91" s="993"/>
      <c r="CV91" s="993"/>
      <c r="CW91" s="993"/>
      <c r="CX91" s="993"/>
      <c r="CY91" s="993"/>
      <c r="CZ91" s="993"/>
      <c r="DA91" s="993"/>
      <c r="DB91" s="993"/>
      <c r="DC91" s="976"/>
      <c r="DD91" s="577"/>
      <c r="ES91" s="543"/>
      <c r="FL91" s="578" t="s">
        <v>426</v>
      </c>
      <c r="FM91" s="612">
        <f t="shared" ref="FM91:FX91" si="160">FM82</f>
        <v>0</v>
      </c>
      <c r="FN91" s="612">
        <f t="shared" si="160"/>
        <v>0</v>
      </c>
      <c r="FO91" s="612">
        <f t="shared" si="160"/>
        <v>0</v>
      </c>
      <c r="FP91" s="612">
        <f t="shared" si="160"/>
        <v>0</v>
      </c>
      <c r="FQ91" s="612">
        <f t="shared" si="160"/>
        <v>0</v>
      </c>
      <c r="FR91" s="612">
        <f t="shared" si="160"/>
        <v>0</v>
      </c>
      <c r="FS91" s="612">
        <f t="shared" si="160"/>
        <v>0</v>
      </c>
      <c r="FT91" s="612">
        <f t="shared" si="160"/>
        <v>0</v>
      </c>
      <c r="FU91" s="612">
        <f t="shared" si="160"/>
        <v>0</v>
      </c>
      <c r="FV91" s="612">
        <f t="shared" si="160"/>
        <v>0</v>
      </c>
      <c r="FW91" s="612">
        <f t="shared" si="160"/>
        <v>0</v>
      </c>
      <c r="FX91" s="612">
        <f t="shared" si="160"/>
        <v>0</v>
      </c>
      <c r="HQ91" s="536" t="s">
        <v>760</v>
      </c>
      <c r="ID91" s="514" t="s">
        <v>881</v>
      </c>
      <c r="IE91" s="500" t="s">
        <v>756</v>
      </c>
      <c r="IF91" s="711">
        <v>100</v>
      </c>
      <c r="IG91" s="503" t="s">
        <v>904</v>
      </c>
      <c r="IH91" s="503" t="s">
        <v>905</v>
      </c>
      <c r="II91" s="503" t="s">
        <v>906</v>
      </c>
      <c r="IJ91" s="503" t="s">
        <v>903</v>
      </c>
      <c r="IV91" s="503" t="s">
        <v>492</v>
      </c>
      <c r="IW91" s="643" t="e">
        <f>IW87/IW84</f>
        <v>#VALUE!</v>
      </c>
      <c r="MC91" s="671" t="e">
        <f>(MC88*$ME$78)+(ME88*$ME$79)</f>
        <v>#N/A</v>
      </c>
      <c r="MD91" s="672" t="e">
        <f>(MD88*$ME$78)+(MF88*$ME$79)</f>
        <v>#N/A</v>
      </c>
      <c r="MM91" s="543"/>
    </row>
    <row r="92" spans="1:351" ht="11.25" customHeight="1" thickBot="1">
      <c r="A92" s="543"/>
      <c r="B92" s="1044" t="s">
        <v>1042</v>
      </c>
      <c r="C92" s="1044"/>
      <c r="D92" s="1044"/>
      <c r="E92" s="1044"/>
      <c r="F92" s="1044"/>
      <c r="G92" s="1044"/>
      <c r="H92" s="1044"/>
      <c r="I92" s="1044"/>
      <c r="J92" s="1044"/>
      <c r="K92" s="1044"/>
      <c r="L92" s="1044"/>
      <c r="M92" s="1044"/>
      <c r="N92" s="1044"/>
      <c r="O92" s="1044"/>
      <c r="P92" s="1044"/>
      <c r="Q92" s="1044"/>
      <c r="R92" s="1044"/>
      <c r="S92" s="1044"/>
      <c r="T92" s="1044"/>
      <c r="U92" s="543"/>
      <c r="W92" s="577"/>
      <c r="X92" s="853"/>
      <c r="Y92" s="855" t="s">
        <v>586</v>
      </c>
      <c r="Z92" s="623"/>
      <c r="AA92" s="623"/>
      <c r="AB92" s="623"/>
      <c r="AC92" s="856" t="str">
        <f ca="1">MA113</f>
        <v/>
      </c>
      <c r="AD92" s="779"/>
      <c r="AE92" s="504"/>
      <c r="AF92" s="504"/>
      <c r="AG92" s="504"/>
      <c r="AH92" s="574" t="s">
        <v>580</v>
      </c>
      <c r="AI92" s="783" t="str">
        <f t="shared" ref="AI92:AT92" si="161">IF(AND($AI$91=$ET$19,ISTEXT(AI25)),ROUNDUP(AI23/$FZ$36,0),"")</f>
        <v/>
      </c>
      <c r="AJ92" s="783" t="str">
        <f t="shared" si="161"/>
        <v/>
      </c>
      <c r="AK92" s="783" t="str">
        <f t="shared" si="161"/>
        <v/>
      </c>
      <c r="AL92" s="783" t="str">
        <f t="shared" si="161"/>
        <v/>
      </c>
      <c r="AM92" s="783" t="str">
        <f t="shared" si="161"/>
        <v/>
      </c>
      <c r="AN92" s="783" t="str">
        <f t="shared" si="161"/>
        <v/>
      </c>
      <c r="AO92" s="783" t="str">
        <f t="shared" si="161"/>
        <v/>
      </c>
      <c r="AP92" s="783" t="str">
        <f t="shared" si="161"/>
        <v/>
      </c>
      <c r="AQ92" s="783" t="str">
        <f t="shared" si="161"/>
        <v/>
      </c>
      <c r="AR92" s="783" t="str">
        <f t="shared" si="161"/>
        <v/>
      </c>
      <c r="AS92" s="783" t="str">
        <f t="shared" si="161"/>
        <v/>
      </c>
      <c r="AT92" s="783" t="str">
        <f t="shared" si="161"/>
        <v/>
      </c>
      <c r="AU92" s="577"/>
      <c r="AW92" s="577"/>
      <c r="AX92" s="621"/>
      <c r="AY92" s="621"/>
      <c r="AZ92" s="1049"/>
      <c r="BA92" s="1049"/>
      <c r="BB92" s="1049"/>
      <c r="BC92" s="1049"/>
      <c r="BD92" s="1049"/>
      <c r="BE92" s="1049"/>
      <c r="BF92" s="1049"/>
      <c r="BG92" s="1049"/>
      <c r="BH92" s="1049"/>
      <c r="BI92" s="1049"/>
      <c r="BJ92" s="1049"/>
      <c r="BK92" s="1049"/>
      <c r="BL92" s="1049"/>
      <c r="BM92" s="1049"/>
      <c r="BN92" s="1049"/>
      <c r="BO92" s="1049"/>
      <c r="BP92" s="1049"/>
      <c r="BQ92" s="1049"/>
      <c r="BR92" s="577"/>
      <c r="CJ92" s="577"/>
      <c r="CK92" s="978"/>
      <c r="CL92" s="993"/>
      <c r="CM92" s="993"/>
      <c r="CN92" s="993"/>
      <c r="CO92" s="993"/>
      <c r="CP92" s="993"/>
      <c r="CQ92" s="993"/>
      <c r="CR92" s="993"/>
      <c r="CS92" s="993"/>
      <c r="CT92" s="993"/>
      <c r="CU92" s="993"/>
      <c r="CV92" s="993"/>
      <c r="CW92" s="993"/>
      <c r="CX92" s="993"/>
      <c r="CY92" s="993"/>
      <c r="CZ92" s="993"/>
      <c r="DA92" s="993"/>
      <c r="DB92" s="993"/>
      <c r="DC92" s="976"/>
      <c r="DD92" s="577"/>
      <c r="ES92" s="543"/>
      <c r="FL92" s="674" t="s">
        <v>430</v>
      </c>
      <c r="FM92" s="675">
        <f>SUM(FM91:FX91)</f>
        <v>0</v>
      </c>
      <c r="HQ92" s="536" t="s">
        <v>761</v>
      </c>
      <c r="ID92" s="514" t="s">
        <v>882</v>
      </c>
      <c r="IE92" s="500" t="s">
        <v>754</v>
      </c>
      <c r="IF92" s="604">
        <v>2.5</v>
      </c>
      <c r="IG92" s="503" t="s">
        <v>904</v>
      </c>
      <c r="IH92" s="503" t="s">
        <v>905</v>
      </c>
      <c r="II92" s="503" t="s">
        <v>906</v>
      </c>
      <c r="IJ92" s="503" t="s">
        <v>903</v>
      </c>
      <c r="IV92" s="524"/>
      <c r="MM92" s="543"/>
    </row>
    <row r="93" spans="1:351" ht="11.25" customHeight="1" thickBot="1">
      <c r="A93" s="543"/>
      <c r="B93" s="1044"/>
      <c r="C93" s="1044"/>
      <c r="D93" s="1044"/>
      <c r="E93" s="1044"/>
      <c r="F93" s="1044"/>
      <c r="G93" s="1044"/>
      <c r="H93" s="1044"/>
      <c r="I93" s="1044"/>
      <c r="J93" s="1044"/>
      <c r="K93" s="1044"/>
      <c r="L93" s="1044"/>
      <c r="M93" s="1044"/>
      <c r="N93" s="1044"/>
      <c r="O93" s="1044"/>
      <c r="P93" s="1044"/>
      <c r="Q93" s="1044"/>
      <c r="R93" s="1044"/>
      <c r="S93" s="1044"/>
      <c r="T93" s="1044"/>
      <c r="U93" s="543"/>
      <c r="W93" s="577"/>
      <c r="X93" s="526"/>
      <c r="Y93" s="526"/>
      <c r="Z93" s="526"/>
      <c r="AA93" s="526"/>
      <c r="AB93" s="526"/>
      <c r="AC93" s="526"/>
      <c r="AD93" s="779"/>
      <c r="AE93" s="504"/>
      <c r="AF93" s="504"/>
      <c r="AG93" s="504"/>
      <c r="AH93" s="574" t="s">
        <v>570</v>
      </c>
      <c r="AI93" s="783" t="str">
        <f t="shared" ref="AI93:AT93" si="162">IF(AND($AI$91=$ET$19,ISTEXT(AI25)),ROUNDUP(AI23/$FZ$37,0),"")</f>
        <v/>
      </c>
      <c r="AJ93" s="783" t="str">
        <f t="shared" si="162"/>
        <v/>
      </c>
      <c r="AK93" s="783" t="str">
        <f t="shared" si="162"/>
        <v/>
      </c>
      <c r="AL93" s="783" t="str">
        <f t="shared" si="162"/>
        <v/>
      </c>
      <c r="AM93" s="783" t="str">
        <f t="shared" si="162"/>
        <v/>
      </c>
      <c r="AN93" s="783" t="str">
        <f t="shared" si="162"/>
        <v/>
      </c>
      <c r="AO93" s="783" t="str">
        <f t="shared" si="162"/>
        <v/>
      </c>
      <c r="AP93" s="783" t="str">
        <f t="shared" si="162"/>
        <v/>
      </c>
      <c r="AQ93" s="783" t="str">
        <f t="shared" si="162"/>
        <v/>
      </c>
      <c r="AR93" s="783" t="str">
        <f t="shared" si="162"/>
        <v/>
      </c>
      <c r="AS93" s="783" t="str">
        <f t="shared" si="162"/>
        <v/>
      </c>
      <c r="AT93" s="783" t="str">
        <f t="shared" si="162"/>
        <v/>
      </c>
      <c r="AU93" s="577"/>
      <c r="AW93" s="577"/>
      <c r="AX93" s="823" t="s">
        <v>872</v>
      </c>
      <c r="AY93" s="621"/>
      <c r="AZ93" s="621" t="s">
        <v>1092</v>
      </c>
      <c r="BA93" s="801"/>
      <c r="BB93" s="801"/>
      <c r="BC93" s="801"/>
      <c r="BD93" s="801"/>
      <c r="BE93" s="801"/>
      <c r="BF93" s="801"/>
      <c r="BG93" s="801"/>
      <c r="BH93" s="801"/>
      <c r="BI93" s="801"/>
      <c r="BJ93" s="801"/>
      <c r="BK93" s="801"/>
      <c r="BL93" s="801"/>
      <c r="BM93" s="801"/>
      <c r="BN93" s="801"/>
      <c r="BO93" s="801"/>
      <c r="BP93" s="801"/>
      <c r="BQ93" s="801"/>
      <c r="BR93" s="577"/>
      <c r="CJ93" s="577"/>
      <c r="CK93" s="577"/>
      <c r="CL93" s="577"/>
      <c r="CM93" s="577"/>
      <c r="CN93" s="577"/>
      <c r="CO93" s="577"/>
      <c r="CP93" s="577"/>
      <c r="CQ93" s="577"/>
      <c r="CR93" s="577"/>
      <c r="CS93" s="577"/>
      <c r="CT93" s="577"/>
      <c r="CU93" s="577"/>
      <c r="CV93" s="577"/>
      <c r="CW93" s="577"/>
      <c r="CX93" s="577"/>
      <c r="CY93" s="577"/>
      <c r="CZ93" s="577"/>
      <c r="DA93" s="577"/>
      <c r="DB93" s="577"/>
      <c r="DC93" s="577"/>
      <c r="DD93" s="577"/>
      <c r="ES93" s="543"/>
      <c r="HP93" s="649" t="s">
        <v>759</v>
      </c>
      <c r="HQ93" s="641">
        <v>6</v>
      </c>
      <c r="HR93" s="641">
        <f t="shared" ref="HR93:IB93" si="163">IF(AND($BN$79&gt;=HR65,$BN$79&lt;HQ65),$BN$79,HR65)</f>
        <v>5.5</v>
      </c>
      <c r="HS93" s="641">
        <f t="shared" si="163"/>
        <v>5</v>
      </c>
      <c r="HT93" s="641">
        <f t="shared" si="163"/>
        <v>4.5</v>
      </c>
      <c r="HU93" s="641">
        <f t="shared" si="163"/>
        <v>4</v>
      </c>
      <c r="HV93" s="641">
        <f t="shared" si="163"/>
        <v>3.5</v>
      </c>
      <c r="HW93" s="641">
        <f t="shared" si="163"/>
        <v>3</v>
      </c>
      <c r="HX93" s="641">
        <f t="shared" si="163"/>
        <v>2.5</v>
      </c>
      <c r="HY93" s="641">
        <f t="shared" si="163"/>
        <v>2</v>
      </c>
      <c r="HZ93" s="641">
        <f t="shared" si="163"/>
        <v>1.5</v>
      </c>
      <c r="IA93" s="641">
        <f t="shared" si="163"/>
        <v>1</v>
      </c>
      <c r="IB93" s="641">
        <f t="shared" si="163"/>
        <v>1E-4</v>
      </c>
      <c r="ID93" s="514" t="s">
        <v>883</v>
      </c>
      <c r="IE93" s="500" t="s">
        <v>754</v>
      </c>
      <c r="IF93" s="604">
        <v>1</v>
      </c>
      <c r="IG93" s="503" t="s">
        <v>904</v>
      </c>
      <c r="IH93" s="503" t="s">
        <v>905</v>
      </c>
      <c r="II93" s="503" t="s">
        <v>906</v>
      </c>
      <c r="IJ93" s="503" t="s">
        <v>903</v>
      </c>
      <c r="IV93" s="503" t="s">
        <v>493</v>
      </c>
      <c r="IW93" s="643" t="e">
        <f>INDEX(BC_WallR,MATCH($D$65,BC_WAZones,0),MATCH(CW32,BC_WallShade,0))</f>
        <v>#N/A</v>
      </c>
      <c r="LZ93" s="543" t="s">
        <v>635</v>
      </c>
      <c r="MA93" s="543"/>
      <c r="MB93" s="543"/>
      <c r="MC93" s="676" t="e">
        <f>(MC90*$MC$66)+(MC91*$MC$67)</f>
        <v>#N/A</v>
      </c>
      <c r="MD93" s="677" t="e">
        <f>(MD90*$MC$66)+(MD91*$MC$67)</f>
        <v>#N/A</v>
      </c>
      <c r="MJ93" s="678"/>
      <c r="MM93" s="543"/>
    </row>
    <row r="94" spans="1:351" ht="11.25" customHeight="1" thickBot="1">
      <c r="A94" s="543"/>
      <c r="B94" s="1044" t="s">
        <v>1076</v>
      </c>
      <c r="C94" s="1044"/>
      <c r="D94" s="1044"/>
      <c r="E94" s="1044"/>
      <c r="F94" s="1044"/>
      <c r="G94" s="1044"/>
      <c r="H94" s="1044"/>
      <c r="I94" s="1044"/>
      <c r="J94" s="1044"/>
      <c r="K94" s="1044"/>
      <c r="L94" s="1044"/>
      <c r="M94" s="1044"/>
      <c r="N94" s="1044"/>
      <c r="O94" s="1044"/>
      <c r="P94" s="1044"/>
      <c r="Q94" s="1044"/>
      <c r="R94" s="1044"/>
      <c r="S94" s="1044"/>
      <c r="T94" s="1044"/>
      <c r="U94" s="543"/>
      <c r="W94" s="577"/>
      <c r="X94" s="852" t="s">
        <v>587</v>
      </c>
      <c r="Y94" s="526"/>
      <c r="Z94" s="526"/>
      <c r="AA94" s="526"/>
      <c r="AB94" s="526"/>
      <c r="AC94" s="526"/>
      <c r="AD94" s="779"/>
      <c r="AE94" s="504"/>
      <c r="AF94" s="504"/>
      <c r="AG94" s="504"/>
      <c r="AH94" s="504"/>
      <c r="AI94" s="504"/>
      <c r="AJ94" s="504"/>
      <c r="AK94" s="504"/>
      <c r="AL94" s="504"/>
      <c r="AM94" s="504"/>
      <c r="AN94" s="504"/>
      <c r="AO94" s="504"/>
      <c r="AP94" s="504"/>
      <c r="AQ94" s="504"/>
      <c r="AR94" s="504"/>
      <c r="AS94" s="504"/>
      <c r="AT94" s="504"/>
      <c r="AU94" s="577"/>
      <c r="AW94" s="577"/>
      <c r="AX94" s="603" t="s">
        <v>1017</v>
      </c>
      <c r="AY94" s="515"/>
      <c r="AZ94" s="1047" t="s">
        <v>1086</v>
      </c>
      <c r="BA94" s="1047"/>
      <c r="BB94" s="1047"/>
      <c r="BC94" s="1047"/>
      <c r="BD94" s="1047"/>
      <c r="BE94" s="1047"/>
      <c r="BF94" s="1047"/>
      <c r="BG94" s="1047"/>
      <c r="BH94" s="1047"/>
      <c r="BI94" s="1047"/>
      <c r="BJ94" s="1047"/>
      <c r="BK94" s="1047"/>
      <c r="BL94" s="1047"/>
      <c r="BM94" s="1047"/>
      <c r="BN94" s="1047"/>
      <c r="BO94" s="1047"/>
      <c r="BP94" s="1047"/>
      <c r="BQ94" s="1047"/>
      <c r="BR94" s="577"/>
      <c r="ES94" s="543"/>
      <c r="HN94" s="635" t="s">
        <v>755</v>
      </c>
      <c r="HO94" s="500" t="s">
        <v>756</v>
      </c>
      <c r="HP94" s="642">
        <v>0.05</v>
      </c>
      <c r="HQ94" s="500" t="s">
        <v>757</v>
      </c>
      <c r="HR94" s="500" t="s">
        <v>757</v>
      </c>
      <c r="HS94" s="500" t="s">
        <v>757</v>
      </c>
      <c r="HT94" s="500" t="s">
        <v>757</v>
      </c>
      <c r="HU94" s="500" t="s">
        <v>757</v>
      </c>
      <c r="HV94" s="500" t="s">
        <v>757</v>
      </c>
      <c r="HW94" s="500" t="s">
        <v>757</v>
      </c>
      <c r="HX94" s="500" t="s">
        <v>757</v>
      </c>
      <c r="HY94" s="500" t="s">
        <v>757</v>
      </c>
      <c r="HZ94" s="500" t="s">
        <v>757</v>
      </c>
      <c r="IA94" s="500" t="s">
        <v>757</v>
      </c>
      <c r="IB94" s="500" t="s">
        <v>757</v>
      </c>
      <c r="ID94" s="514" t="s">
        <v>884</v>
      </c>
      <c r="IE94" s="500" t="s">
        <v>754</v>
      </c>
      <c r="IF94" s="604">
        <v>0.5</v>
      </c>
      <c r="IG94" s="503" t="s">
        <v>904</v>
      </c>
      <c r="IH94" s="503" t="s">
        <v>905</v>
      </c>
      <c r="II94" s="503" t="s">
        <v>906</v>
      </c>
      <c r="IJ94" s="503" t="s">
        <v>903</v>
      </c>
      <c r="IV94" s="503"/>
      <c r="IW94" s="500"/>
      <c r="MC94" s="679" t="e">
        <f>MC73</f>
        <v>#DIV/0!</v>
      </c>
      <c r="MD94" s="679" t="e">
        <f>MD73</f>
        <v>#N/A</v>
      </c>
      <c r="ME94" s="509" t="s">
        <v>636</v>
      </c>
      <c r="MJ94" s="680"/>
      <c r="ML94" s="681"/>
      <c r="MM94" s="543"/>
    </row>
    <row r="95" spans="1:351" ht="11.25" customHeight="1" thickBot="1">
      <c r="A95" s="543"/>
      <c r="B95" s="1044"/>
      <c r="C95" s="1044"/>
      <c r="D95" s="1044"/>
      <c r="E95" s="1044"/>
      <c r="F95" s="1044"/>
      <c r="G95" s="1044"/>
      <c r="H95" s="1044"/>
      <c r="I95" s="1044"/>
      <c r="J95" s="1044"/>
      <c r="K95" s="1044"/>
      <c r="L95" s="1044"/>
      <c r="M95" s="1044"/>
      <c r="N95" s="1044"/>
      <c r="O95" s="1044"/>
      <c r="P95" s="1044"/>
      <c r="Q95" s="1044"/>
      <c r="R95" s="1044"/>
      <c r="S95" s="1044"/>
      <c r="T95" s="1044"/>
      <c r="U95" s="543"/>
      <c r="W95" s="577"/>
      <c r="X95" s="779"/>
      <c r="Y95" s="623" t="s">
        <v>439</v>
      </c>
      <c r="Z95" s="623"/>
      <c r="AA95" s="623"/>
      <c r="AB95" s="623"/>
      <c r="AC95" s="910" t="str">
        <f ca="1">IF(ISERROR(MA108),"",ME83)</f>
        <v/>
      </c>
      <c r="AD95" s="857" t="str">
        <f ca="1">IF(ISERROR(MA108),$ET$17,IF(AC95&gt;=AC91,$ET$15,$ET$16))</f>
        <v>Data</v>
      </c>
      <c r="AE95" s="504"/>
      <c r="AF95" s="504"/>
      <c r="AG95" s="504"/>
      <c r="AH95" s="560" t="s">
        <v>578</v>
      </c>
      <c r="AI95" s="1031" t="str">
        <f>IF(AI89="","",IF(OR($D$65=6,OR($T$52=$ET$50,FZ40&gt;0)),ET55,IF(AI89=ET17,ET17,IF(AI89=ET16,ET16,IF(FM92/FM97&gt;=2,ET19,ET18)))))</f>
        <v/>
      </c>
      <c r="AJ95" s="1123"/>
      <c r="AK95" s="1032"/>
      <c r="AL95" s="527" t="s">
        <v>582</v>
      </c>
      <c r="AM95" s="1069" t="str">
        <f>IF(AI95="","",IF(OR($D$65=6,OR($T$52=$ET$50,FZ40&gt;0)),ET55,IF(AI95=ET17,ET17,IF(AI95=ET16,ET16,IF(AI95=ET55,ET55,IF(FM92/FM97=1,ET18,IF(FM92/FM97&gt;2,"",FM92/FM97)))))))</f>
        <v/>
      </c>
      <c r="AN95" s="1126"/>
      <c r="AO95" s="1070"/>
      <c r="AP95" s="504"/>
      <c r="AQ95" s="504"/>
      <c r="AR95" s="504"/>
      <c r="AS95" s="504"/>
      <c r="AT95" s="504"/>
      <c r="AU95" s="577"/>
      <c r="AW95" s="577"/>
      <c r="AX95" s="515"/>
      <c r="AY95" s="515"/>
      <c r="AZ95" s="1047"/>
      <c r="BA95" s="1047"/>
      <c r="BB95" s="1047"/>
      <c r="BC95" s="1047"/>
      <c r="BD95" s="1047"/>
      <c r="BE95" s="1047"/>
      <c r="BF95" s="1047"/>
      <c r="BG95" s="1047"/>
      <c r="BH95" s="1047"/>
      <c r="BI95" s="1047"/>
      <c r="BJ95" s="1047"/>
      <c r="BK95" s="1047"/>
      <c r="BL95" s="1047"/>
      <c r="BM95" s="1047"/>
      <c r="BN95" s="1047"/>
      <c r="BO95" s="1047"/>
      <c r="BP95" s="1047"/>
      <c r="BQ95" s="1047"/>
      <c r="BR95" s="577"/>
      <c r="ES95" s="543"/>
      <c r="FL95" s="578" t="s">
        <v>424</v>
      </c>
      <c r="FM95" s="682" t="e">
        <f t="shared" ref="FM95:FX95" si="164">INDEX(BC_AirMove,MATCH($D$65,BC_WAZones,0),1)</f>
        <v>#N/A</v>
      </c>
      <c r="FN95" s="682" t="e">
        <f t="shared" si="164"/>
        <v>#N/A</v>
      </c>
      <c r="FO95" s="682" t="e">
        <f t="shared" si="164"/>
        <v>#N/A</v>
      </c>
      <c r="FP95" s="682" t="e">
        <f t="shared" si="164"/>
        <v>#N/A</v>
      </c>
      <c r="FQ95" s="682" t="e">
        <f t="shared" si="164"/>
        <v>#N/A</v>
      </c>
      <c r="FR95" s="682" t="e">
        <f t="shared" si="164"/>
        <v>#N/A</v>
      </c>
      <c r="FS95" s="682" t="e">
        <f t="shared" si="164"/>
        <v>#N/A</v>
      </c>
      <c r="FT95" s="682" t="e">
        <f t="shared" si="164"/>
        <v>#N/A</v>
      </c>
      <c r="FU95" s="682" t="e">
        <f t="shared" si="164"/>
        <v>#N/A</v>
      </c>
      <c r="FV95" s="682" t="e">
        <f t="shared" si="164"/>
        <v>#N/A</v>
      </c>
      <c r="FW95" s="682" t="e">
        <f t="shared" si="164"/>
        <v>#N/A</v>
      </c>
      <c r="FX95" s="682" t="e">
        <f t="shared" si="164"/>
        <v>#N/A</v>
      </c>
      <c r="GE95" s="578"/>
      <c r="GF95" s="498" t="s">
        <v>785</v>
      </c>
      <c r="GI95" s="498" t="s">
        <v>783</v>
      </c>
      <c r="HN95" s="635" t="s">
        <v>747</v>
      </c>
      <c r="HO95" s="500" t="s">
        <v>754</v>
      </c>
      <c r="HP95" s="642">
        <v>0.05</v>
      </c>
      <c r="HQ95" s="500" t="s">
        <v>757</v>
      </c>
      <c r="HR95" s="500" t="s">
        <v>757</v>
      </c>
      <c r="HS95" s="500" t="s">
        <v>757</v>
      </c>
      <c r="HT95" s="500" t="s">
        <v>757</v>
      </c>
      <c r="HU95" s="500" t="s">
        <v>757</v>
      </c>
      <c r="HV95" s="500" t="s">
        <v>757</v>
      </c>
      <c r="HW95" s="500" t="s">
        <v>757</v>
      </c>
      <c r="HX95" s="911">
        <f>IF(HX93&gt;$HX$65,$HX$74,$HX$73)</f>
        <v>5</v>
      </c>
      <c r="HY95" s="652">
        <f>HY73+((HX73-HY73)*((HY$93-HY$65)/0.5))</f>
        <v>3.4</v>
      </c>
      <c r="HZ95" s="652">
        <f>HZ73+((HY73-HZ73)*((HZ$93-HZ$65)/0.5))</f>
        <v>2.2000000000000002</v>
      </c>
      <c r="IA95" s="652">
        <f>IA73+((HZ73-IA73)*((IA$93-IA$65)/0.5))</f>
        <v>1.3</v>
      </c>
      <c r="IB95" s="566">
        <f>IB73+((IA73-IB73)*((IB$93-IB$65)/1))</f>
        <v>0.3</v>
      </c>
      <c r="IF95" s="509" t="s">
        <v>918</v>
      </c>
      <c r="IV95" s="503" t="s">
        <v>463</v>
      </c>
      <c r="IW95" s="643" t="e">
        <f>IW93*IW91</f>
        <v>#N/A</v>
      </c>
      <c r="ML95" s="562"/>
      <c r="MM95" s="543"/>
    </row>
    <row r="96" spans="1:351" ht="11.25" customHeight="1" thickBot="1">
      <c r="A96" s="543"/>
      <c r="B96" s="1044"/>
      <c r="C96" s="1044"/>
      <c r="D96" s="1044"/>
      <c r="E96" s="1044"/>
      <c r="F96" s="1044"/>
      <c r="G96" s="1044"/>
      <c r="H96" s="1044"/>
      <c r="I96" s="1044"/>
      <c r="J96" s="1044"/>
      <c r="K96" s="1044"/>
      <c r="L96" s="1044"/>
      <c r="M96" s="1044"/>
      <c r="N96" s="1044"/>
      <c r="O96" s="1044"/>
      <c r="P96" s="1044"/>
      <c r="Q96" s="1044"/>
      <c r="R96" s="1044"/>
      <c r="S96" s="1044"/>
      <c r="T96" s="1044"/>
      <c r="U96" s="543"/>
      <c r="W96" s="577"/>
      <c r="X96" s="779"/>
      <c r="Y96" s="623" t="s">
        <v>595</v>
      </c>
      <c r="Z96" s="623"/>
      <c r="AA96" s="623"/>
      <c r="AB96" s="623"/>
      <c r="AC96" s="910" t="str">
        <f ca="1">IF(ISERROR(MA109),"",MF83)</f>
        <v/>
      </c>
      <c r="AD96" s="857" t="str">
        <f ca="1">IF(ISERROR(MA109),$ET$17,IF(AC96&gt;=AC92,$ET$15,$ET$16))</f>
        <v>Data</v>
      </c>
      <c r="AE96" s="504"/>
      <c r="AF96" s="504"/>
      <c r="AG96" s="504"/>
      <c r="AH96" s="504"/>
      <c r="AI96" s="504"/>
      <c r="AJ96" s="504"/>
      <c r="AK96" s="504"/>
      <c r="AL96" s="504"/>
      <c r="AM96" s="504"/>
      <c r="AN96" s="504"/>
      <c r="AO96" s="504"/>
      <c r="AP96" s="504"/>
      <c r="AQ96" s="504"/>
      <c r="AR96" s="504"/>
      <c r="AS96" s="504"/>
      <c r="AT96" s="504"/>
      <c r="AU96" s="577"/>
      <c r="AW96" s="577"/>
      <c r="AX96" s="515"/>
      <c r="AY96" s="515"/>
      <c r="AZ96" s="1047"/>
      <c r="BA96" s="1047"/>
      <c r="BB96" s="1047"/>
      <c r="BC96" s="1047"/>
      <c r="BD96" s="1047"/>
      <c r="BE96" s="1047"/>
      <c r="BF96" s="1047"/>
      <c r="BG96" s="1047"/>
      <c r="BH96" s="1047"/>
      <c r="BI96" s="1047"/>
      <c r="BJ96" s="1047"/>
      <c r="BK96" s="1047"/>
      <c r="BL96" s="1047"/>
      <c r="BM96" s="1047"/>
      <c r="BN96" s="1047"/>
      <c r="BO96" s="1047"/>
      <c r="BP96" s="1047"/>
      <c r="BQ96" s="1047"/>
      <c r="BR96" s="577"/>
      <c r="ES96" s="543"/>
      <c r="FL96" s="578" t="s">
        <v>425</v>
      </c>
      <c r="FM96" s="497" t="e">
        <f t="shared" ref="FM96:FX96" si="165">FM95*AI23</f>
        <v>#N/A</v>
      </c>
      <c r="FN96" s="497" t="e">
        <f t="shared" si="165"/>
        <v>#N/A</v>
      </c>
      <c r="FO96" s="497" t="e">
        <f t="shared" si="165"/>
        <v>#N/A</v>
      </c>
      <c r="FP96" s="497" t="e">
        <f t="shared" si="165"/>
        <v>#N/A</v>
      </c>
      <c r="FQ96" s="497" t="e">
        <f t="shared" si="165"/>
        <v>#N/A</v>
      </c>
      <c r="FR96" s="497" t="e">
        <f t="shared" si="165"/>
        <v>#N/A</v>
      </c>
      <c r="FS96" s="497" t="e">
        <f t="shared" si="165"/>
        <v>#N/A</v>
      </c>
      <c r="FT96" s="497" t="e">
        <f t="shared" si="165"/>
        <v>#N/A</v>
      </c>
      <c r="FU96" s="497" t="e">
        <f t="shared" si="165"/>
        <v>#N/A</v>
      </c>
      <c r="FV96" s="497" t="e">
        <f t="shared" si="165"/>
        <v>#N/A</v>
      </c>
      <c r="FW96" s="497" t="e">
        <f t="shared" si="165"/>
        <v>#N/A</v>
      </c>
      <c r="FX96" s="497" t="e">
        <f t="shared" si="165"/>
        <v>#N/A</v>
      </c>
      <c r="GE96" s="578" t="s">
        <v>826</v>
      </c>
      <c r="GF96" s="503" t="s">
        <v>455</v>
      </c>
      <c r="GG96" s="683" t="e">
        <f>INDEX(BC_RoofValues,MATCH(AX26,BC_RoofConst,0),7)</f>
        <v>#N/A</v>
      </c>
      <c r="GI96" s="497" t="s">
        <v>788</v>
      </c>
      <c r="HN96" s="635" t="s">
        <v>752</v>
      </c>
      <c r="HO96" s="500" t="s">
        <v>754</v>
      </c>
      <c r="HP96" s="642">
        <v>0.04</v>
      </c>
      <c r="HQ96" s="500" t="s">
        <v>757</v>
      </c>
      <c r="HR96" s="563" t="s">
        <v>757</v>
      </c>
      <c r="HS96" s="563" t="s">
        <v>757</v>
      </c>
      <c r="HT96" s="563" t="s">
        <v>757</v>
      </c>
      <c r="HU96" s="563" t="s">
        <v>757</v>
      </c>
      <c r="HV96" s="563" t="s">
        <v>757</v>
      </c>
      <c r="HW96" s="911">
        <f>IF(HW93&gt;$HW$65,$HW$74,$HW$72)</f>
        <v>5.7</v>
      </c>
      <c r="HX96" s="652">
        <f>HX72+((HW72-HX72)*((HX$93-HX$65)/0.5))</f>
        <v>4.2</v>
      </c>
      <c r="HY96" s="652">
        <f>HY72+((HX72-HY72)*((HY$93-HY$65)/0.5))</f>
        <v>3</v>
      </c>
      <c r="HZ96" s="652">
        <f>HZ72+((HY72-HZ72)*((HZ$93-HZ$65)/0.5))</f>
        <v>2</v>
      </c>
      <c r="IA96" s="652">
        <f>IA72+((HZ72-IA72)*((IA$93-IA$65)/0.5))</f>
        <v>1.2</v>
      </c>
      <c r="IB96" s="566">
        <f>IB72+((IA72-IB72)*((IB$93-IB$65)/1))</f>
        <v>0.2</v>
      </c>
      <c r="IV96" s="503"/>
      <c r="IW96" s="500"/>
      <c r="ML96" s="562"/>
      <c r="MM96" s="543"/>
    </row>
    <row r="97" spans="1:351" ht="11.25" customHeight="1">
      <c r="A97" s="543"/>
      <c r="B97" s="1044"/>
      <c r="C97" s="1044"/>
      <c r="D97" s="1044"/>
      <c r="E97" s="1044"/>
      <c r="F97" s="1044"/>
      <c r="G97" s="1044"/>
      <c r="H97" s="1044"/>
      <c r="I97" s="1044"/>
      <c r="J97" s="1044"/>
      <c r="K97" s="1044"/>
      <c r="L97" s="1044"/>
      <c r="M97" s="1044"/>
      <c r="N97" s="1044"/>
      <c r="O97" s="1044"/>
      <c r="P97" s="1044"/>
      <c r="Q97" s="1044"/>
      <c r="R97" s="1044"/>
      <c r="S97" s="1044"/>
      <c r="T97" s="1044"/>
      <c r="U97" s="543"/>
      <c r="W97" s="577"/>
      <c r="X97" s="779"/>
      <c r="Y97" s="779"/>
      <c r="Z97" s="779"/>
      <c r="AA97" s="779"/>
      <c r="AB97" s="779"/>
      <c r="AC97" s="779"/>
      <c r="AD97" s="779"/>
      <c r="AE97" s="516"/>
      <c r="AF97" s="516"/>
      <c r="AG97" s="516"/>
      <c r="AH97" s="516"/>
      <c r="AI97" s="516"/>
      <c r="AJ97" s="516"/>
      <c r="AK97" s="516"/>
      <c r="AL97" s="516"/>
      <c r="AM97" s="516"/>
      <c r="AN97" s="516"/>
      <c r="AO97" s="516"/>
      <c r="AP97" s="516"/>
      <c r="AQ97" s="516"/>
      <c r="AR97" s="516"/>
      <c r="AS97" s="516"/>
      <c r="AT97" s="516"/>
      <c r="AU97" s="577"/>
      <c r="AW97" s="577"/>
      <c r="AX97" s="603" t="s">
        <v>1033</v>
      </c>
      <c r="AY97" s="515"/>
      <c r="AZ97" s="1048" t="s">
        <v>1094</v>
      </c>
      <c r="BA97" s="1048"/>
      <c r="BB97" s="1048"/>
      <c r="BC97" s="1048"/>
      <c r="BD97" s="1048"/>
      <c r="BE97" s="1048"/>
      <c r="BF97" s="1048"/>
      <c r="BG97" s="1048"/>
      <c r="BH97" s="1048"/>
      <c r="BI97" s="1048"/>
      <c r="BJ97" s="1048"/>
      <c r="BK97" s="1048"/>
      <c r="BL97" s="1048"/>
      <c r="BM97" s="1048"/>
      <c r="BN97" s="1048"/>
      <c r="BO97" s="1048"/>
      <c r="BP97" s="1048"/>
      <c r="BQ97" s="1048"/>
      <c r="BR97" s="577"/>
      <c r="ES97" s="543"/>
      <c r="FL97" s="674" t="s">
        <v>431</v>
      </c>
      <c r="FM97" s="675" t="e">
        <f>SUM(FM96:FX96)</f>
        <v>#N/A</v>
      </c>
      <c r="GE97" s="684" t="s">
        <v>660</v>
      </c>
      <c r="GF97" s="685" t="e">
        <f>CONCATENATE(INDEX(BC_RoofConst,MATCH(CONCATENATE(MID($AX$26,1,11),", ",MID(BB31,5,100)," - ",BI31),BC_RoofAlter,0),1)," R",INDEX(BC_RoofValues,MATCH(CONCATENATE(MID($AX$26,1,11),", ",MID(BB31,5,100)," - ",BI31),BC_RoofAlter,0),6))</f>
        <v>#N/A</v>
      </c>
      <c r="GI97" s="500" t="b">
        <f>ISBLANK(AX26)</f>
        <v>1</v>
      </c>
      <c r="GJ97" s="500" t="b">
        <f>ISBLANK(BK26)</f>
        <v>1</v>
      </c>
      <c r="GN97" s="514">
        <f>COUNTIF(GI97:GM97,TRUE())</f>
        <v>2</v>
      </c>
      <c r="HN97" s="635" t="s">
        <v>751</v>
      </c>
      <c r="HO97" s="500" t="s">
        <v>754</v>
      </c>
      <c r="HP97" s="642">
        <v>0.03</v>
      </c>
      <c r="HQ97" s="500" t="s">
        <v>757</v>
      </c>
      <c r="HR97" s="563" t="s">
        <v>757</v>
      </c>
      <c r="HS97" s="563" t="s">
        <v>757</v>
      </c>
      <c r="HT97" s="563" t="s">
        <v>757</v>
      </c>
      <c r="HU97" s="563" t="s">
        <v>757</v>
      </c>
      <c r="HV97" s="911">
        <f>IF(HV93&gt;$HV$65,$HV$74,$HV$71)</f>
        <v>5.9</v>
      </c>
      <c r="HW97" s="652">
        <f t="shared" ref="HW97:IA97" si="166">HW71+((HV71-HW71)*((HW$93-HW$65)/0.5))</f>
        <v>4.5999999999999996</v>
      </c>
      <c r="HX97" s="652">
        <f t="shared" si="166"/>
        <v>3.6</v>
      </c>
      <c r="HY97" s="652">
        <f t="shared" si="166"/>
        <v>2.6</v>
      </c>
      <c r="HZ97" s="652">
        <f t="shared" si="166"/>
        <v>1.9</v>
      </c>
      <c r="IA97" s="652">
        <f t="shared" si="166"/>
        <v>1.2</v>
      </c>
      <c r="IB97" s="566">
        <f>IB71+((IA71-IB71)*((IB$93-IB$65)/1))</f>
        <v>0.2</v>
      </c>
      <c r="IV97" s="503" t="s">
        <v>464</v>
      </c>
      <c r="IW97" s="643" t="e">
        <f>IF((IW89+IW95)&gt;IW93,IW93,IW89+IW95)</f>
        <v>#N/A</v>
      </c>
      <c r="MB97" s="498" t="s">
        <v>628</v>
      </c>
      <c r="MM97" s="543"/>
    </row>
    <row r="98" spans="1:351" ht="11.25" customHeight="1">
      <c r="A98" s="543"/>
      <c r="B98" s="1044"/>
      <c r="C98" s="1044"/>
      <c r="D98" s="1044"/>
      <c r="E98" s="1044"/>
      <c r="F98" s="1044"/>
      <c r="G98" s="1044"/>
      <c r="H98" s="1044"/>
      <c r="I98" s="1044"/>
      <c r="J98" s="1044"/>
      <c r="K98" s="1044"/>
      <c r="L98" s="1044"/>
      <c r="M98" s="1044"/>
      <c r="N98" s="1044"/>
      <c r="O98" s="1044"/>
      <c r="P98" s="1044"/>
      <c r="Q98" s="1044"/>
      <c r="R98" s="1044"/>
      <c r="S98" s="1044"/>
      <c r="T98" s="1044"/>
      <c r="U98" s="543"/>
      <c r="W98" s="577"/>
      <c r="X98" s="603" t="s">
        <v>870</v>
      </c>
      <c r="Y98" s="515"/>
      <c r="Z98" s="515" t="s">
        <v>1111</v>
      </c>
      <c r="AA98" s="515"/>
      <c r="AB98" s="515"/>
      <c r="AC98" s="515"/>
      <c r="AD98" s="515"/>
      <c r="AE98" s="621"/>
      <c r="AF98" s="621"/>
      <c r="AG98" s="621"/>
      <c r="AH98" s="621"/>
      <c r="AI98" s="621"/>
      <c r="AJ98" s="621"/>
      <c r="AK98" s="621"/>
      <c r="AL98" s="621"/>
      <c r="AM98" s="621"/>
      <c r="AN98" s="621"/>
      <c r="AO98" s="621"/>
      <c r="AP98" s="621"/>
      <c r="AQ98" s="621"/>
      <c r="AR98" s="621"/>
      <c r="AS98" s="621"/>
      <c r="AT98" s="621"/>
      <c r="AU98" s="577"/>
      <c r="AW98" s="577"/>
      <c r="AX98" s="823" t="s">
        <v>1010</v>
      </c>
      <c r="AY98" s="621"/>
      <c r="AZ98" s="889"/>
      <c r="BA98" s="889"/>
      <c r="BB98" s="889"/>
      <c r="BC98" s="889"/>
      <c r="BD98" s="889"/>
      <c r="BE98" s="889"/>
      <c r="BF98" s="889"/>
      <c r="BG98" s="889"/>
      <c r="BH98" s="889"/>
      <c r="BI98" s="889"/>
      <c r="BJ98" s="889"/>
      <c r="BK98" s="889"/>
      <c r="BL98" s="889"/>
      <c r="BM98" s="889"/>
      <c r="BN98" s="889"/>
      <c r="BO98" s="889"/>
      <c r="BP98" s="889"/>
      <c r="BQ98" s="889"/>
      <c r="BR98" s="577"/>
      <c r="ES98" s="543"/>
      <c r="GE98" s="578" t="s">
        <v>661</v>
      </c>
      <c r="GF98" s="686" t="e">
        <f>CONCATENATE(INDEX(BC_RoofConst,MATCH(CONCATENATE(MID(AY31,5,11),", ",MID($AX$26,14,FIND("-",$AX$26,1)-15)," - ",BI31),BC_RoofAlter,0),1)," R",INDEX(BC_RoofValues,MATCH(CONCATENATE(MID(AY31,5,11),", ",MID($AX$26,14,FIND("-",$AX$26,1)-15)," - ",BI31),BC_RoofAlter,0),6))</f>
        <v>#VALUE!</v>
      </c>
      <c r="GI98" s="497" t="s">
        <v>785</v>
      </c>
      <c r="HN98" s="635" t="s">
        <v>750</v>
      </c>
      <c r="HO98" s="500" t="s">
        <v>754</v>
      </c>
      <c r="HP98" s="642">
        <v>2.5000000000000001E-2</v>
      </c>
      <c r="HQ98" s="500" t="s">
        <v>757</v>
      </c>
      <c r="HR98" s="563" t="s">
        <v>757</v>
      </c>
      <c r="HS98" s="563" t="s">
        <v>757</v>
      </c>
      <c r="HT98" s="563" t="s">
        <v>757</v>
      </c>
      <c r="HU98" s="911">
        <f>IF(HU93&gt;$HU$65,$HU$74,$HU$70)</f>
        <v>6.5</v>
      </c>
      <c r="HV98" s="652">
        <f t="shared" ref="HV98:IA98" si="167">HV70+((HU70-HV70)*((HV$93-HV$65)/0.5))</f>
        <v>5.3</v>
      </c>
      <c r="HW98" s="652">
        <f t="shared" si="167"/>
        <v>4.2</v>
      </c>
      <c r="HX98" s="652">
        <f t="shared" si="167"/>
        <v>3.3</v>
      </c>
      <c r="HY98" s="652">
        <f t="shared" si="167"/>
        <v>2.5</v>
      </c>
      <c r="HZ98" s="652">
        <f t="shared" si="167"/>
        <v>1.8</v>
      </c>
      <c r="IA98" s="652">
        <f t="shared" si="167"/>
        <v>1.1000000000000001</v>
      </c>
      <c r="IB98" s="566">
        <f>IB70+((IA70-IB70)*((IB$93-IB$65)/1))</f>
        <v>0.1</v>
      </c>
      <c r="IV98" s="635" t="s">
        <v>716</v>
      </c>
      <c r="IW98" s="604" t="e">
        <f>IF(IW97&lt;CY23,CY23,IW97)</f>
        <v>#N/A</v>
      </c>
      <c r="LZ98" s="498" t="s">
        <v>626</v>
      </c>
      <c r="MB98" s="536" t="s">
        <v>629</v>
      </c>
      <c r="MM98" s="543"/>
    </row>
    <row r="99" spans="1:351" ht="11.25" customHeight="1">
      <c r="A99" s="543"/>
      <c r="B99" s="543"/>
      <c r="C99" s="543"/>
      <c r="D99" s="543"/>
      <c r="E99" s="543"/>
      <c r="F99" s="543"/>
      <c r="G99" s="543"/>
      <c r="H99" s="543"/>
      <c r="I99" s="543"/>
      <c r="J99" s="543"/>
      <c r="K99" s="543"/>
      <c r="L99" s="543"/>
      <c r="M99" s="543"/>
      <c r="N99" s="543"/>
      <c r="O99" s="543"/>
      <c r="P99" s="543"/>
      <c r="Q99" s="543"/>
      <c r="R99" s="543"/>
      <c r="S99" s="543"/>
      <c r="T99" s="543"/>
      <c r="U99" s="543"/>
      <c r="W99" s="577"/>
      <c r="X99" s="603" t="s">
        <v>871</v>
      </c>
      <c r="Y99" s="515"/>
      <c r="Z99" s="515" t="s">
        <v>1112</v>
      </c>
      <c r="AA99" s="515"/>
      <c r="AB99" s="515"/>
      <c r="AC99" s="515"/>
      <c r="AD99" s="515"/>
      <c r="AE99" s="515"/>
      <c r="AF99" s="515"/>
      <c r="AG99" s="515"/>
      <c r="AH99" s="515"/>
      <c r="AI99" s="515"/>
      <c r="AJ99" s="515"/>
      <c r="AK99" s="515"/>
      <c r="AL99" s="515"/>
      <c r="AM99" s="515"/>
      <c r="AN99" s="515"/>
      <c r="AO99" s="515"/>
      <c r="AP99" s="515"/>
      <c r="AQ99" s="515"/>
      <c r="AR99" s="515"/>
      <c r="AS99" s="515"/>
      <c r="AT99" s="515"/>
      <c r="AU99" s="577"/>
      <c r="AW99" s="577"/>
      <c r="AX99" s="1039"/>
      <c r="AY99" s="1040"/>
      <c r="AZ99" s="1040"/>
      <c r="BA99" s="1040"/>
      <c r="BB99" s="1040"/>
      <c r="BC99" s="1040"/>
      <c r="BD99" s="1040"/>
      <c r="BE99" s="1040"/>
      <c r="BF99" s="1040"/>
      <c r="BG99" s="1040"/>
      <c r="BH99" s="1040"/>
      <c r="BI99" s="1040"/>
      <c r="BJ99" s="1040"/>
      <c r="BK99" s="1040"/>
      <c r="BL99" s="1040"/>
      <c r="BM99" s="1040"/>
      <c r="BN99" s="1040"/>
      <c r="BO99" s="1040"/>
      <c r="BP99" s="1040"/>
      <c r="BQ99" s="1041"/>
      <c r="BR99" s="577"/>
      <c r="ES99" s="543"/>
      <c r="GE99" s="578" t="s">
        <v>714</v>
      </c>
      <c r="GF99" s="686" t="e">
        <f>CONCATENATE(INDEX(BC_RoofConst,MATCH(CONCATENATE(MID(AY31,5,11),", ",MID(BB31,5,100)," - ",BI31),BC_RoofAlter,0),1)," R",INDEX(BC_RoofValues,MATCH(CONCATENATE(MID(AY31,5,11),", ",MID(BB31,5,100)," - ",BI31),BC_RoofAlter,0),6))</f>
        <v>#N/A</v>
      </c>
      <c r="GI99" s="500" t="b">
        <f>ISBLANK(AY31)</f>
        <v>1</v>
      </c>
      <c r="GJ99" s="500" t="b">
        <f>ISBLANK(BB31)</f>
        <v>1</v>
      </c>
      <c r="GK99" s="500" t="b">
        <f>ISBLANK(BI31)</f>
        <v>1</v>
      </c>
      <c r="GL99" s="500" t="b">
        <f>ISBLANK(BK31)</f>
        <v>1</v>
      </c>
      <c r="GN99" s="514">
        <f>COUNTIF(GI99:GM99,TRUE())</f>
        <v>4</v>
      </c>
      <c r="HN99" s="635" t="s">
        <v>749</v>
      </c>
      <c r="HO99" s="500" t="s">
        <v>754</v>
      </c>
      <c r="HP99" s="642">
        <v>0.02</v>
      </c>
      <c r="HQ99" s="500" t="s">
        <v>757</v>
      </c>
      <c r="HR99" s="563" t="s">
        <v>757</v>
      </c>
      <c r="HS99" s="563" t="s">
        <v>757</v>
      </c>
      <c r="HT99" s="911">
        <f>IF(HT93&gt;$HT$65,$HT$74,$HT$69)</f>
        <v>6.8</v>
      </c>
      <c r="HU99" s="652">
        <f t="shared" ref="HU99:IA99" si="168">HU69+((HT69-HU69)*((HU$93-HU$65)/0.5))</f>
        <v>5.8</v>
      </c>
      <c r="HV99" s="652">
        <f t="shared" si="168"/>
        <v>4.8</v>
      </c>
      <c r="HW99" s="652">
        <f t="shared" si="168"/>
        <v>3.9</v>
      </c>
      <c r="HX99" s="652">
        <f t="shared" si="168"/>
        <v>3.1</v>
      </c>
      <c r="HY99" s="652">
        <f t="shared" si="168"/>
        <v>2.4</v>
      </c>
      <c r="HZ99" s="652">
        <f t="shared" si="168"/>
        <v>1.7</v>
      </c>
      <c r="IA99" s="652">
        <f t="shared" si="168"/>
        <v>1.1000000000000001</v>
      </c>
      <c r="IB99" s="566">
        <f>IB69+((IA69-IB69)*((IB$93-IB$65)/1))</f>
        <v>0.1</v>
      </c>
      <c r="LZ99" s="509" t="s">
        <v>627</v>
      </c>
      <c r="MB99" s="536" t="s">
        <v>631</v>
      </c>
      <c r="MM99" s="543"/>
    </row>
    <row r="100" spans="1:351" ht="11.25" customHeight="1">
      <c r="W100" s="577"/>
      <c r="X100" s="823" t="s">
        <v>1010</v>
      </c>
      <c r="Y100" s="515"/>
      <c r="Z100" s="515"/>
      <c r="AA100" s="515"/>
      <c r="AB100" s="515"/>
      <c r="AC100" s="924"/>
      <c r="AD100" s="924"/>
      <c r="AE100" s="970"/>
      <c r="AF100" s="970"/>
      <c r="AG100" s="970"/>
      <c r="AH100" s="970"/>
      <c r="AI100" s="970"/>
      <c r="AJ100" s="970"/>
      <c r="AK100" s="970"/>
      <c r="AL100" s="970"/>
      <c r="AM100" s="970"/>
      <c r="AN100" s="970"/>
      <c r="AO100" s="970"/>
      <c r="AP100" s="970"/>
      <c r="AQ100" s="970"/>
      <c r="AR100" s="970"/>
      <c r="AS100" s="970"/>
      <c r="AT100" s="970"/>
      <c r="AU100" s="577"/>
      <c r="AW100" s="577"/>
      <c r="AX100" s="1039"/>
      <c r="AY100" s="1040"/>
      <c r="AZ100" s="1040"/>
      <c r="BA100" s="1040"/>
      <c r="BB100" s="1040"/>
      <c r="BC100" s="993"/>
      <c r="BD100" s="993"/>
      <c r="BE100" s="993"/>
      <c r="BF100" s="993"/>
      <c r="BG100" s="993"/>
      <c r="BH100" s="993"/>
      <c r="BI100" s="993"/>
      <c r="BJ100" s="993"/>
      <c r="BK100" s="993"/>
      <c r="BL100" s="993"/>
      <c r="BM100" s="993"/>
      <c r="BN100" s="993"/>
      <c r="BO100" s="993"/>
      <c r="BP100" s="993"/>
      <c r="BQ100" s="976"/>
      <c r="BR100" s="577"/>
      <c r="ES100" s="543"/>
      <c r="FL100" s="578" t="s">
        <v>432</v>
      </c>
      <c r="FM100" s="687" t="e">
        <f>FM91-FM96</f>
        <v>#N/A</v>
      </c>
      <c r="FN100" s="687" t="e">
        <f t="shared" ref="FN100:FX100" si="169">FN91-FN96</f>
        <v>#N/A</v>
      </c>
      <c r="FO100" s="687" t="e">
        <f t="shared" si="169"/>
        <v>#N/A</v>
      </c>
      <c r="FP100" s="687" t="e">
        <f t="shared" si="169"/>
        <v>#N/A</v>
      </c>
      <c r="FQ100" s="687" t="e">
        <f t="shared" si="169"/>
        <v>#N/A</v>
      </c>
      <c r="FR100" s="687" t="e">
        <f t="shared" si="169"/>
        <v>#N/A</v>
      </c>
      <c r="FS100" s="687" t="e">
        <f t="shared" si="169"/>
        <v>#N/A</v>
      </c>
      <c r="FT100" s="687" t="e">
        <f t="shared" si="169"/>
        <v>#N/A</v>
      </c>
      <c r="FU100" s="687" t="e">
        <f t="shared" si="169"/>
        <v>#N/A</v>
      </c>
      <c r="FV100" s="687" t="e">
        <f t="shared" si="169"/>
        <v>#N/A</v>
      </c>
      <c r="FW100" s="687" t="e">
        <f t="shared" si="169"/>
        <v>#N/A</v>
      </c>
      <c r="FX100" s="687" t="e">
        <f t="shared" si="169"/>
        <v>#N/A</v>
      </c>
      <c r="GI100" s="497" t="s">
        <v>784</v>
      </c>
      <c r="HN100" s="635" t="s">
        <v>748</v>
      </c>
      <c r="HO100" s="500" t="s">
        <v>754</v>
      </c>
      <c r="HP100" s="642">
        <v>1.4999999999999999E-2</v>
      </c>
      <c r="HQ100" s="500" t="s">
        <v>757</v>
      </c>
      <c r="HR100" s="563" t="s">
        <v>757</v>
      </c>
      <c r="HS100" s="911">
        <f>IF(HS93&gt;$HS$65,$HS$74,$HS$68)</f>
        <v>7</v>
      </c>
      <c r="HT100" s="652">
        <f t="shared" ref="HT100:IA100" si="170">HT68+((HS68-HT68)*((HT$93-HT$65)/0.5))</f>
        <v>6.1</v>
      </c>
      <c r="HU100" s="652">
        <f t="shared" si="170"/>
        <v>5.2</v>
      </c>
      <c r="HV100" s="652">
        <f t="shared" si="170"/>
        <v>4.4000000000000004</v>
      </c>
      <c r="HW100" s="652">
        <f t="shared" si="170"/>
        <v>3.6</v>
      </c>
      <c r="HX100" s="652">
        <f t="shared" si="170"/>
        <v>2.9</v>
      </c>
      <c r="HY100" s="652">
        <f t="shared" si="170"/>
        <v>2.2999999999999998</v>
      </c>
      <c r="HZ100" s="652">
        <f t="shared" si="170"/>
        <v>1.7</v>
      </c>
      <c r="IA100" s="652">
        <f t="shared" si="170"/>
        <v>1.1000000000000001</v>
      </c>
      <c r="IB100" s="566">
        <f>IB68+((IA68-IB68)*((IB$93-IB$65)/1))</f>
        <v>0.1</v>
      </c>
      <c r="MA100" s="537" t="s">
        <v>630</v>
      </c>
      <c r="MB100" s="500">
        <v>1</v>
      </c>
      <c r="MC100" s="686">
        <v>2</v>
      </c>
      <c r="MD100" s="500">
        <v>3</v>
      </c>
      <c r="ME100" s="500">
        <v>4</v>
      </c>
      <c r="MF100" s="500">
        <v>5</v>
      </c>
      <c r="MG100" s="500">
        <v>6</v>
      </c>
      <c r="MH100" s="686">
        <v>7</v>
      </c>
      <c r="MI100" s="686">
        <v>8</v>
      </c>
      <c r="MM100" s="543"/>
    </row>
    <row r="101" spans="1:351" ht="11.25" customHeight="1">
      <c r="W101" s="577"/>
      <c r="X101" s="977"/>
      <c r="Y101" s="977"/>
      <c r="Z101" s="977"/>
      <c r="AA101" s="977"/>
      <c r="AB101" s="977"/>
      <c r="AC101" s="977"/>
      <c r="AD101" s="977"/>
      <c r="AE101" s="977"/>
      <c r="AF101" s="977"/>
      <c r="AG101" s="977"/>
      <c r="AH101" s="977"/>
      <c r="AI101" s="977"/>
      <c r="AJ101" s="977"/>
      <c r="AK101" s="977"/>
      <c r="AL101" s="977"/>
      <c r="AM101" s="977"/>
      <c r="AN101" s="977"/>
      <c r="AO101" s="977"/>
      <c r="AP101" s="977"/>
      <c r="AQ101" s="977"/>
      <c r="AR101" s="977"/>
      <c r="AS101" s="977"/>
      <c r="AT101" s="977"/>
      <c r="AU101" s="577"/>
      <c r="AW101" s="577"/>
      <c r="AX101" s="978"/>
      <c r="AY101" s="993"/>
      <c r="AZ101" s="993"/>
      <c r="BA101" s="993"/>
      <c r="BB101" s="993"/>
      <c r="BC101" s="993"/>
      <c r="BD101" s="993"/>
      <c r="BE101" s="993"/>
      <c r="BF101" s="993"/>
      <c r="BG101" s="993"/>
      <c r="BH101" s="993"/>
      <c r="BI101" s="993"/>
      <c r="BJ101" s="993"/>
      <c r="BK101" s="993"/>
      <c r="BL101" s="993"/>
      <c r="BM101" s="993"/>
      <c r="BN101" s="993"/>
      <c r="BO101" s="993"/>
      <c r="BP101" s="993"/>
      <c r="BQ101" s="976"/>
      <c r="BR101" s="577"/>
      <c r="ES101" s="543"/>
      <c r="GF101" s="503" t="s">
        <v>457</v>
      </c>
      <c r="GG101" s="683" t="str">
        <f>IF(AND(AY31=$ET$13,BB31=$ET$13),0,IF(AND(AY31=$ET$13,MID(BB31,1,3)=$ET$31),INDEX(BC_RoofValues,MATCH($AX$26,BC_RoofConst,0),9),IF(AND(MID(AY31,1,3)=$ET$31,BB31=$ET$13),INDEX(BC_RoofValues,MATCH($AX$26,BC_RoofConst,0),8),"New/New")))</f>
        <v>New/New</v>
      </c>
      <c r="GI101" s="500" t="b">
        <f>ISBLANK(AY36)</f>
        <v>1</v>
      </c>
      <c r="GJ101" s="500" t="b">
        <f>ISBLANK(BB36)</f>
        <v>1</v>
      </c>
      <c r="GK101" s="500" t="b">
        <f>ISBLANK(BI36)</f>
        <v>1</v>
      </c>
      <c r="GL101" s="500" t="b">
        <f>ISBLANK(BK36)</f>
        <v>1</v>
      </c>
      <c r="GN101" s="514">
        <f>COUNTIF(GI101:GM101,TRUE())</f>
        <v>4</v>
      </c>
      <c r="HN101" s="635" t="s">
        <v>746</v>
      </c>
      <c r="HO101" s="500" t="s">
        <v>754</v>
      </c>
      <c r="HP101" s="642">
        <v>0.01</v>
      </c>
      <c r="HQ101" s="500" t="s">
        <v>757</v>
      </c>
      <c r="HR101" s="911">
        <f>IF(HR93&gt;$HR$65,$HR$74,$HR$67)</f>
        <v>6.9</v>
      </c>
      <c r="HS101" s="652">
        <f t="shared" ref="HS101:IA101" si="171">HS67+((HR67-HS67)*((HS$93-HS$65)/0.5))</f>
        <v>6.2</v>
      </c>
      <c r="HT101" s="652">
        <f t="shared" si="171"/>
        <v>5.4</v>
      </c>
      <c r="HU101" s="652">
        <f t="shared" si="171"/>
        <v>4.7</v>
      </c>
      <c r="HV101" s="652">
        <f t="shared" si="171"/>
        <v>4</v>
      </c>
      <c r="HW101" s="652">
        <f t="shared" si="171"/>
        <v>3.4</v>
      </c>
      <c r="HX101" s="652">
        <f t="shared" si="171"/>
        <v>2.8</v>
      </c>
      <c r="HY101" s="652">
        <f t="shared" si="171"/>
        <v>2.2000000000000002</v>
      </c>
      <c r="HZ101" s="652">
        <f t="shared" si="171"/>
        <v>1.6</v>
      </c>
      <c r="IA101" s="652">
        <f t="shared" si="171"/>
        <v>1</v>
      </c>
      <c r="IB101" s="566">
        <f>IB67+((IA67-IB67)*((IB$93-IB$65)/1))</f>
        <v>0</v>
      </c>
      <c r="IV101" s="638" t="s">
        <v>834</v>
      </c>
      <c r="MA101" s="503" t="s">
        <v>608</v>
      </c>
      <c r="MB101" s="500">
        <v>6.3E-2</v>
      </c>
      <c r="MC101" s="686">
        <v>7.3999999999999996E-2</v>
      </c>
      <c r="MD101" s="500">
        <v>6.2E-2</v>
      </c>
      <c r="ME101" s="500">
        <v>9.7000000000000003E-2</v>
      </c>
      <c r="MF101" s="500">
        <v>0.122</v>
      </c>
      <c r="MG101" s="500">
        <v>0.153</v>
      </c>
      <c r="MH101" s="686">
        <v>0.189</v>
      </c>
      <c r="MI101" s="686">
        <v>0.23400000000000001</v>
      </c>
      <c r="MM101" s="543"/>
    </row>
    <row r="102" spans="1:351" ht="11.25" customHeight="1" thickBot="1">
      <c r="W102" s="5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c r="AU102" s="577"/>
      <c r="AW102" s="577"/>
      <c r="AX102" s="978"/>
      <c r="AY102" s="993"/>
      <c r="AZ102" s="993"/>
      <c r="BA102" s="993"/>
      <c r="BB102" s="993"/>
      <c r="BC102" s="993"/>
      <c r="BD102" s="993"/>
      <c r="BE102" s="993"/>
      <c r="BF102" s="993"/>
      <c r="BG102" s="993"/>
      <c r="BH102" s="993"/>
      <c r="BI102" s="993"/>
      <c r="BJ102" s="993"/>
      <c r="BK102" s="993"/>
      <c r="BL102" s="993"/>
      <c r="BM102" s="993"/>
      <c r="BN102" s="993"/>
      <c r="BO102" s="993"/>
      <c r="BP102" s="993"/>
      <c r="BQ102" s="976"/>
      <c r="BR102" s="577"/>
      <c r="ES102" s="543"/>
      <c r="FL102" s="674" t="s">
        <v>433</v>
      </c>
      <c r="FM102" s="654" t="e">
        <f>FM92-FM97</f>
        <v>#N/A</v>
      </c>
      <c r="FP102" s="668" t="s">
        <v>581</v>
      </c>
      <c r="FQ102" s="499" t="e">
        <f>FM92/FM97</f>
        <v>#N/A</v>
      </c>
      <c r="GF102" s="500"/>
      <c r="GG102" s="683"/>
      <c r="GI102" s="497" t="s">
        <v>789</v>
      </c>
      <c r="HN102" s="635" t="s">
        <v>745</v>
      </c>
      <c r="HO102" s="500" t="s">
        <v>754</v>
      </c>
      <c r="HP102" s="642">
        <v>5.0000000000000001E-3</v>
      </c>
      <c r="HQ102" s="572" t="str">
        <f t="shared" ref="HQ102:IB102" si="172">$BN$79</f>
        <v/>
      </c>
      <c r="HR102" s="572" t="str">
        <f t="shared" si="172"/>
        <v/>
      </c>
      <c r="HS102" s="572" t="str">
        <f t="shared" si="172"/>
        <v/>
      </c>
      <c r="HT102" s="572" t="str">
        <f t="shared" si="172"/>
        <v/>
      </c>
      <c r="HU102" s="572" t="str">
        <f t="shared" si="172"/>
        <v/>
      </c>
      <c r="HV102" s="572" t="str">
        <f t="shared" si="172"/>
        <v/>
      </c>
      <c r="HW102" s="572" t="str">
        <f t="shared" si="172"/>
        <v/>
      </c>
      <c r="HX102" s="572" t="str">
        <f t="shared" si="172"/>
        <v/>
      </c>
      <c r="HY102" s="572" t="str">
        <f t="shared" si="172"/>
        <v/>
      </c>
      <c r="HZ102" s="572" t="str">
        <f t="shared" si="172"/>
        <v/>
      </c>
      <c r="IA102" s="572" t="str">
        <f t="shared" si="172"/>
        <v/>
      </c>
      <c r="IB102" s="572" t="str">
        <f t="shared" si="172"/>
        <v/>
      </c>
      <c r="IV102" s="503" t="s">
        <v>491</v>
      </c>
      <c r="IW102" s="499" t="e">
        <f>INDEX(BC_WallValues,MATCH(CK38,BC_WallConst,0),6)</f>
        <v>#N/A</v>
      </c>
      <c r="IY102" s="498" t="s">
        <v>783</v>
      </c>
      <c r="MA102" s="503" t="s">
        <v>609</v>
      </c>
      <c r="MB102" s="500">
        <v>6.9000000000000006E-2</v>
      </c>
      <c r="MC102" s="686">
        <v>8.1000000000000003E-2</v>
      </c>
      <c r="MD102" s="500">
        <v>6.8000000000000005E-2</v>
      </c>
      <c r="ME102" s="500">
        <v>0.107</v>
      </c>
      <c r="MF102" s="500">
        <v>0.13400000000000001</v>
      </c>
      <c r="MG102" s="500">
        <v>0.16800000000000001</v>
      </c>
      <c r="MH102" s="686">
        <v>0.20799999999999999</v>
      </c>
      <c r="MI102" s="686">
        <v>0.25700000000000001</v>
      </c>
      <c r="MM102" s="543"/>
    </row>
    <row r="103" spans="1:351" ht="11.25" customHeight="1">
      <c r="W103" s="577"/>
      <c r="X103" s="577"/>
      <c r="Y103" s="577"/>
      <c r="Z103" s="577"/>
      <c r="AA103" s="577"/>
      <c r="AB103" s="577"/>
      <c r="AC103" s="577"/>
      <c r="AD103" s="577"/>
      <c r="AE103" s="577"/>
      <c r="AF103" s="577"/>
      <c r="AG103" s="577"/>
      <c r="AH103" s="577"/>
      <c r="AI103" s="577"/>
      <c r="AJ103" s="577"/>
      <c r="AK103" s="577"/>
      <c r="AL103" s="577"/>
      <c r="AM103" s="577"/>
      <c r="AN103" s="577"/>
      <c r="AO103" s="577"/>
      <c r="AP103" s="577"/>
      <c r="AQ103" s="577"/>
      <c r="AR103" s="577"/>
      <c r="AS103" s="577"/>
      <c r="AT103" s="577"/>
      <c r="AU103" s="577"/>
      <c r="AW103" s="577"/>
      <c r="AX103" s="577"/>
      <c r="AY103" s="577"/>
      <c r="AZ103" s="577"/>
      <c r="BA103" s="577"/>
      <c r="BB103" s="577"/>
      <c r="BC103" s="577"/>
      <c r="BD103" s="577"/>
      <c r="BE103" s="577"/>
      <c r="BF103" s="577"/>
      <c r="BG103" s="577"/>
      <c r="BH103" s="577"/>
      <c r="BI103" s="577"/>
      <c r="BJ103" s="577"/>
      <c r="BK103" s="577"/>
      <c r="BL103" s="577"/>
      <c r="BM103" s="577"/>
      <c r="BN103" s="577"/>
      <c r="BO103" s="577"/>
      <c r="BP103" s="577"/>
      <c r="BQ103" s="577"/>
      <c r="BR103" s="577"/>
      <c r="ES103" s="543"/>
      <c r="GF103" s="503" t="s">
        <v>458</v>
      </c>
      <c r="GG103" s="683" t="e">
        <f>GG96-GG101</f>
        <v>#N/A</v>
      </c>
      <c r="GI103" s="500" t="b">
        <f>ISBLANK(AX42)</f>
        <v>1</v>
      </c>
      <c r="GJ103" s="500" t="b">
        <f>ISBLANK(BK42)</f>
        <v>1</v>
      </c>
      <c r="GN103" s="514">
        <f>COUNTIF(GI103:GM103,TRUE())</f>
        <v>2</v>
      </c>
      <c r="IU103" s="578" t="s">
        <v>829</v>
      </c>
      <c r="IV103" s="635" t="e">
        <f>IF(CL43=$IU$59,CK38,IF(CK38=$IT$29,INDEX(BC_WallAlt_WB_Match,MATCH(CL43,BC_WallAlt_WB,0),1),IF(CK38=$IT$35,INDEX(BC_WallAlt_FC_Match,MATCH(CL43,BC_WallAlt_FC,0),1),IF(CK38=$IT$41,INDEX(BC_WallAlt_BV_Match,MATCH(CL43,BC_WallAlt_BV,0),1),IF(CK38=$IT$47,INDEX(BC_WallAlt_C_Match,MATCH(CL43,BC_WallAlt_C,0),1),INDEX(BC_WallAlt_RBV_Match,MATCH(CL43,BC_WallAlt_RBV,0),1))))))</f>
        <v>#N/A</v>
      </c>
      <c r="IY103" s="497" t="s">
        <v>836</v>
      </c>
      <c r="JC103" s="497" t="s">
        <v>840</v>
      </c>
      <c r="MA103" s="503" t="s">
        <v>610</v>
      </c>
      <c r="MB103" s="500">
        <v>5.7000000000000002E-2</v>
      </c>
      <c r="MC103" s="686">
        <v>6.7000000000000004E-2</v>
      </c>
      <c r="MD103" s="500">
        <v>5.6000000000000001E-2</v>
      </c>
      <c r="ME103" s="500">
        <v>8.6999999999999994E-2</v>
      </c>
      <c r="MF103" s="500">
        <v>0.11</v>
      </c>
      <c r="MG103" s="500">
        <v>0.13800000000000001</v>
      </c>
      <c r="MH103" s="686">
        <v>0.17</v>
      </c>
      <c r="MI103" s="686">
        <v>0.21099999999999999</v>
      </c>
      <c r="MM103" s="543"/>
    </row>
    <row r="104" spans="1:351" ht="11.25" customHeight="1">
      <c r="ES104" s="543"/>
      <c r="FM104" s="688" t="s">
        <v>428</v>
      </c>
      <c r="GF104" s="500"/>
      <c r="GG104" s="500"/>
      <c r="GI104" s="497" t="s">
        <v>786</v>
      </c>
      <c r="HQ104" s="536" t="s">
        <v>778</v>
      </c>
      <c r="IU104" s="578" t="s">
        <v>830</v>
      </c>
      <c r="IV104" s="635" t="str">
        <f>IF(ISBLANK(CL43),"",CONCATENATE(IV103," R",INDEX(BC_WallValues,MATCH(IV103,BC_WallConst,0),6)))</f>
        <v/>
      </c>
      <c r="IY104" s="500" t="b">
        <f>ISBLANK(CK23)</f>
        <v>1</v>
      </c>
      <c r="IZ104" s="500" t="b">
        <f>ISBLANK(CW23)</f>
        <v>1</v>
      </c>
      <c r="JC104" s="500">
        <f>COUNTIF(IY104:JA104,TRUE())</f>
        <v>2</v>
      </c>
      <c r="MA104" s="503" t="s">
        <v>611</v>
      </c>
      <c r="MB104" s="500">
        <v>6.3E-2</v>
      </c>
      <c r="MC104" s="686">
        <v>7.3999999999999996E-2</v>
      </c>
      <c r="MD104" s="500">
        <v>6.2E-2</v>
      </c>
      <c r="ME104" s="500">
        <v>9.6000000000000002E-2</v>
      </c>
      <c r="MF104" s="500">
        <v>0.121</v>
      </c>
      <c r="MG104" s="500">
        <v>0.152</v>
      </c>
      <c r="MH104" s="686">
        <v>0.187</v>
      </c>
      <c r="MI104" s="686">
        <v>0.23200000000000001</v>
      </c>
      <c r="MM104" s="543"/>
    </row>
    <row r="105" spans="1:351" ht="11.25" customHeight="1">
      <c r="ES105" s="543"/>
      <c r="FL105" s="578" t="s">
        <v>434</v>
      </c>
      <c r="FM105" s="497">
        <f>COUNTIF(AI25:AT25,GA26)</f>
        <v>0</v>
      </c>
      <c r="GF105" s="503" t="s">
        <v>461</v>
      </c>
      <c r="GG105" s="689" t="e">
        <f>GG101/GG96</f>
        <v>#VALUE!</v>
      </c>
      <c r="GI105" s="500" t="b">
        <f>ISBLANK(AY47)</f>
        <v>1</v>
      </c>
      <c r="GJ105" s="500" t="b">
        <f>ISBLANK(BB47)</f>
        <v>1</v>
      </c>
      <c r="GK105" s="500" t="b">
        <f>ISBLANK(BI47)</f>
        <v>1</v>
      </c>
      <c r="GL105" s="500" t="b">
        <f>ISBLANK(BK47)</f>
        <v>1</v>
      </c>
      <c r="GN105" s="514">
        <f>COUNTIF(GI105:GM105,TRUE())</f>
        <v>4</v>
      </c>
      <c r="HQ105" s="536" t="s">
        <v>779</v>
      </c>
      <c r="IV105" s="503" t="s">
        <v>457</v>
      </c>
      <c r="IW105" s="499" t="str">
        <f>IF(CL43=$IU$39,0,IF(MID(CL43,1,8)=$ET$13,INDEX(BC_WallValues,MATCH(CK38,BC_WallConst,0),9),IF(MID(CL43,1,3)=$ET$31,INDEX(BC_WallValues,MATCH(CK38,BC_WallConst,0),8),$ET$17)))</f>
        <v>Data</v>
      </c>
      <c r="IY105" s="497" t="s">
        <v>825</v>
      </c>
      <c r="MM105" s="543"/>
    </row>
    <row r="106" spans="1:351" ht="11.25" customHeight="1">
      <c r="ES106" s="543"/>
      <c r="FL106" s="578" t="s">
        <v>429</v>
      </c>
      <c r="FM106" s="497">
        <f>COUNTIF(AI25:AT25,GC26)</f>
        <v>0</v>
      </c>
      <c r="GI106" s="497" t="s">
        <v>787</v>
      </c>
      <c r="HP106" s="649" t="s">
        <v>777</v>
      </c>
      <c r="HQ106" s="641">
        <v>6</v>
      </c>
      <c r="HR106" s="641">
        <f t="shared" ref="HR106:IB106" si="173">IF(AND($BN$80&gt;=HR65,$BN$80&lt;HQ65),$BN$80,HR65)</f>
        <v>5.5</v>
      </c>
      <c r="HS106" s="641">
        <f t="shared" si="173"/>
        <v>5</v>
      </c>
      <c r="HT106" s="641">
        <f t="shared" si="173"/>
        <v>4.5</v>
      </c>
      <c r="HU106" s="641">
        <f t="shared" si="173"/>
        <v>4</v>
      </c>
      <c r="HV106" s="641">
        <f t="shared" si="173"/>
        <v>3.5</v>
      </c>
      <c r="HW106" s="641">
        <f t="shared" si="173"/>
        <v>3</v>
      </c>
      <c r="HX106" s="641">
        <f t="shared" si="173"/>
        <v>2.5</v>
      </c>
      <c r="HY106" s="641">
        <f t="shared" si="173"/>
        <v>2</v>
      </c>
      <c r="HZ106" s="641">
        <f t="shared" si="173"/>
        <v>1.5</v>
      </c>
      <c r="IA106" s="641">
        <f t="shared" si="173"/>
        <v>1</v>
      </c>
      <c r="IB106" s="641">
        <f t="shared" si="173"/>
        <v>1E-4</v>
      </c>
      <c r="IV106" s="503"/>
      <c r="IW106" s="500"/>
      <c r="IY106" s="500" t="b">
        <f>ISBLANK(CL28)</f>
        <v>1</v>
      </c>
      <c r="IZ106" s="500" t="b">
        <f>ISBLANK(CW28)</f>
        <v>1</v>
      </c>
      <c r="JC106" s="500">
        <f>COUNTIF(IY106:JA106,TRUE())</f>
        <v>2</v>
      </c>
      <c r="MM106" s="543"/>
    </row>
    <row r="107" spans="1:351" ht="11.25" customHeight="1">
      <c r="ES107" s="543"/>
      <c r="FL107" s="578" t="s">
        <v>806</v>
      </c>
      <c r="FM107" s="497" t="e">
        <f>IF(FM92-FM97&lt;0,1,0)</f>
        <v>#N/A</v>
      </c>
      <c r="GF107" s="503" t="s">
        <v>462</v>
      </c>
      <c r="GG107" s="683" t="e">
        <f>IF(BK31=$ET$13,$ET$13,INDEX(BC_RoofR,MATCH(BK31,BC_RoofAbs,0),1))</f>
        <v>#N/A</v>
      </c>
      <c r="GI107" s="500" t="b">
        <f>ISBLANK(AY52)</f>
        <v>1</v>
      </c>
      <c r="GJ107" s="500" t="b">
        <f>ISBLANK(BB52)</f>
        <v>1</v>
      </c>
      <c r="GK107" s="500" t="b">
        <f>ISBLANK(BI52)</f>
        <v>1</v>
      </c>
      <c r="GL107" s="500" t="b">
        <f>ISBLANK(BK52)</f>
        <v>1</v>
      </c>
      <c r="GN107" s="514">
        <f>COUNTIF(GI107:GM107,TRUE())</f>
        <v>4</v>
      </c>
      <c r="HN107" s="635" t="s">
        <v>755</v>
      </c>
      <c r="HO107" s="500" t="s">
        <v>756</v>
      </c>
      <c r="HP107" s="642">
        <v>0.05</v>
      </c>
      <c r="HQ107" s="500" t="s">
        <v>757</v>
      </c>
      <c r="HR107" s="500" t="s">
        <v>757</v>
      </c>
      <c r="HS107" s="500" t="s">
        <v>757</v>
      </c>
      <c r="HT107" s="500" t="s">
        <v>757</v>
      </c>
      <c r="HU107" s="500" t="s">
        <v>757</v>
      </c>
      <c r="HV107" s="500" t="s">
        <v>757</v>
      </c>
      <c r="HW107" s="500" t="s">
        <v>757</v>
      </c>
      <c r="HX107" s="500" t="s">
        <v>757</v>
      </c>
      <c r="HY107" s="500" t="s">
        <v>757</v>
      </c>
      <c r="HZ107" s="500" t="s">
        <v>757</v>
      </c>
      <c r="IA107" s="500" t="s">
        <v>757</v>
      </c>
      <c r="IB107" s="500" t="s">
        <v>757</v>
      </c>
      <c r="IV107" s="503" t="s">
        <v>458</v>
      </c>
      <c r="IW107" s="499" t="e">
        <f>IW102-IW105</f>
        <v>#N/A</v>
      </c>
      <c r="IY107" s="497" t="s">
        <v>832</v>
      </c>
      <c r="LZ107" s="509" t="s">
        <v>637</v>
      </c>
      <c r="MM107" s="543"/>
    </row>
    <row r="108" spans="1:351" ht="11.25" customHeight="1">
      <c r="ES108" s="543"/>
      <c r="GF108" s="503"/>
      <c r="GG108" s="627"/>
      <c r="GI108" s="497" t="s">
        <v>790</v>
      </c>
      <c r="HN108" s="635" t="s">
        <v>747</v>
      </c>
      <c r="HO108" s="500" t="s">
        <v>754</v>
      </c>
      <c r="HP108" s="642">
        <v>0.05</v>
      </c>
      <c r="HQ108" s="500" t="s">
        <v>757</v>
      </c>
      <c r="HR108" s="500" t="s">
        <v>757</v>
      </c>
      <c r="HS108" s="500" t="s">
        <v>757</v>
      </c>
      <c r="HT108" s="500" t="s">
        <v>757</v>
      </c>
      <c r="HU108" s="500" t="s">
        <v>757</v>
      </c>
      <c r="HV108" s="500" t="s">
        <v>757</v>
      </c>
      <c r="HW108" s="500" t="s">
        <v>757</v>
      </c>
      <c r="HX108" s="911">
        <f>IF(HX106&gt;$HX$65,$HX$74,$HX$73)</f>
        <v>5</v>
      </c>
      <c r="HY108" s="652">
        <f>HY73+((HX73-HY73)*((HY$106-HY$65)/0.5))</f>
        <v>3.4</v>
      </c>
      <c r="HZ108" s="652">
        <f>HZ73+((HY73-HZ73)*((HZ$106-HZ$65)/0.5))</f>
        <v>2.2000000000000002</v>
      </c>
      <c r="IA108" s="652">
        <f>IA73+((HZ73-IA73)*((IA$106-IA$65)/0.5))</f>
        <v>1.3</v>
      </c>
      <c r="IB108" s="566">
        <f>IB73+((IA73-IB73)*((IB$106-IB$65)/1))</f>
        <v>0.3</v>
      </c>
      <c r="IV108" s="503"/>
      <c r="IW108" s="500"/>
      <c r="IY108" s="500" t="b">
        <f>ISBLANK(CL32)</f>
        <v>1</v>
      </c>
      <c r="IZ108" s="500" t="b">
        <f>ISBLANK(CW32)</f>
        <v>1</v>
      </c>
      <c r="JC108" s="500">
        <f>COUNTIF(IY108:JA108,TRUE())</f>
        <v>2</v>
      </c>
      <c r="LZ108" s="497" t="s">
        <v>585</v>
      </c>
      <c r="MA108" s="510" t="e">
        <f ca="1">VALUE(MID(Calculator!R37,FIND(" ",Calculator!R37,FIND(" ",Calculator!R37)+1)+1,4))</f>
        <v>#VALUE!</v>
      </c>
      <c r="MM108" s="543"/>
    </row>
    <row r="109" spans="1:351" ht="11.25" customHeight="1">
      <c r="ES109" s="543"/>
      <c r="GF109" s="503" t="s">
        <v>463</v>
      </c>
      <c r="GG109" s="690" t="e">
        <f>IF(GG107=$ET$13,$ET$13,GG107*GG105)</f>
        <v>#N/A</v>
      </c>
      <c r="GI109" s="500" t="b">
        <f>ISBLANK(AX58)</f>
        <v>1</v>
      </c>
      <c r="GJ109" s="500" t="b">
        <f>ISBLANK(BK58)</f>
        <v>1</v>
      </c>
      <c r="GN109" s="514">
        <f>COUNTIF(GI109:GM109,TRUE())</f>
        <v>2</v>
      </c>
      <c r="HN109" s="635" t="s">
        <v>752</v>
      </c>
      <c r="HO109" s="500" t="s">
        <v>754</v>
      </c>
      <c r="HP109" s="642">
        <v>0.04</v>
      </c>
      <c r="HQ109" s="500" t="s">
        <v>757</v>
      </c>
      <c r="HR109" s="563" t="s">
        <v>757</v>
      </c>
      <c r="HS109" s="563" t="s">
        <v>757</v>
      </c>
      <c r="HT109" s="563" t="s">
        <v>757</v>
      </c>
      <c r="HU109" s="563" t="s">
        <v>757</v>
      </c>
      <c r="HV109" s="563" t="s">
        <v>757</v>
      </c>
      <c r="HW109" s="911">
        <f>IF(HW106&gt;$HW$65,$HW$74,$HW$72)</f>
        <v>5.7</v>
      </c>
      <c r="HX109" s="652">
        <f>HX72+((HW72-HX72)*((HX$106-HX$65)/0.5))</f>
        <v>4.2</v>
      </c>
      <c r="HY109" s="652">
        <f>HY72+((HX72-HY72)*((HY$106-HY$65)/0.5))</f>
        <v>3</v>
      </c>
      <c r="HZ109" s="652">
        <f>HZ72+((HY72-HZ72)*((HZ$106-HZ$65)/0.5))</f>
        <v>2</v>
      </c>
      <c r="IA109" s="652">
        <f>IA72+((HZ72-IA72)*((IA$106-IA$65)/0.5))</f>
        <v>1.2</v>
      </c>
      <c r="IB109" s="566">
        <f>IB72+((IA72-IB72)*((IB$106-IB$65)/1))</f>
        <v>0.2</v>
      </c>
      <c r="IV109" s="503" t="s">
        <v>492</v>
      </c>
      <c r="IW109" s="643" t="e">
        <f>IW105/IW102</f>
        <v>#VALUE!</v>
      </c>
      <c r="IY109" s="497" t="s">
        <v>837</v>
      </c>
      <c r="LZ109" s="497" t="s">
        <v>638</v>
      </c>
      <c r="MA109" s="510" t="e">
        <f ca="1">VALUE(MID(Calculator!T37,FIND(" ",Calculator!T37,FIND(" ",Calculator!T37)+1)+1,4))</f>
        <v>#VALUE!</v>
      </c>
      <c r="MM109" s="543"/>
    </row>
    <row r="110" spans="1:351" ht="11.25" customHeight="1">
      <c r="ES110" s="543"/>
      <c r="GF110" s="503"/>
      <c r="GG110" s="627"/>
      <c r="GI110" s="497" t="s">
        <v>791</v>
      </c>
      <c r="HN110" s="635" t="s">
        <v>751</v>
      </c>
      <c r="HO110" s="500" t="s">
        <v>754</v>
      </c>
      <c r="HP110" s="642">
        <v>0.03</v>
      </c>
      <c r="HQ110" s="500" t="s">
        <v>757</v>
      </c>
      <c r="HR110" s="563" t="s">
        <v>757</v>
      </c>
      <c r="HS110" s="563" t="s">
        <v>757</v>
      </c>
      <c r="HT110" s="563" t="s">
        <v>757</v>
      </c>
      <c r="HU110" s="563" t="s">
        <v>757</v>
      </c>
      <c r="HV110" s="911">
        <f>IF(HV106&gt;$HV$65,$HV$74,$HV$71)</f>
        <v>5.9</v>
      </c>
      <c r="HW110" s="652">
        <f t="shared" ref="HW110:IA110" si="174">HW71+((HV71-HW71)*((HW$106-HW$65)/0.5))</f>
        <v>4.5999999999999996</v>
      </c>
      <c r="HX110" s="652">
        <f t="shared" si="174"/>
        <v>3.6</v>
      </c>
      <c r="HY110" s="652">
        <f t="shared" si="174"/>
        <v>2.6</v>
      </c>
      <c r="HZ110" s="652">
        <f t="shared" si="174"/>
        <v>1.9</v>
      </c>
      <c r="IA110" s="652">
        <f t="shared" si="174"/>
        <v>1.2</v>
      </c>
      <c r="IB110" s="566">
        <f>IB71+((IA71-IB71)*((IB$106-IB$65)/1))</f>
        <v>0.2</v>
      </c>
      <c r="IV110" s="524"/>
      <c r="IY110" s="500" t="b">
        <f>ISBLANK(CK38)</f>
        <v>1</v>
      </c>
      <c r="IZ110" s="500" t="b">
        <f>ISBLANK(CW38)</f>
        <v>1</v>
      </c>
      <c r="JC110" s="500">
        <f>COUNTIF(IY110:JA110,TRUE())</f>
        <v>2</v>
      </c>
      <c r="MM110" s="543"/>
    </row>
    <row r="111" spans="1:351" ht="11.25" customHeight="1">
      <c r="ES111" s="543"/>
      <c r="GF111" s="503" t="s">
        <v>464</v>
      </c>
      <c r="GG111" s="690" t="e">
        <f>IF(GG107=$ET$13,$ET$13,IF((GG103+GG109)&gt;GG107,GG107,GG103+GG109))</f>
        <v>#N/A</v>
      </c>
      <c r="GI111" s="500" t="b">
        <f>ISBLANK(AX61)</f>
        <v>1</v>
      </c>
      <c r="GJ111" s="500" t="b">
        <f>ISBLANK(BK61)</f>
        <v>1</v>
      </c>
      <c r="GN111" s="514">
        <f>COUNTIF(GI111:GM111,TRUE())</f>
        <v>2</v>
      </c>
      <c r="HN111" s="635" t="s">
        <v>750</v>
      </c>
      <c r="HO111" s="500" t="s">
        <v>754</v>
      </c>
      <c r="HP111" s="642">
        <v>2.5000000000000001E-2</v>
      </c>
      <c r="HQ111" s="500" t="s">
        <v>757</v>
      </c>
      <c r="HR111" s="563" t="s">
        <v>757</v>
      </c>
      <c r="HS111" s="563" t="s">
        <v>757</v>
      </c>
      <c r="HT111" s="563" t="s">
        <v>757</v>
      </c>
      <c r="HU111" s="911">
        <f>IF(HU106&gt;$HU$65,$HU$74,$HU$70)</f>
        <v>6.5</v>
      </c>
      <c r="HV111" s="652">
        <f t="shared" ref="HV111:IA111" si="175">HV70+((HU70-HV70)*((HV$106-HV$65)/0.5))</f>
        <v>5.3</v>
      </c>
      <c r="HW111" s="652">
        <f t="shared" si="175"/>
        <v>4.2</v>
      </c>
      <c r="HX111" s="652">
        <f t="shared" si="175"/>
        <v>3.3</v>
      </c>
      <c r="HY111" s="652">
        <f t="shared" si="175"/>
        <v>2.5</v>
      </c>
      <c r="HZ111" s="652">
        <f t="shared" si="175"/>
        <v>1.8</v>
      </c>
      <c r="IA111" s="652">
        <f t="shared" si="175"/>
        <v>1.1000000000000001</v>
      </c>
      <c r="IB111" s="566">
        <f>IB70+((IA70-IB70)*((IB$106-IB$65)/1))</f>
        <v>0.1</v>
      </c>
      <c r="IV111" s="503" t="s">
        <v>493</v>
      </c>
      <c r="IW111" s="643" t="e">
        <f>INDEX(BC_WallR,MATCH($D$65,BC_WAZones,0),MATCH(CW43,BC_WallShade,0))</f>
        <v>#N/A</v>
      </c>
      <c r="IY111" s="497" t="s">
        <v>834</v>
      </c>
      <c r="LZ111" s="509" t="s">
        <v>639</v>
      </c>
      <c r="MM111" s="543"/>
    </row>
    <row r="112" spans="1:351" ht="11.25" customHeight="1">
      <c r="ES112" s="543"/>
      <c r="GF112" s="691" t="s">
        <v>716</v>
      </c>
      <c r="GG112" s="692" t="e">
        <f>IF(GG111&lt;$BM$26,$BM$26,GG111)</f>
        <v>#N/A</v>
      </c>
      <c r="HN112" s="635" t="s">
        <v>749</v>
      </c>
      <c r="HO112" s="500" t="s">
        <v>754</v>
      </c>
      <c r="HP112" s="642">
        <v>0.02</v>
      </c>
      <c r="HQ112" s="500" t="s">
        <v>757</v>
      </c>
      <c r="HR112" s="563" t="s">
        <v>757</v>
      </c>
      <c r="HS112" s="563" t="s">
        <v>757</v>
      </c>
      <c r="HT112" s="911">
        <f>IF(HT106&gt;$HT$65,$HT$74,$HT$69)</f>
        <v>6.8</v>
      </c>
      <c r="HU112" s="652">
        <f t="shared" ref="HU112:IA112" si="176">HU69+((HT69-HU69)*((HU$106-HU$65)/0.5))</f>
        <v>5.8</v>
      </c>
      <c r="HV112" s="652">
        <f t="shared" si="176"/>
        <v>4.8</v>
      </c>
      <c r="HW112" s="652">
        <f t="shared" si="176"/>
        <v>3.9</v>
      </c>
      <c r="HX112" s="652">
        <f t="shared" si="176"/>
        <v>3.1</v>
      </c>
      <c r="HY112" s="652">
        <f t="shared" si="176"/>
        <v>2.4</v>
      </c>
      <c r="HZ112" s="652">
        <f t="shared" si="176"/>
        <v>1.7</v>
      </c>
      <c r="IA112" s="652">
        <f t="shared" si="176"/>
        <v>1.1000000000000001</v>
      </c>
      <c r="IB112" s="566">
        <f>IB69+((IA69-IB69)*((IB$106-IB$65)/1))</f>
        <v>0.1</v>
      </c>
      <c r="IV112" s="503"/>
      <c r="IW112" s="500"/>
      <c r="IY112" s="500" t="b">
        <f>ISBLANK(CL43)</f>
        <v>1</v>
      </c>
      <c r="IZ112" s="500" t="b">
        <f>ISBLANK(CW43)</f>
        <v>1</v>
      </c>
      <c r="JC112" s="500">
        <f>COUNTIF(IY112:JA112,TRUE())</f>
        <v>2</v>
      </c>
      <c r="MA112" s="510" t="str">
        <f ca="1">IF(ISERROR(MA108),"",MA108)</f>
        <v/>
      </c>
      <c r="MM112" s="543"/>
    </row>
    <row r="113" spans="149:351" ht="11.25" customHeight="1">
      <c r="ES113" s="543"/>
      <c r="HN113" s="635" t="s">
        <v>748</v>
      </c>
      <c r="HO113" s="500" t="s">
        <v>754</v>
      </c>
      <c r="HP113" s="642">
        <v>1.4999999999999999E-2</v>
      </c>
      <c r="HQ113" s="500" t="s">
        <v>757</v>
      </c>
      <c r="HR113" s="563" t="s">
        <v>757</v>
      </c>
      <c r="HS113" s="911">
        <f>IF(HS106&gt;$HS$65,$HS$74,$HS$68)</f>
        <v>7</v>
      </c>
      <c r="HT113" s="652">
        <f t="shared" ref="HT113:IA113" si="177">HT68+((HS68-HT68)*((HT$106-HT$65)/0.5))</f>
        <v>6.1</v>
      </c>
      <c r="HU113" s="652">
        <f t="shared" si="177"/>
        <v>5.2</v>
      </c>
      <c r="HV113" s="652">
        <f t="shared" si="177"/>
        <v>4.4000000000000004</v>
      </c>
      <c r="HW113" s="652">
        <f t="shared" si="177"/>
        <v>3.6</v>
      </c>
      <c r="HX113" s="652">
        <f t="shared" si="177"/>
        <v>2.9</v>
      </c>
      <c r="HY113" s="652">
        <f t="shared" si="177"/>
        <v>2.2999999999999998</v>
      </c>
      <c r="HZ113" s="652">
        <f t="shared" si="177"/>
        <v>1.7</v>
      </c>
      <c r="IA113" s="652">
        <f t="shared" si="177"/>
        <v>1.1000000000000001</v>
      </c>
      <c r="IB113" s="566">
        <f>IB68+((IA68-IB68)*((IB$106-IB$65)/1))</f>
        <v>0.1</v>
      </c>
      <c r="IV113" s="503" t="s">
        <v>463</v>
      </c>
      <c r="IW113" s="643" t="e">
        <f>IW111*IW109</f>
        <v>#N/A</v>
      </c>
      <c r="IY113" s="497" t="s">
        <v>833</v>
      </c>
      <c r="MA113" s="510" t="str">
        <f ca="1">IF(ISERROR(MA109),"",MA109)</f>
        <v/>
      </c>
      <c r="MM113" s="543"/>
    </row>
    <row r="114" spans="149:351" ht="11.25" customHeight="1">
      <c r="ES114" s="543"/>
      <c r="GE114" s="578"/>
      <c r="GF114" s="498" t="s">
        <v>784</v>
      </c>
      <c r="HN114" s="635" t="s">
        <v>746</v>
      </c>
      <c r="HO114" s="500" t="s">
        <v>754</v>
      </c>
      <c r="HP114" s="642">
        <v>0.01</v>
      </c>
      <c r="HQ114" s="500" t="s">
        <v>757</v>
      </c>
      <c r="HR114" s="911">
        <f>IF(HR106&gt;$HR$65,$HR$74,$HR$67)</f>
        <v>6.9</v>
      </c>
      <c r="HS114" s="652">
        <f t="shared" ref="HS114:IA114" si="178">HS67+((HR67-HS67)*((HS$106-HS$65)/0.5))</f>
        <v>6.2</v>
      </c>
      <c r="HT114" s="652">
        <f t="shared" si="178"/>
        <v>5.4</v>
      </c>
      <c r="HU114" s="652">
        <f t="shared" si="178"/>
        <v>4.7</v>
      </c>
      <c r="HV114" s="652">
        <f t="shared" si="178"/>
        <v>4</v>
      </c>
      <c r="HW114" s="652">
        <f t="shared" si="178"/>
        <v>3.4</v>
      </c>
      <c r="HX114" s="652">
        <f t="shared" si="178"/>
        <v>2.8</v>
      </c>
      <c r="HY114" s="652">
        <f t="shared" si="178"/>
        <v>2.2000000000000002</v>
      </c>
      <c r="HZ114" s="652">
        <f t="shared" si="178"/>
        <v>1.6</v>
      </c>
      <c r="IA114" s="652">
        <f t="shared" si="178"/>
        <v>1</v>
      </c>
      <c r="IB114" s="566">
        <f>IB67+((IA67-IB67)*((IB$106-IB$65)/1))</f>
        <v>0</v>
      </c>
      <c r="IV114" s="503"/>
      <c r="IW114" s="500"/>
      <c r="IY114" s="500" t="b">
        <f>ISBLANK(CL47)</f>
        <v>1</v>
      </c>
      <c r="IZ114" s="500" t="b">
        <f>ISBLANK(CW47)</f>
        <v>1</v>
      </c>
      <c r="JC114" s="500">
        <f>COUNTIF(IY114:JA114,TRUE())</f>
        <v>2</v>
      </c>
      <c r="MM114" s="543"/>
    </row>
    <row r="115" spans="149:351" ht="11.25" customHeight="1">
      <c r="ES115" s="543"/>
      <c r="ET115" s="543"/>
      <c r="EU115" s="543"/>
      <c r="EV115" s="543"/>
      <c r="EW115" s="543"/>
      <c r="EX115" s="543"/>
      <c r="EY115" s="543"/>
      <c r="EZ115" s="543"/>
      <c r="FA115" s="543"/>
      <c r="FB115" s="543"/>
      <c r="FC115" s="543"/>
      <c r="FD115" s="543"/>
      <c r="FE115" s="543"/>
      <c r="FF115" s="543"/>
      <c r="FG115" s="543"/>
      <c r="FH115" s="543"/>
      <c r="FI115" s="543"/>
      <c r="FJ115" s="543"/>
      <c r="FK115" s="543"/>
      <c r="FL115" s="543"/>
      <c r="FM115" s="543"/>
      <c r="FN115" s="543"/>
      <c r="FO115" s="543"/>
      <c r="FP115" s="543"/>
      <c r="FQ115" s="543"/>
      <c r="FR115" s="543"/>
      <c r="FS115" s="543"/>
      <c r="FT115" s="543"/>
      <c r="FU115" s="543"/>
      <c r="FV115" s="543"/>
      <c r="FW115" s="543"/>
      <c r="FX115" s="543"/>
      <c r="FY115" s="543"/>
      <c r="FZ115" s="543"/>
      <c r="GA115" s="543"/>
      <c r="GB115" s="543"/>
      <c r="GE115" s="578" t="s">
        <v>826</v>
      </c>
      <c r="GF115" s="503" t="s">
        <v>715</v>
      </c>
      <c r="GG115" s="693" t="e">
        <f>GG96</f>
        <v>#N/A</v>
      </c>
      <c r="HN115" s="635" t="s">
        <v>745</v>
      </c>
      <c r="HO115" s="500" t="s">
        <v>754</v>
      </c>
      <c r="HP115" s="642">
        <v>5.0000000000000001E-3</v>
      </c>
      <c r="HQ115" s="572" t="str">
        <f t="shared" ref="HQ115:IB115" si="179">$BN$80</f>
        <v/>
      </c>
      <c r="HR115" s="572" t="str">
        <f t="shared" si="179"/>
        <v/>
      </c>
      <c r="HS115" s="572" t="str">
        <f t="shared" si="179"/>
        <v/>
      </c>
      <c r="HT115" s="572" t="str">
        <f t="shared" si="179"/>
        <v/>
      </c>
      <c r="HU115" s="572" t="str">
        <f t="shared" si="179"/>
        <v/>
      </c>
      <c r="HV115" s="572" t="str">
        <f t="shared" si="179"/>
        <v/>
      </c>
      <c r="HW115" s="572" t="str">
        <f t="shared" si="179"/>
        <v/>
      </c>
      <c r="HX115" s="572" t="str">
        <f t="shared" si="179"/>
        <v/>
      </c>
      <c r="HY115" s="572" t="str">
        <f t="shared" si="179"/>
        <v/>
      </c>
      <c r="HZ115" s="572" t="str">
        <f t="shared" si="179"/>
        <v/>
      </c>
      <c r="IA115" s="572" t="str">
        <f t="shared" si="179"/>
        <v/>
      </c>
      <c r="IB115" s="572" t="str">
        <f t="shared" si="179"/>
        <v/>
      </c>
      <c r="IV115" s="503" t="s">
        <v>464</v>
      </c>
      <c r="IW115" s="643" t="e">
        <f>IF((IW107+IW113)&gt;IW111,IW111,IW107+IW113)</f>
        <v>#N/A</v>
      </c>
      <c r="IY115" s="497" t="s">
        <v>838</v>
      </c>
      <c r="MM115" s="543"/>
    </row>
    <row r="116" spans="149:351" ht="11.25" customHeight="1">
      <c r="GB116" s="543"/>
      <c r="GE116" s="684" t="s">
        <v>660</v>
      </c>
      <c r="GF116" s="685" t="e">
        <f>CONCATENATE(INDEX(BC_RoofConst,MATCH(CONCATENATE(MID($AX$26,1,11),", ",MID(BB36,5,100)," - ",BI36),BC_RoofAlter,0),1)," R",INDEX(BC_RoofValues,MATCH(CONCATENATE(MID($AX$26,1,11),", ",MID(BB36,5,100)," - ",BI36),BC_RoofAlter,0),6))</f>
        <v>#N/A</v>
      </c>
      <c r="GG116" s="509"/>
      <c r="IV116" s="635" t="s">
        <v>716</v>
      </c>
      <c r="IW116" s="604" t="e">
        <f>IF(IW115&lt;CY38,CY38,IW115)</f>
        <v>#N/A</v>
      </c>
      <c r="IY116" s="500" t="b">
        <f>ISBLANK(CK53)</f>
        <v>1</v>
      </c>
      <c r="IZ116" s="500" t="b">
        <f>ISBLANK(CW53)</f>
        <v>1</v>
      </c>
      <c r="JC116" s="500">
        <f>COUNTIF(IY116:JA116,TRUE())</f>
        <v>2</v>
      </c>
      <c r="MM116" s="543"/>
    </row>
    <row r="117" spans="149:351" ht="11.25" customHeight="1">
      <c r="GB117" s="543"/>
      <c r="GE117" s="578" t="s">
        <v>661</v>
      </c>
      <c r="GF117" s="686" t="e">
        <f>CONCATENATE(INDEX(BC_RoofConst,MATCH(CONCATENATE(MID(AY36,5,11),", ",MID($AX$26,14,FIND("-",$AX$26,1)-15)," - ",BI36),BC_RoofAlter,0),1)," R",INDEX(BC_RoofValues,MATCH(CONCATENATE(MID(AY36,5,11),", ",MID($AX$26,14,FIND("-",$AX$26,1)-15)," - ",BI36),BC_RoofAlter,0),6))</f>
        <v>#VALUE!</v>
      </c>
      <c r="HQ117" s="536" t="s">
        <v>776</v>
      </c>
      <c r="IY117" s="497" t="s">
        <v>839</v>
      </c>
      <c r="MM117" s="543"/>
    </row>
    <row r="118" spans="149:351" ht="11.25" customHeight="1">
      <c r="GB118" s="543"/>
      <c r="GE118" s="578" t="s">
        <v>714</v>
      </c>
      <c r="GF118" s="686" t="e">
        <f>CONCATENATE(INDEX(BC_RoofConst,MATCH(CONCATENATE(MID(AY36,5,11),", ",MID(BB36,5,100)," - ",BI36),BC_RoofAlter,0),1)," R",INDEX(BC_RoofValues,MATCH(CONCATENATE(MID(AY36,5,11),", ",MID(BB36,5,100)," - ",BI36),BC_RoofAlter,0),6))</f>
        <v>#N/A</v>
      </c>
      <c r="HQ118" s="536" t="s">
        <v>775</v>
      </c>
      <c r="IY118" s="500" t="b">
        <f>ISBLANK(CK56)</f>
        <v>1</v>
      </c>
      <c r="IZ118" s="500" t="b">
        <f>ISBLANK(CW56)</f>
        <v>1</v>
      </c>
      <c r="JC118" s="500">
        <f>COUNTIF(IY118:JA118,TRUE())</f>
        <v>2</v>
      </c>
      <c r="MM118" s="543"/>
    </row>
    <row r="119" spans="149:351" ht="11.25" customHeight="1">
      <c r="GB119" s="543"/>
      <c r="HP119" s="649" t="s">
        <v>774</v>
      </c>
      <c r="HQ119" s="641">
        <v>6</v>
      </c>
      <c r="HR119" s="641">
        <f t="shared" ref="HR119:IB119" si="180">IF(AND($BN$82&gt;=HR65,$BN$82&lt;HQ65),$BN$82,HR65)</f>
        <v>5.5</v>
      </c>
      <c r="HS119" s="641">
        <f t="shared" si="180"/>
        <v>5</v>
      </c>
      <c r="HT119" s="641">
        <f t="shared" si="180"/>
        <v>4.5</v>
      </c>
      <c r="HU119" s="641">
        <f t="shared" si="180"/>
        <v>4</v>
      </c>
      <c r="HV119" s="641">
        <f t="shared" si="180"/>
        <v>3.5</v>
      </c>
      <c r="HW119" s="641">
        <f t="shared" si="180"/>
        <v>3</v>
      </c>
      <c r="HX119" s="641">
        <f t="shared" si="180"/>
        <v>2.5</v>
      </c>
      <c r="HY119" s="641">
        <f t="shared" si="180"/>
        <v>2</v>
      </c>
      <c r="HZ119" s="641">
        <f t="shared" si="180"/>
        <v>1.5</v>
      </c>
      <c r="IA119" s="641">
        <f t="shared" si="180"/>
        <v>1</v>
      </c>
      <c r="IB119" s="641">
        <f t="shared" si="180"/>
        <v>1E-4</v>
      </c>
      <c r="IV119" s="638" t="s">
        <v>833</v>
      </c>
      <c r="MM119" s="543"/>
    </row>
    <row r="120" spans="149:351">
      <c r="GB120" s="543"/>
      <c r="GF120" s="503" t="s">
        <v>457</v>
      </c>
      <c r="GG120" s="683" t="str">
        <f>IF(AND(AY36=$ET$13,BB36=$ET$13),0,IF(AND(AY36=$ET$13,MID(BB36,1,3)=$ET$31),INDEX(BC_RoofValues,MATCH($AX$26,BC_RoofConst,0),9),IF(AND(MID(AY36,1,3)=$ET$31,BB36=$ET$13),INDEX(BC_RoofValues,MATCH($AX$26,BC_RoofConst,0),8),"New/New")))</f>
        <v>New/New</v>
      </c>
      <c r="HN120" s="635" t="s">
        <v>755</v>
      </c>
      <c r="HO120" s="500" t="s">
        <v>756</v>
      </c>
      <c r="HP120" s="642">
        <v>0.05</v>
      </c>
      <c r="HQ120" s="500" t="s">
        <v>757</v>
      </c>
      <c r="HR120" s="500" t="s">
        <v>757</v>
      </c>
      <c r="HS120" s="500" t="s">
        <v>757</v>
      </c>
      <c r="HT120" s="500" t="s">
        <v>757</v>
      </c>
      <c r="HU120" s="500" t="s">
        <v>757</v>
      </c>
      <c r="HV120" s="500" t="s">
        <v>757</v>
      </c>
      <c r="HW120" s="500" t="s">
        <v>757</v>
      </c>
      <c r="HX120" s="500" t="s">
        <v>757</v>
      </c>
      <c r="HY120" s="500" t="s">
        <v>757</v>
      </c>
      <c r="HZ120" s="500" t="s">
        <v>757</v>
      </c>
      <c r="IA120" s="500" t="s">
        <v>757</v>
      </c>
      <c r="IB120" s="500" t="s">
        <v>757</v>
      </c>
      <c r="IV120" s="503" t="s">
        <v>491</v>
      </c>
      <c r="IW120" s="499" t="e">
        <f>IW102</f>
        <v>#N/A</v>
      </c>
      <c r="IX120" s="509" t="s">
        <v>841</v>
      </c>
      <c r="MM120" s="543"/>
    </row>
    <row r="121" spans="149:351" ht="11.25" customHeight="1">
      <c r="GB121" s="543"/>
      <c r="GF121" s="500"/>
      <c r="GG121" s="683"/>
      <c r="HN121" s="635" t="s">
        <v>747</v>
      </c>
      <c r="HO121" s="500" t="s">
        <v>754</v>
      </c>
      <c r="HP121" s="642">
        <v>0.05</v>
      </c>
      <c r="HQ121" s="500" t="s">
        <v>757</v>
      </c>
      <c r="HR121" s="500" t="s">
        <v>757</v>
      </c>
      <c r="HS121" s="500" t="s">
        <v>757</v>
      </c>
      <c r="HT121" s="500" t="s">
        <v>757</v>
      </c>
      <c r="HU121" s="500" t="s">
        <v>757</v>
      </c>
      <c r="HV121" s="500" t="s">
        <v>757</v>
      </c>
      <c r="HW121" s="500" t="s">
        <v>757</v>
      </c>
      <c r="HX121" s="911">
        <f>IF(HX119&gt;$HX$65,$HX$74,$HX$73)</f>
        <v>5</v>
      </c>
      <c r="HY121" s="652">
        <f>HY73+((HX73-HY73)*((HY$119-HY$65)/0.5))</f>
        <v>3.4</v>
      </c>
      <c r="HZ121" s="652">
        <f>HZ73+((HY73-HZ73)*((HZ$119-HZ$65)/0.5))</f>
        <v>2.2000000000000002</v>
      </c>
      <c r="IA121" s="652">
        <f>IA73+((HZ73-IA73)*((IA$119-IA$65)/0.5))</f>
        <v>1.3</v>
      </c>
      <c r="IB121" s="566">
        <f>IB73+((IA73-IB73)*((IB$119-IB$65)/1))</f>
        <v>0.3</v>
      </c>
      <c r="IU121" s="578" t="s">
        <v>829</v>
      </c>
      <c r="IV121" s="635" t="e">
        <f>IF(CL47=$IU$59,CK38,IF(CK38=$IT$29,INDEX(BC_WallAlt_WB_Match,MATCH(CL47,BC_WallAlt_WB,0),1),IF(CK38=$IT$35,INDEX(BC_WallAlt_FC_Match,MATCH(CL47,BC_WallAlt_FC,0),1),IF(CK38=$IT$41,INDEX(BC_WallAlt_BV_Match,MATCH(CL47,BC_WallAlt_BV,0),1),IF(CK38=$IT$47,INDEX(BC_WallAlt_C_Match,MATCH(CL47,BC_WallAlt_C,0),1),INDEX(BC_WallAlt_RBV_Match,MATCH(CL47,BC_WallAlt_RBV,0),1))))))</f>
        <v>#N/A</v>
      </c>
      <c r="MM121" s="543"/>
    </row>
    <row r="122" spans="149:351" ht="11.25" customHeight="1">
      <c r="GB122" s="543"/>
      <c r="GF122" s="503" t="s">
        <v>458</v>
      </c>
      <c r="GG122" s="683" t="e">
        <f>GG115-GG120</f>
        <v>#N/A</v>
      </c>
      <c r="HN122" s="635" t="s">
        <v>752</v>
      </c>
      <c r="HO122" s="500" t="s">
        <v>754</v>
      </c>
      <c r="HP122" s="642">
        <v>0.04</v>
      </c>
      <c r="HQ122" s="500" t="s">
        <v>757</v>
      </c>
      <c r="HR122" s="563" t="s">
        <v>757</v>
      </c>
      <c r="HS122" s="563" t="s">
        <v>757</v>
      </c>
      <c r="HT122" s="563" t="s">
        <v>757</v>
      </c>
      <c r="HU122" s="563" t="s">
        <v>757</v>
      </c>
      <c r="HV122" s="563" t="s">
        <v>757</v>
      </c>
      <c r="HW122" s="911">
        <f>IF(HW119&gt;$HW$65,$HW$74,$HW$72)</f>
        <v>5.7</v>
      </c>
      <c r="HX122" s="652">
        <f>HX72+((HW72-HX72)*((HX$119-HX$65)/0.5))</f>
        <v>4.2</v>
      </c>
      <c r="HY122" s="652">
        <f>HY72+((HX72-HY72)*((HY$119-HY$65)/0.5))</f>
        <v>3</v>
      </c>
      <c r="HZ122" s="652">
        <f>HZ72+((HY72-HZ72)*((HZ$119-HZ$65)/0.5))</f>
        <v>2</v>
      </c>
      <c r="IA122" s="652">
        <f>IA72+((HZ72-IA72)*((IA$119-IA$65)/0.5))</f>
        <v>1.2</v>
      </c>
      <c r="IB122" s="566">
        <f>IB72+((IA72-IB72)*((IB$119-IB$65)/1))</f>
        <v>0.2</v>
      </c>
      <c r="IU122" s="578" t="s">
        <v>830</v>
      </c>
      <c r="IV122" s="635" t="str">
        <f>IF(ISBLANK(CL47),"",CONCATENATE(IV121," R",INDEX(BC_WallValues,MATCH(IV121,BC_WallConst,0),6)))</f>
        <v/>
      </c>
      <c r="MM122" s="543"/>
    </row>
    <row r="123" spans="149:351">
      <c r="GB123" s="543"/>
      <c r="GF123" s="500"/>
      <c r="GG123" s="500"/>
      <c r="HN123" s="635" t="s">
        <v>751</v>
      </c>
      <c r="HO123" s="500" t="s">
        <v>754</v>
      </c>
      <c r="HP123" s="642">
        <v>0.03</v>
      </c>
      <c r="HQ123" s="500" t="s">
        <v>757</v>
      </c>
      <c r="HR123" s="563" t="s">
        <v>757</v>
      </c>
      <c r="HS123" s="563" t="s">
        <v>757</v>
      </c>
      <c r="HT123" s="563" t="s">
        <v>757</v>
      </c>
      <c r="HU123" s="563" t="s">
        <v>757</v>
      </c>
      <c r="HV123" s="911">
        <f>IF(HV119&gt;$HV$65,$HV$74,$HV$71)</f>
        <v>5.9</v>
      </c>
      <c r="HW123" s="652">
        <f t="shared" ref="HW123:IA123" si="181">HW71+((HV71-HW71)*((HW$119-HW$65)/0.5))</f>
        <v>4.5999999999999996</v>
      </c>
      <c r="HX123" s="652">
        <f t="shared" si="181"/>
        <v>3.6</v>
      </c>
      <c r="HY123" s="652">
        <f t="shared" si="181"/>
        <v>2.6</v>
      </c>
      <c r="HZ123" s="652">
        <f t="shared" si="181"/>
        <v>1.9</v>
      </c>
      <c r="IA123" s="652">
        <f t="shared" si="181"/>
        <v>1.2</v>
      </c>
      <c r="IB123" s="566">
        <f>IB71+((IA71-IB71)*((IB$119-IB$65)/1))</f>
        <v>0.2</v>
      </c>
      <c r="IV123" s="503" t="s">
        <v>457</v>
      </c>
      <c r="IW123" s="499" t="str">
        <f>IF(CL47=$IU$39,0,IF(MID(CL47,1,8)=$ET$13,INDEX(BC_WallValues,MATCH(CK38,BC_WallConst,0),9),IF(MID(CL47,1,3)=$ET$31,INDEX(BC_WallValues,MATCH(CK38,BC_WallConst,0),8),$ET$17)))</f>
        <v>Data</v>
      </c>
      <c r="MM123" s="543"/>
    </row>
    <row r="124" spans="149:351" ht="11.25" customHeight="1">
      <c r="GB124" s="543"/>
      <c r="GF124" s="503" t="s">
        <v>461</v>
      </c>
      <c r="GG124" s="689" t="e">
        <f>GG120/GG115</f>
        <v>#VALUE!</v>
      </c>
      <c r="HN124" s="635" t="s">
        <v>750</v>
      </c>
      <c r="HO124" s="500" t="s">
        <v>754</v>
      </c>
      <c r="HP124" s="642">
        <v>2.5000000000000001E-2</v>
      </c>
      <c r="HQ124" s="500" t="s">
        <v>757</v>
      </c>
      <c r="HR124" s="563" t="s">
        <v>757</v>
      </c>
      <c r="HS124" s="563" t="s">
        <v>757</v>
      </c>
      <c r="HT124" s="563" t="s">
        <v>757</v>
      </c>
      <c r="HU124" s="911">
        <f>IF(HU119&gt;$HU$65,$HU$74,$HU$70)</f>
        <v>6.5</v>
      </c>
      <c r="HV124" s="652">
        <f t="shared" ref="HV124:IA124" si="182">HV70+((HU70-HV70)*((HV$119-HV$65)/0.5))</f>
        <v>5.3</v>
      </c>
      <c r="HW124" s="652">
        <f t="shared" si="182"/>
        <v>4.2</v>
      </c>
      <c r="HX124" s="652">
        <f t="shared" si="182"/>
        <v>3.3</v>
      </c>
      <c r="HY124" s="652">
        <f t="shared" si="182"/>
        <v>2.5</v>
      </c>
      <c r="HZ124" s="652">
        <f t="shared" si="182"/>
        <v>1.8</v>
      </c>
      <c r="IA124" s="652">
        <f t="shared" si="182"/>
        <v>1.1000000000000001</v>
      </c>
      <c r="IB124" s="566">
        <f>IB70+((IA70-IB70)*((IB$119-IB$65)/1))</f>
        <v>0.1</v>
      </c>
      <c r="IV124" s="503"/>
      <c r="IW124" s="500"/>
      <c r="MM124" s="543"/>
    </row>
    <row r="125" spans="149:351" ht="11.25" customHeight="1">
      <c r="GB125" s="543"/>
      <c r="HN125" s="635" t="s">
        <v>749</v>
      </c>
      <c r="HO125" s="500" t="s">
        <v>754</v>
      </c>
      <c r="HP125" s="642">
        <v>0.02</v>
      </c>
      <c r="HQ125" s="500" t="s">
        <v>757</v>
      </c>
      <c r="HR125" s="563" t="s">
        <v>757</v>
      </c>
      <c r="HS125" s="563" t="s">
        <v>757</v>
      </c>
      <c r="HT125" s="911">
        <f>IF(HT119&gt;$HT$65,$HT$74,$HT$69)</f>
        <v>6.8</v>
      </c>
      <c r="HU125" s="652">
        <f t="shared" ref="HU125:IA125" si="183">HU69+((HT69-HU69)*((HU$119-HU$65)/0.5))</f>
        <v>5.8</v>
      </c>
      <c r="HV125" s="652">
        <f t="shared" si="183"/>
        <v>4.8</v>
      </c>
      <c r="HW125" s="652">
        <f t="shared" si="183"/>
        <v>3.9</v>
      </c>
      <c r="HX125" s="652">
        <f t="shared" si="183"/>
        <v>3.1</v>
      </c>
      <c r="HY125" s="652">
        <f t="shared" si="183"/>
        <v>2.4</v>
      </c>
      <c r="HZ125" s="652">
        <f t="shared" si="183"/>
        <v>1.7</v>
      </c>
      <c r="IA125" s="652">
        <f t="shared" si="183"/>
        <v>1.1000000000000001</v>
      </c>
      <c r="IB125" s="566">
        <f>IB69+((IA69-IB69)*((IB$119-IB$65)/1))</f>
        <v>0.1</v>
      </c>
      <c r="IV125" s="503" t="s">
        <v>458</v>
      </c>
      <c r="IW125" s="499" t="e">
        <f>IW120-IW123</f>
        <v>#N/A</v>
      </c>
      <c r="MM125" s="543"/>
    </row>
    <row r="126" spans="149:351">
      <c r="GB126" s="543"/>
      <c r="GF126" s="503" t="s">
        <v>462</v>
      </c>
      <c r="GG126" s="683" t="e">
        <f>IF(BK36=$ET$13,$ET$13,INDEX(BC_RoofR,MATCH(BK36,BC_RoofAbs,0),1))</f>
        <v>#N/A</v>
      </c>
      <c r="HN126" s="635" t="s">
        <v>748</v>
      </c>
      <c r="HO126" s="500" t="s">
        <v>754</v>
      </c>
      <c r="HP126" s="642">
        <v>1.4999999999999999E-2</v>
      </c>
      <c r="HQ126" s="500" t="s">
        <v>757</v>
      </c>
      <c r="HR126" s="563" t="s">
        <v>757</v>
      </c>
      <c r="HS126" s="911">
        <f>IF(HS119&gt;$HS$65,$HS$74,$HS$68)</f>
        <v>7</v>
      </c>
      <c r="HT126" s="652">
        <f t="shared" ref="HT126:IA126" si="184">HT68+((HS68-HT68)*((HT$119-HT$65)/0.5))</f>
        <v>6.1</v>
      </c>
      <c r="HU126" s="652">
        <f t="shared" si="184"/>
        <v>5.2</v>
      </c>
      <c r="HV126" s="652">
        <f t="shared" si="184"/>
        <v>4.4000000000000004</v>
      </c>
      <c r="HW126" s="652">
        <f t="shared" si="184"/>
        <v>3.6</v>
      </c>
      <c r="HX126" s="652">
        <f t="shared" si="184"/>
        <v>2.9</v>
      </c>
      <c r="HY126" s="652">
        <f t="shared" si="184"/>
        <v>2.2999999999999998</v>
      </c>
      <c r="HZ126" s="652">
        <f t="shared" si="184"/>
        <v>1.7</v>
      </c>
      <c r="IA126" s="652">
        <f t="shared" si="184"/>
        <v>1.1000000000000001</v>
      </c>
      <c r="IB126" s="566">
        <f>IB68+((IA68-IB68)*((IB$119-IB$65)/1))</f>
        <v>0.1</v>
      </c>
      <c r="IV126" s="503"/>
      <c r="IW126" s="500"/>
      <c r="MM126" s="543"/>
    </row>
    <row r="127" spans="149:351" ht="11.25" customHeight="1">
      <c r="GB127" s="543"/>
      <c r="GF127" s="503"/>
      <c r="GG127" s="627"/>
      <c r="HN127" s="635" t="s">
        <v>746</v>
      </c>
      <c r="HO127" s="500" t="s">
        <v>754</v>
      </c>
      <c r="HP127" s="642">
        <v>0.01</v>
      </c>
      <c r="HQ127" s="500" t="s">
        <v>757</v>
      </c>
      <c r="HR127" s="911">
        <f>IF(HR119&gt;$HR$65,$HR$74,$HR$67)</f>
        <v>6.9</v>
      </c>
      <c r="HS127" s="652">
        <f t="shared" ref="HS127:IA127" si="185">HS67+((HR67-HS67)*((HS$119-HS$65)/0.5))</f>
        <v>6.2</v>
      </c>
      <c r="HT127" s="652">
        <f t="shared" si="185"/>
        <v>5.4</v>
      </c>
      <c r="HU127" s="652">
        <f t="shared" si="185"/>
        <v>4.7</v>
      </c>
      <c r="HV127" s="652">
        <f t="shared" si="185"/>
        <v>4</v>
      </c>
      <c r="HW127" s="652">
        <f t="shared" si="185"/>
        <v>3.4</v>
      </c>
      <c r="HX127" s="652">
        <f t="shared" si="185"/>
        <v>2.8</v>
      </c>
      <c r="HY127" s="652">
        <f t="shared" si="185"/>
        <v>2.2000000000000002</v>
      </c>
      <c r="HZ127" s="652">
        <f t="shared" si="185"/>
        <v>1.6</v>
      </c>
      <c r="IA127" s="652">
        <f t="shared" si="185"/>
        <v>1</v>
      </c>
      <c r="IB127" s="566">
        <f>IB67+((IA67-IB67)*((IB$119-IB$65)/1))</f>
        <v>0</v>
      </c>
      <c r="IV127" s="503" t="s">
        <v>492</v>
      </c>
      <c r="IW127" s="643" t="e">
        <f>IW123/IW120</f>
        <v>#VALUE!</v>
      </c>
      <c r="MM127" s="543"/>
    </row>
    <row r="128" spans="149:351">
      <c r="GB128" s="543"/>
      <c r="GF128" s="503" t="s">
        <v>463</v>
      </c>
      <c r="GG128" s="690" t="e">
        <f>IF(GG126=$ET$13,$ET$13,GG126*GG124)</f>
        <v>#N/A</v>
      </c>
      <c r="HN128" s="635" t="s">
        <v>745</v>
      </c>
      <c r="HO128" s="500" t="s">
        <v>754</v>
      </c>
      <c r="HP128" s="642">
        <v>5.0000000000000001E-3</v>
      </c>
      <c r="HQ128" s="572" t="str">
        <f t="shared" ref="HQ128:IB128" si="186">$BN$82</f>
        <v/>
      </c>
      <c r="HR128" s="572" t="str">
        <f t="shared" si="186"/>
        <v/>
      </c>
      <c r="HS128" s="572" t="str">
        <f t="shared" si="186"/>
        <v/>
      </c>
      <c r="HT128" s="572" t="str">
        <f t="shared" si="186"/>
        <v/>
      </c>
      <c r="HU128" s="572" t="str">
        <f t="shared" si="186"/>
        <v/>
      </c>
      <c r="HV128" s="572" t="str">
        <f t="shared" si="186"/>
        <v/>
      </c>
      <c r="HW128" s="572" t="str">
        <f t="shared" si="186"/>
        <v/>
      </c>
      <c r="HX128" s="572" t="str">
        <f t="shared" si="186"/>
        <v/>
      </c>
      <c r="HY128" s="572" t="str">
        <f t="shared" si="186"/>
        <v/>
      </c>
      <c r="HZ128" s="572" t="str">
        <f t="shared" si="186"/>
        <v/>
      </c>
      <c r="IA128" s="572" t="str">
        <f t="shared" si="186"/>
        <v/>
      </c>
      <c r="IB128" s="572" t="str">
        <f t="shared" si="186"/>
        <v/>
      </c>
      <c r="IV128" s="524"/>
      <c r="JE128" s="543"/>
      <c r="JF128" s="543"/>
      <c r="JG128" s="543"/>
      <c r="JH128" s="543"/>
      <c r="JI128" s="543"/>
      <c r="JJ128" s="543"/>
      <c r="JK128" s="543"/>
      <c r="JL128" s="543"/>
      <c r="JM128" s="543"/>
      <c r="JN128" s="543"/>
      <c r="JO128" s="543"/>
      <c r="JP128" s="543"/>
      <c r="JQ128" s="543"/>
      <c r="JR128" s="543"/>
      <c r="JS128" s="543"/>
      <c r="JT128" s="543"/>
      <c r="JU128" s="543"/>
      <c r="JV128" s="543"/>
      <c r="JW128" s="543"/>
      <c r="JX128" s="543"/>
      <c r="JY128" s="543"/>
      <c r="JZ128" s="543"/>
      <c r="KA128" s="543"/>
      <c r="KB128" s="543"/>
      <c r="KC128" s="543"/>
      <c r="KD128" s="543"/>
      <c r="KE128" s="543"/>
      <c r="KF128" s="543"/>
      <c r="KG128" s="543"/>
      <c r="KH128" s="543"/>
      <c r="KI128" s="543"/>
      <c r="KJ128" s="543"/>
      <c r="KK128" s="543"/>
      <c r="KL128" s="543"/>
      <c r="KM128" s="543"/>
      <c r="KN128" s="543"/>
      <c r="KO128" s="543"/>
      <c r="KP128" s="543"/>
      <c r="KQ128" s="543"/>
      <c r="KR128" s="543"/>
      <c r="KS128" s="543"/>
      <c r="KT128" s="543"/>
      <c r="KU128" s="543"/>
      <c r="KV128" s="543"/>
      <c r="KW128" s="543"/>
      <c r="KX128" s="543"/>
      <c r="KY128" s="543"/>
      <c r="KZ128" s="543"/>
      <c r="LA128" s="543"/>
      <c r="LB128" s="543"/>
      <c r="LC128" s="543"/>
      <c r="LD128" s="543"/>
      <c r="LE128" s="543"/>
      <c r="LF128" s="543"/>
      <c r="LG128" s="543"/>
      <c r="LH128" s="543"/>
      <c r="LI128" s="543"/>
      <c r="LJ128" s="543"/>
      <c r="LK128" s="543"/>
      <c r="LL128" s="543"/>
      <c r="LM128" s="543"/>
      <c r="LN128" s="543"/>
      <c r="LO128" s="543"/>
      <c r="LP128" s="543"/>
      <c r="LQ128" s="543"/>
      <c r="LR128" s="543"/>
      <c r="LS128" s="543"/>
      <c r="LT128" s="543"/>
      <c r="LU128" s="543"/>
      <c r="LV128" s="543"/>
      <c r="LW128" s="543"/>
      <c r="LX128" s="543"/>
      <c r="LY128" s="543"/>
      <c r="LZ128" s="543"/>
      <c r="MA128" s="543"/>
      <c r="MB128" s="543"/>
      <c r="MC128" s="543"/>
      <c r="MD128" s="543"/>
      <c r="ME128" s="543"/>
      <c r="MF128" s="543"/>
      <c r="MG128" s="543"/>
      <c r="MH128" s="543"/>
      <c r="MI128" s="543"/>
      <c r="MJ128" s="543"/>
      <c r="MK128" s="543"/>
      <c r="ML128" s="543"/>
      <c r="MM128" s="543"/>
    </row>
    <row r="129" spans="184:265">
      <c r="GB129" s="543"/>
      <c r="GF129" s="503"/>
      <c r="GG129" s="627"/>
      <c r="IV129" s="503" t="s">
        <v>493</v>
      </c>
      <c r="IW129" s="643" t="e">
        <f>INDEX(BC_WallR,MATCH($D$65,BC_WAZones,0),MATCH(CW47,BC_WallShade,0))</f>
        <v>#N/A</v>
      </c>
      <c r="JE129" s="543"/>
    </row>
    <row r="130" spans="184:265">
      <c r="GB130" s="543"/>
      <c r="GF130" s="503" t="s">
        <v>464</v>
      </c>
      <c r="GG130" s="690" t="e">
        <f>IF(GG126=$ET$13,$ET$13,IF((GG122+GG128)&gt;GG126,GG126,GG122+GG128))</f>
        <v>#N/A</v>
      </c>
      <c r="HQ130" s="536" t="s">
        <v>773</v>
      </c>
      <c r="IV130" s="503"/>
      <c r="IW130" s="500"/>
      <c r="JE130" s="543"/>
    </row>
    <row r="131" spans="184:265">
      <c r="GB131" s="543"/>
      <c r="GF131" s="691" t="s">
        <v>716</v>
      </c>
      <c r="GG131" s="692" t="e">
        <f>IF(GG130&lt;$BM$26,$BM$26,GG130)</f>
        <v>#N/A</v>
      </c>
      <c r="HQ131" s="536" t="s">
        <v>772</v>
      </c>
      <c r="IV131" s="503" t="s">
        <v>463</v>
      </c>
      <c r="IW131" s="643" t="e">
        <f>IW129*IW127</f>
        <v>#N/A</v>
      </c>
      <c r="JE131" s="543"/>
    </row>
    <row r="132" spans="184:265">
      <c r="GB132" s="543"/>
      <c r="HP132" s="649" t="s">
        <v>771</v>
      </c>
      <c r="HQ132" s="641">
        <v>6</v>
      </c>
      <c r="HR132" s="641">
        <f t="shared" ref="HR132:IB132" si="187">IF(AND($BN$83&gt;=HR65,$BN$83&lt;HQ65),$BN$83,HR65)</f>
        <v>5.5</v>
      </c>
      <c r="HS132" s="641">
        <f t="shared" si="187"/>
        <v>5</v>
      </c>
      <c r="HT132" s="641">
        <f t="shared" si="187"/>
        <v>4.5</v>
      </c>
      <c r="HU132" s="641">
        <f t="shared" si="187"/>
        <v>4</v>
      </c>
      <c r="HV132" s="641">
        <f t="shared" si="187"/>
        <v>3.5</v>
      </c>
      <c r="HW132" s="641">
        <f t="shared" si="187"/>
        <v>3</v>
      </c>
      <c r="HX132" s="641">
        <f t="shared" si="187"/>
        <v>2.5</v>
      </c>
      <c r="HY132" s="641">
        <f t="shared" si="187"/>
        <v>2</v>
      </c>
      <c r="HZ132" s="641">
        <f t="shared" si="187"/>
        <v>1.5</v>
      </c>
      <c r="IA132" s="641">
        <f t="shared" si="187"/>
        <v>1</v>
      </c>
      <c r="IB132" s="641">
        <f t="shared" si="187"/>
        <v>1E-4</v>
      </c>
      <c r="IV132" s="503"/>
      <c r="IW132" s="500"/>
      <c r="JE132" s="543"/>
    </row>
    <row r="133" spans="184:265" ht="11.25" customHeight="1">
      <c r="GB133" s="543"/>
      <c r="GF133" s="498" t="s">
        <v>786</v>
      </c>
      <c r="HN133" s="635" t="s">
        <v>755</v>
      </c>
      <c r="HO133" s="500" t="s">
        <v>756</v>
      </c>
      <c r="HP133" s="642">
        <v>0.05</v>
      </c>
      <c r="HQ133" s="500" t="s">
        <v>757</v>
      </c>
      <c r="HR133" s="500" t="s">
        <v>757</v>
      </c>
      <c r="HS133" s="500" t="s">
        <v>757</v>
      </c>
      <c r="HT133" s="500" t="s">
        <v>757</v>
      </c>
      <c r="HU133" s="500" t="s">
        <v>757</v>
      </c>
      <c r="HV133" s="500" t="s">
        <v>757</v>
      </c>
      <c r="HW133" s="500" t="s">
        <v>757</v>
      </c>
      <c r="HX133" s="500" t="s">
        <v>757</v>
      </c>
      <c r="HY133" s="500" t="s">
        <v>757</v>
      </c>
      <c r="HZ133" s="500" t="s">
        <v>757</v>
      </c>
      <c r="IA133" s="500" t="s">
        <v>757</v>
      </c>
      <c r="IB133" s="500" t="s">
        <v>757</v>
      </c>
      <c r="IV133" s="503" t="s">
        <v>464</v>
      </c>
      <c r="IW133" s="643" t="e">
        <f>IF((IW125+IW131)&gt;IW129,IW129,IW125+IW131)</f>
        <v>#N/A</v>
      </c>
      <c r="JE133" s="543"/>
    </row>
    <row r="134" spans="184:265">
      <c r="GB134" s="543"/>
      <c r="GE134" s="578" t="s">
        <v>826</v>
      </c>
      <c r="GF134" s="503" t="s">
        <v>455</v>
      </c>
      <c r="GG134" s="683" t="e">
        <f>INDEX(BC_RoofValues,MATCH(AX42,BC_RoofConst,0),7)</f>
        <v>#N/A</v>
      </c>
      <c r="HN134" s="635" t="s">
        <v>747</v>
      </c>
      <c r="HO134" s="500" t="s">
        <v>754</v>
      </c>
      <c r="HP134" s="642">
        <v>0.05</v>
      </c>
      <c r="HQ134" s="500" t="s">
        <v>757</v>
      </c>
      <c r="HR134" s="500" t="s">
        <v>757</v>
      </c>
      <c r="HS134" s="500" t="s">
        <v>757</v>
      </c>
      <c r="HT134" s="500" t="s">
        <v>757</v>
      </c>
      <c r="HU134" s="500" t="s">
        <v>757</v>
      </c>
      <c r="HV134" s="500" t="s">
        <v>757</v>
      </c>
      <c r="HW134" s="500" t="s">
        <v>757</v>
      </c>
      <c r="HX134" s="911">
        <f>IF(HX132&gt;$HX$65,$HX$74,$HX$73)</f>
        <v>5</v>
      </c>
      <c r="HY134" s="652">
        <f>HY73+((HX73-HY73)*((HY$132-HY$65)/0.5))</f>
        <v>3.4</v>
      </c>
      <c r="HZ134" s="652">
        <f>HZ73+((HY73-HZ73)*((HZ$132-HZ$65)/0.5))</f>
        <v>2.2000000000000002</v>
      </c>
      <c r="IA134" s="652">
        <f>IA73+((HZ73-IA73)*((IA$132-IA$65)/0.5))</f>
        <v>1.3</v>
      </c>
      <c r="IB134" s="566">
        <f>IB73+((IA73-IB73)*((IB$132-IB$65)/1))</f>
        <v>0.3</v>
      </c>
      <c r="IV134" s="635" t="s">
        <v>716</v>
      </c>
      <c r="IW134" s="604" t="e">
        <f>IF(IW133&lt;CY38,CY38,IW133)</f>
        <v>#N/A</v>
      </c>
      <c r="JE134" s="543"/>
    </row>
    <row r="135" spans="184:265">
      <c r="GB135" s="543"/>
      <c r="GE135" s="684" t="s">
        <v>660</v>
      </c>
      <c r="GF135" s="685" t="e">
        <f>CONCATENATE(INDEX(BC_RoofConst,MATCH(CONCATENATE(MID($AX$42,1,11),", ",MID(BB47,5,100)," - ",BI47),BC_RoofAlter,0),1)," R",INDEX(BC_RoofValues,MATCH(CONCATENATE(MID($AX$42,1,11),", ",MID(BB47,5,100)," - ",BI47),BC_RoofAlter,0),6))</f>
        <v>#N/A</v>
      </c>
      <c r="HN135" s="635" t="s">
        <v>752</v>
      </c>
      <c r="HO135" s="500" t="s">
        <v>754</v>
      </c>
      <c r="HP135" s="642">
        <v>0.04</v>
      </c>
      <c r="HQ135" s="500" t="s">
        <v>757</v>
      </c>
      <c r="HR135" s="563" t="s">
        <v>757</v>
      </c>
      <c r="HS135" s="563" t="s">
        <v>757</v>
      </c>
      <c r="HT135" s="563" t="s">
        <v>757</v>
      </c>
      <c r="HU135" s="563" t="s">
        <v>757</v>
      </c>
      <c r="HV135" s="563" t="s">
        <v>757</v>
      </c>
      <c r="HW135" s="911">
        <f>IF(HW132&gt;$HW$65,$HW$74,$HW$72)</f>
        <v>5.7</v>
      </c>
      <c r="HX135" s="652">
        <f>HX72+((HW72-HX72)*((HX$132-HX$65)/0.5))</f>
        <v>4.2</v>
      </c>
      <c r="HY135" s="652">
        <f>HY72+((HX72-HY72)*((HY$132-HY$65)/0.5))</f>
        <v>3</v>
      </c>
      <c r="HZ135" s="652">
        <f>HZ72+((HY72-HZ72)*((HZ$132-HZ$65)/0.5))</f>
        <v>2</v>
      </c>
      <c r="IA135" s="652">
        <f>IA72+((HZ72-IA72)*((IA$132-IA$65)/0.5))</f>
        <v>1.2</v>
      </c>
      <c r="IB135" s="566">
        <f>IB72+((IA72-IB72)*((IB$132-IB$65)/1))</f>
        <v>0.2</v>
      </c>
      <c r="JE135" s="543"/>
    </row>
    <row r="136" spans="184:265" ht="11.25" customHeight="1">
      <c r="GB136" s="543"/>
      <c r="GE136" s="578" t="s">
        <v>661</v>
      </c>
      <c r="GF136" s="686" t="e">
        <f>CONCATENATE(INDEX(BC_RoofConst,MATCH(CONCATENATE(MID(AY47,5,11),", ",MID($AX$42,14,FIND("-",$AX$42,1)-15)," - ",BI47),BC_RoofAlter,0),1)," R",INDEX(BC_RoofValues,MATCH(CONCATENATE(MID(AY47,5,11),", ",MID($AX$42,14,FIND("-",$AX$42,1)-15)," - ",BI47),BC_RoofAlter,0),6))</f>
        <v>#VALUE!</v>
      </c>
      <c r="HN136" s="635" t="s">
        <v>751</v>
      </c>
      <c r="HO136" s="500" t="s">
        <v>754</v>
      </c>
      <c r="HP136" s="642">
        <v>0.03</v>
      </c>
      <c r="HQ136" s="500" t="s">
        <v>757</v>
      </c>
      <c r="HR136" s="563" t="s">
        <v>757</v>
      </c>
      <c r="HS136" s="563" t="s">
        <v>757</v>
      </c>
      <c r="HT136" s="563" t="s">
        <v>757</v>
      </c>
      <c r="HU136" s="563" t="s">
        <v>757</v>
      </c>
      <c r="HV136" s="911">
        <f>IF(HV132&gt;$HV$65,$HV$74,$HV$71)</f>
        <v>5.9</v>
      </c>
      <c r="HW136" s="652">
        <f t="shared" ref="HW136:IA136" si="188">HW71+((HV71-HW71)*((HW$132-HW$65)/0.5))</f>
        <v>4.5999999999999996</v>
      </c>
      <c r="HX136" s="652">
        <f t="shared" si="188"/>
        <v>3.6</v>
      </c>
      <c r="HY136" s="652">
        <f t="shared" si="188"/>
        <v>2.6</v>
      </c>
      <c r="HZ136" s="652">
        <f t="shared" si="188"/>
        <v>1.9</v>
      </c>
      <c r="IA136" s="652">
        <f t="shared" si="188"/>
        <v>1.2</v>
      </c>
      <c r="IB136" s="566">
        <f>IB71+((IA71-IB71)*((IB$132-IB$65)/1))</f>
        <v>0.2</v>
      </c>
      <c r="JE136" s="543"/>
    </row>
    <row r="137" spans="184:265" ht="11.25" customHeight="1">
      <c r="GB137" s="543"/>
      <c r="GE137" s="578" t="s">
        <v>714</v>
      </c>
      <c r="GF137" s="686" t="e">
        <f>CONCATENATE(INDEX(BC_RoofConst,MATCH(CONCATENATE(MID(AY47,5,11),", ",MID(BB47,5,100)," - ",BI47),BC_RoofAlter,0),1)," R",INDEX(BC_RoofValues,MATCH(CONCATENATE(MID(AY47,5,11),", ",MID(BB47,5,100)," - ",BI47),BC_RoofAlter,0),6))</f>
        <v>#N/A</v>
      </c>
      <c r="HN137" s="635" t="s">
        <v>750</v>
      </c>
      <c r="HO137" s="500" t="s">
        <v>754</v>
      </c>
      <c r="HP137" s="642">
        <v>2.5000000000000001E-2</v>
      </c>
      <c r="HQ137" s="500" t="s">
        <v>757</v>
      </c>
      <c r="HR137" s="563" t="s">
        <v>757</v>
      </c>
      <c r="HS137" s="563" t="s">
        <v>757</v>
      </c>
      <c r="HT137" s="563" t="s">
        <v>757</v>
      </c>
      <c r="HU137" s="911">
        <f>IF(HU132&gt;$HU$65,$HU$74,$HU$70)</f>
        <v>6.5</v>
      </c>
      <c r="HV137" s="652">
        <f t="shared" ref="HV137:IA137" si="189">HV70+((HU70-HV70)*((HV$132-HV$65)/0.5))</f>
        <v>5.3</v>
      </c>
      <c r="HW137" s="652">
        <f t="shared" si="189"/>
        <v>4.2</v>
      </c>
      <c r="HX137" s="652">
        <f t="shared" si="189"/>
        <v>3.3</v>
      </c>
      <c r="HY137" s="652">
        <f t="shared" si="189"/>
        <v>2.5</v>
      </c>
      <c r="HZ137" s="652">
        <f t="shared" si="189"/>
        <v>1.8</v>
      </c>
      <c r="IA137" s="652">
        <f t="shared" si="189"/>
        <v>1.1000000000000001</v>
      </c>
      <c r="IB137" s="566">
        <f>IB70+((IA70-IB70)*((IB$132-IB$65)/1))</f>
        <v>0.1</v>
      </c>
      <c r="IV137" s="497" t="s">
        <v>719</v>
      </c>
      <c r="JE137" s="543"/>
    </row>
    <row r="138" spans="184:265" ht="11.25" customHeight="1">
      <c r="GB138" s="543"/>
      <c r="HN138" s="635" t="s">
        <v>749</v>
      </c>
      <c r="HO138" s="500" t="s">
        <v>754</v>
      </c>
      <c r="HP138" s="642">
        <v>0.02</v>
      </c>
      <c r="HQ138" s="500" t="s">
        <v>757</v>
      </c>
      <c r="HR138" s="563" t="s">
        <v>757</v>
      </c>
      <c r="HS138" s="563" t="s">
        <v>757</v>
      </c>
      <c r="HT138" s="911">
        <f>IF(HT132&gt;$HT$65,$HT$74,$HT$69)</f>
        <v>6.8</v>
      </c>
      <c r="HU138" s="652">
        <f t="shared" ref="HU138:IA138" si="190">HU69+((HT69-HU69)*((HU$132-HU$65)/0.5))</f>
        <v>5.8</v>
      </c>
      <c r="HV138" s="652">
        <f t="shared" si="190"/>
        <v>4.8</v>
      </c>
      <c r="HW138" s="652">
        <f t="shared" si="190"/>
        <v>3.9</v>
      </c>
      <c r="HX138" s="652">
        <f t="shared" si="190"/>
        <v>3.1</v>
      </c>
      <c r="HY138" s="652">
        <f t="shared" si="190"/>
        <v>2.4</v>
      </c>
      <c r="HZ138" s="652">
        <f t="shared" si="190"/>
        <v>1.7</v>
      </c>
      <c r="IA138" s="652">
        <f t="shared" si="190"/>
        <v>1.1000000000000001</v>
      </c>
      <c r="IB138" s="566">
        <f>IB69+((IA69-IB69)*((IB$132-IB$65)/1))</f>
        <v>0.1</v>
      </c>
      <c r="IU138" s="578" t="s">
        <v>825</v>
      </c>
      <c r="IV138" s="500" t="e">
        <f>IF(CL28=$IU$59,$ET$13,IW80)</f>
        <v>#N/A</v>
      </c>
      <c r="JE138" s="543"/>
    </row>
    <row r="139" spans="184:265">
      <c r="GB139" s="543"/>
      <c r="GF139" s="503" t="s">
        <v>457</v>
      </c>
      <c r="GG139" s="683" t="str">
        <f>IF(AND(AY47=$ET$13,BB47=$ET$13),0,IF(AND(AY47=$ET$13,MID(BB47,1,3)=$ET$31),INDEX(BC_RoofValues,MATCH($AX$42,BC_RoofConst,0),9),IF(AND(MID(AY47,1,3)=$ET$31,BB47=$ET$13),INDEX(BC_RoofValues,MATCH($AX$42,BC_RoofConst,0),8),"New/New")))</f>
        <v>New/New</v>
      </c>
      <c r="HN139" s="635" t="s">
        <v>748</v>
      </c>
      <c r="HO139" s="500" t="s">
        <v>754</v>
      </c>
      <c r="HP139" s="642">
        <v>1.4999999999999999E-2</v>
      </c>
      <c r="HQ139" s="500" t="s">
        <v>757</v>
      </c>
      <c r="HR139" s="563" t="s">
        <v>757</v>
      </c>
      <c r="HS139" s="911">
        <f>IF(HS132&gt;$HS$65,$HS$74,$HS$68)</f>
        <v>7</v>
      </c>
      <c r="HT139" s="652">
        <f t="shared" ref="HT139:IA139" si="191">HT68+((HS68-HT68)*((HT$132-HT$65)/0.5))</f>
        <v>6.1</v>
      </c>
      <c r="HU139" s="652">
        <f t="shared" si="191"/>
        <v>5.2</v>
      </c>
      <c r="HV139" s="652">
        <f t="shared" si="191"/>
        <v>4.4000000000000004</v>
      </c>
      <c r="HW139" s="652">
        <f t="shared" si="191"/>
        <v>3.6</v>
      </c>
      <c r="HX139" s="652">
        <f t="shared" si="191"/>
        <v>2.9</v>
      </c>
      <c r="HY139" s="652">
        <f t="shared" si="191"/>
        <v>2.2999999999999998</v>
      </c>
      <c r="HZ139" s="652">
        <f t="shared" si="191"/>
        <v>1.7</v>
      </c>
      <c r="IA139" s="652">
        <f t="shared" si="191"/>
        <v>1.1000000000000001</v>
      </c>
      <c r="IB139" s="566">
        <f>IB68+((IA68-IB68)*((IB$132-IB$65)/1))</f>
        <v>0.1</v>
      </c>
      <c r="IU139" s="578" t="s">
        <v>832</v>
      </c>
      <c r="IV139" s="500" t="e">
        <f>IF(CL32=$IU$59,$ET$13,IW98)</f>
        <v>#N/A</v>
      </c>
      <c r="JE139" s="543"/>
    </row>
    <row r="140" spans="184:265" ht="11.25" customHeight="1">
      <c r="GB140" s="543"/>
      <c r="GF140" s="500"/>
      <c r="GG140" s="683"/>
      <c r="HN140" s="635" t="s">
        <v>746</v>
      </c>
      <c r="HO140" s="500" t="s">
        <v>754</v>
      </c>
      <c r="HP140" s="642">
        <v>0.01</v>
      </c>
      <c r="HQ140" s="500" t="s">
        <v>757</v>
      </c>
      <c r="HR140" s="911">
        <f>IF(HR132&gt;$HR$65,$HR$74,$HR$67)</f>
        <v>6.9</v>
      </c>
      <c r="HS140" s="652">
        <f t="shared" ref="HS140:IA140" si="192">HS67+((HR67-HS67)*((HS$132-HS$65)/0.5))</f>
        <v>6.2</v>
      </c>
      <c r="HT140" s="652">
        <f t="shared" si="192"/>
        <v>5.4</v>
      </c>
      <c r="HU140" s="652">
        <f t="shared" si="192"/>
        <v>4.7</v>
      </c>
      <c r="HV140" s="652">
        <f t="shared" si="192"/>
        <v>4</v>
      </c>
      <c r="HW140" s="652">
        <f t="shared" si="192"/>
        <v>3.4</v>
      </c>
      <c r="HX140" s="652">
        <f t="shared" si="192"/>
        <v>2.8</v>
      </c>
      <c r="HY140" s="652">
        <f t="shared" si="192"/>
        <v>2.2000000000000002</v>
      </c>
      <c r="HZ140" s="652">
        <f t="shared" si="192"/>
        <v>1.6</v>
      </c>
      <c r="IA140" s="652">
        <f t="shared" si="192"/>
        <v>1</v>
      </c>
      <c r="IB140" s="566">
        <f>IB67+((IA67-IB67)*((IB$132-IB$65)/1))</f>
        <v>0</v>
      </c>
      <c r="IU140" s="578" t="s">
        <v>834</v>
      </c>
      <c r="IV140" s="500" t="e">
        <f>IF(CL43=$IU$59,$ET$13,IW116)</f>
        <v>#N/A</v>
      </c>
      <c r="JE140" s="543"/>
    </row>
    <row r="141" spans="184:265">
      <c r="GB141" s="543"/>
      <c r="GF141" s="503" t="s">
        <v>458</v>
      </c>
      <c r="GG141" s="683" t="e">
        <f>GG134-GG139</f>
        <v>#N/A</v>
      </c>
      <c r="HN141" s="635" t="s">
        <v>745</v>
      </c>
      <c r="HO141" s="500" t="s">
        <v>754</v>
      </c>
      <c r="HP141" s="642">
        <v>5.0000000000000001E-3</v>
      </c>
      <c r="HQ141" s="572" t="str">
        <f t="shared" ref="HQ141:IB141" si="193">$BN$83</f>
        <v/>
      </c>
      <c r="HR141" s="572" t="str">
        <f t="shared" si="193"/>
        <v/>
      </c>
      <c r="HS141" s="572" t="str">
        <f t="shared" si="193"/>
        <v/>
      </c>
      <c r="HT141" s="572" t="str">
        <f t="shared" si="193"/>
        <v/>
      </c>
      <c r="HU141" s="572" t="str">
        <f t="shared" si="193"/>
        <v/>
      </c>
      <c r="HV141" s="572" t="str">
        <f t="shared" si="193"/>
        <v/>
      </c>
      <c r="HW141" s="572" t="str">
        <f t="shared" si="193"/>
        <v/>
      </c>
      <c r="HX141" s="572" t="str">
        <f t="shared" si="193"/>
        <v/>
      </c>
      <c r="HY141" s="572" t="str">
        <f t="shared" si="193"/>
        <v/>
      </c>
      <c r="HZ141" s="572" t="str">
        <f t="shared" si="193"/>
        <v/>
      </c>
      <c r="IA141" s="572" t="str">
        <f t="shared" si="193"/>
        <v/>
      </c>
      <c r="IB141" s="572" t="str">
        <f t="shared" si="193"/>
        <v/>
      </c>
      <c r="IU141" s="578" t="s">
        <v>833</v>
      </c>
      <c r="IV141" s="500" t="e">
        <f>IF(CL47=$IU$59,$ET$13,IW134)</f>
        <v>#N/A</v>
      </c>
      <c r="JE141" s="543"/>
    </row>
    <row r="142" spans="184:265" ht="11.25" customHeight="1">
      <c r="GB142" s="543"/>
      <c r="GF142" s="500"/>
      <c r="GG142" s="500"/>
      <c r="JE142" s="543"/>
    </row>
    <row r="143" spans="184:265" ht="11.25" customHeight="1">
      <c r="GB143" s="543"/>
      <c r="GF143" s="503" t="s">
        <v>461</v>
      </c>
      <c r="GG143" s="689" t="e">
        <f>GG139/GG134</f>
        <v>#VALUE!</v>
      </c>
      <c r="HQ143" s="536" t="s">
        <v>770</v>
      </c>
      <c r="JE143" s="543"/>
    </row>
    <row r="144" spans="184:265">
      <c r="GB144" s="543"/>
      <c r="HQ144" s="536" t="s">
        <v>769</v>
      </c>
      <c r="JE144" s="543"/>
    </row>
    <row r="145" spans="184:265" ht="11.25" customHeight="1">
      <c r="GB145" s="543"/>
      <c r="GF145" s="503" t="s">
        <v>462</v>
      </c>
      <c r="GG145" s="683" t="e">
        <f>IF(BK47=$ET$13,$ET$13,INDEX(BC_RoofR,MATCH(BK47,BC_RoofAbs,0),1))</f>
        <v>#N/A</v>
      </c>
      <c r="HP145" s="649" t="s">
        <v>768</v>
      </c>
      <c r="HQ145" s="641">
        <v>6</v>
      </c>
      <c r="HR145" s="641">
        <f t="shared" ref="HR145:IB145" si="194">IF(AND($BN$84&gt;=HR65,$BN$84&lt;HQ65),$BN$84,HR65)</f>
        <v>5.5</v>
      </c>
      <c r="HS145" s="641">
        <f t="shared" si="194"/>
        <v>5</v>
      </c>
      <c r="HT145" s="641">
        <f t="shared" si="194"/>
        <v>4.5</v>
      </c>
      <c r="HU145" s="641">
        <f t="shared" si="194"/>
        <v>4</v>
      </c>
      <c r="HV145" s="641">
        <f t="shared" si="194"/>
        <v>3.5</v>
      </c>
      <c r="HW145" s="641">
        <f t="shared" si="194"/>
        <v>3</v>
      </c>
      <c r="HX145" s="641">
        <f t="shared" si="194"/>
        <v>2.5</v>
      </c>
      <c r="HY145" s="641">
        <f t="shared" si="194"/>
        <v>2</v>
      </c>
      <c r="HZ145" s="641">
        <f t="shared" si="194"/>
        <v>1.5</v>
      </c>
      <c r="IA145" s="641">
        <f t="shared" si="194"/>
        <v>1</v>
      </c>
      <c r="IB145" s="641">
        <f t="shared" si="194"/>
        <v>1E-4</v>
      </c>
      <c r="JE145" s="543"/>
    </row>
    <row r="146" spans="184:265" ht="11.25" customHeight="1">
      <c r="GB146" s="543"/>
      <c r="GF146" s="503"/>
      <c r="GG146" s="627"/>
      <c r="HN146" s="635" t="s">
        <v>755</v>
      </c>
      <c r="HO146" s="500" t="s">
        <v>756</v>
      </c>
      <c r="HP146" s="642">
        <v>0.05</v>
      </c>
      <c r="HQ146" s="500" t="s">
        <v>757</v>
      </c>
      <c r="HR146" s="500" t="s">
        <v>757</v>
      </c>
      <c r="HS146" s="500" t="s">
        <v>757</v>
      </c>
      <c r="HT146" s="500" t="s">
        <v>757</v>
      </c>
      <c r="HU146" s="500" t="s">
        <v>757</v>
      </c>
      <c r="HV146" s="500" t="s">
        <v>757</v>
      </c>
      <c r="HW146" s="500" t="s">
        <v>757</v>
      </c>
      <c r="HX146" s="500" t="s">
        <v>757</v>
      </c>
      <c r="HY146" s="500" t="s">
        <v>757</v>
      </c>
      <c r="HZ146" s="500" t="s">
        <v>757</v>
      </c>
      <c r="IA146" s="500" t="s">
        <v>757</v>
      </c>
      <c r="IB146" s="500" t="s">
        <v>757</v>
      </c>
      <c r="JE146" s="543"/>
    </row>
    <row r="147" spans="184:265">
      <c r="GB147" s="543"/>
      <c r="GF147" s="503" t="s">
        <v>463</v>
      </c>
      <c r="GG147" s="690" t="e">
        <f>IF(GG145=$ET$13,$ET$13,GG145*GG143)</f>
        <v>#N/A</v>
      </c>
      <c r="HN147" s="635" t="s">
        <v>747</v>
      </c>
      <c r="HO147" s="500" t="s">
        <v>754</v>
      </c>
      <c r="HP147" s="642">
        <v>0.05</v>
      </c>
      <c r="HQ147" s="500" t="s">
        <v>757</v>
      </c>
      <c r="HR147" s="500" t="s">
        <v>757</v>
      </c>
      <c r="HS147" s="500" t="s">
        <v>757</v>
      </c>
      <c r="HT147" s="500" t="s">
        <v>757</v>
      </c>
      <c r="HU147" s="500" t="s">
        <v>757</v>
      </c>
      <c r="HV147" s="500" t="s">
        <v>757</v>
      </c>
      <c r="HW147" s="500" t="s">
        <v>757</v>
      </c>
      <c r="HX147" s="911">
        <f>IF(HX145&gt;$HX$65,$HX$74,$HX$73)</f>
        <v>5</v>
      </c>
      <c r="HY147" s="652">
        <f>HY73+((HX73-HY73)*((HY$145-HY$65)/0.5))</f>
        <v>3.4</v>
      </c>
      <c r="HZ147" s="652">
        <f>HZ73+((HY73-HZ73)*((HZ$145-HZ$65)/0.5))</f>
        <v>2.2000000000000002</v>
      </c>
      <c r="IA147" s="652">
        <f>IA73+((HZ73-IA73)*((IA$145-IA$65)/0.5))</f>
        <v>1.3</v>
      </c>
      <c r="IB147" s="566">
        <f>IB73+((IA73-IB73)*((IB$145-IB$65)/1))</f>
        <v>0.3</v>
      </c>
      <c r="JE147" s="543"/>
    </row>
    <row r="148" spans="184:265">
      <c r="GB148" s="543"/>
      <c r="GF148" s="503"/>
      <c r="GG148" s="627"/>
      <c r="HN148" s="635" t="s">
        <v>752</v>
      </c>
      <c r="HO148" s="500" t="s">
        <v>754</v>
      </c>
      <c r="HP148" s="642">
        <v>0.04</v>
      </c>
      <c r="HQ148" s="500" t="s">
        <v>757</v>
      </c>
      <c r="HR148" s="563" t="s">
        <v>757</v>
      </c>
      <c r="HS148" s="563" t="s">
        <v>757</v>
      </c>
      <c r="HT148" s="563" t="s">
        <v>757</v>
      </c>
      <c r="HU148" s="563" t="s">
        <v>757</v>
      </c>
      <c r="HV148" s="563" t="s">
        <v>757</v>
      </c>
      <c r="HW148" s="911">
        <f>IF(HW145&gt;$HW$65,$HW$74,$HW$72)</f>
        <v>5.7</v>
      </c>
      <c r="HX148" s="652">
        <f>HX72+((HW72-HX72)*((HX$145-HX$65)/0.5))</f>
        <v>4.2</v>
      </c>
      <c r="HY148" s="652">
        <f>HY72+((HX72-HY72)*((HY$145-HY$65)/0.5))</f>
        <v>3</v>
      </c>
      <c r="HZ148" s="652">
        <f>HZ72+((HY72-HZ72)*((HZ$145-HZ$65)/0.5))</f>
        <v>2</v>
      </c>
      <c r="IA148" s="652">
        <f>IA72+((HZ72-IA72)*((IA$145-IA$65)/0.5))</f>
        <v>1.2</v>
      </c>
      <c r="IB148" s="566">
        <f>IB72+((IA72-IB72)*((IB$145-IB$65)/1))</f>
        <v>0.2</v>
      </c>
      <c r="JE148" s="543"/>
    </row>
    <row r="149" spans="184:265">
      <c r="GB149" s="543"/>
      <c r="GF149" s="503" t="s">
        <v>464</v>
      </c>
      <c r="GG149" s="690" t="e">
        <f>IF(GG145=$ET$13,$ET$13,IF((GG141+GG147)&gt;GG145,GG145,GG141+GG147))</f>
        <v>#N/A</v>
      </c>
      <c r="HN149" s="635" t="s">
        <v>751</v>
      </c>
      <c r="HO149" s="500" t="s">
        <v>754</v>
      </c>
      <c r="HP149" s="642">
        <v>0.03</v>
      </c>
      <c r="HQ149" s="500" t="s">
        <v>757</v>
      </c>
      <c r="HR149" s="563" t="s">
        <v>757</v>
      </c>
      <c r="HS149" s="563" t="s">
        <v>757</v>
      </c>
      <c r="HT149" s="563" t="s">
        <v>757</v>
      </c>
      <c r="HU149" s="563" t="s">
        <v>757</v>
      </c>
      <c r="HV149" s="911">
        <f>IF(HV145&gt;$HV$65,$HV$74,$HV$71)</f>
        <v>5.9</v>
      </c>
      <c r="HW149" s="652">
        <f t="shared" ref="HW149:IA149" si="195">HW71+((HV71-HW71)*((HW$145-HW$65)/0.5))</f>
        <v>4.5999999999999996</v>
      </c>
      <c r="HX149" s="652">
        <f t="shared" si="195"/>
        <v>3.6</v>
      </c>
      <c r="HY149" s="652">
        <f t="shared" si="195"/>
        <v>2.6</v>
      </c>
      <c r="HZ149" s="652">
        <f t="shared" si="195"/>
        <v>1.9</v>
      </c>
      <c r="IA149" s="652">
        <f t="shared" si="195"/>
        <v>1.2</v>
      </c>
      <c r="IB149" s="566">
        <f>IB71+((IA71-IB71)*((IB$145-IB$65)/1))</f>
        <v>0.2</v>
      </c>
      <c r="JE149" s="543"/>
    </row>
    <row r="150" spans="184:265">
      <c r="GB150" s="543"/>
      <c r="GF150" s="691" t="s">
        <v>716</v>
      </c>
      <c r="GG150" s="692" t="e">
        <f>IF(GG149&lt;$BM$42,$BM$42,GG149)</f>
        <v>#N/A</v>
      </c>
      <c r="HN150" s="635" t="s">
        <v>750</v>
      </c>
      <c r="HO150" s="500" t="s">
        <v>754</v>
      </c>
      <c r="HP150" s="642">
        <v>2.5000000000000001E-2</v>
      </c>
      <c r="HQ150" s="500" t="s">
        <v>757</v>
      </c>
      <c r="HR150" s="563" t="s">
        <v>757</v>
      </c>
      <c r="HS150" s="563" t="s">
        <v>757</v>
      </c>
      <c r="HT150" s="563" t="s">
        <v>757</v>
      </c>
      <c r="HU150" s="911">
        <f>IF(HU145&gt;$HU$65,$HU$74,$HU$70)</f>
        <v>6.5</v>
      </c>
      <c r="HV150" s="652">
        <f t="shared" ref="HV150:IA150" si="196">HV70+((HU70-HV70)*((HV$145-HV$65)/0.5))</f>
        <v>5.3</v>
      </c>
      <c r="HW150" s="652">
        <f t="shared" si="196"/>
        <v>4.2</v>
      </c>
      <c r="HX150" s="652">
        <f t="shared" si="196"/>
        <v>3.3</v>
      </c>
      <c r="HY150" s="652">
        <f t="shared" si="196"/>
        <v>2.5</v>
      </c>
      <c r="HZ150" s="652">
        <f t="shared" si="196"/>
        <v>1.8</v>
      </c>
      <c r="IA150" s="652">
        <f t="shared" si="196"/>
        <v>1.1000000000000001</v>
      </c>
      <c r="IB150" s="566">
        <f>IB70+((IA70-IB70)*((IB$145-IB$65)/1))</f>
        <v>0.1</v>
      </c>
      <c r="JE150" s="543"/>
    </row>
    <row r="151" spans="184:265" ht="11.25" customHeight="1">
      <c r="GB151" s="543"/>
      <c r="HN151" s="635" t="s">
        <v>749</v>
      </c>
      <c r="HO151" s="500" t="s">
        <v>754</v>
      </c>
      <c r="HP151" s="642">
        <v>0.02</v>
      </c>
      <c r="HQ151" s="500" t="s">
        <v>757</v>
      </c>
      <c r="HR151" s="563" t="s">
        <v>757</v>
      </c>
      <c r="HS151" s="563" t="s">
        <v>757</v>
      </c>
      <c r="HT151" s="911">
        <f>IF(HT145&gt;$HT$65,$HT$74,$HT$69)</f>
        <v>6.8</v>
      </c>
      <c r="HU151" s="652">
        <f t="shared" ref="HU151:IA151" si="197">HU69+((HT69-HU69)*((HU$145-HU$65)/0.5))</f>
        <v>5.8</v>
      </c>
      <c r="HV151" s="652">
        <f t="shared" si="197"/>
        <v>4.8</v>
      </c>
      <c r="HW151" s="652">
        <f t="shared" si="197"/>
        <v>3.9</v>
      </c>
      <c r="HX151" s="652">
        <f t="shared" si="197"/>
        <v>3.1</v>
      </c>
      <c r="HY151" s="652">
        <f t="shared" si="197"/>
        <v>2.4</v>
      </c>
      <c r="HZ151" s="652">
        <f t="shared" si="197"/>
        <v>1.7</v>
      </c>
      <c r="IA151" s="652">
        <f t="shared" si="197"/>
        <v>1.1000000000000001</v>
      </c>
      <c r="IB151" s="566">
        <f>IB69+((IA69-IB69)*((IB$145-IB$65)/1))</f>
        <v>0.1</v>
      </c>
      <c r="JE151" s="543"/>
    </row>
    <row r="152" spans="184:265" ht="11.25" customHeight="1">
      <c r="GB152" s="543"/>
      <c r="GF152" s="498" t="s">
        <v>787</v>
      </c>
      <c r="HN152" s="635" t="s">
        <v>748</v>
      </c>
      <c r="HO152" s="500" t="s">
        <v>754</v>
      </c>
      <c r="HP152" s="642">
        <v>1.4999999999999999E-2</v>
      </c>
      <c r="HQ152" s="500" t="s">
        <v>757</v>
      </c>
      <c r="HR152" s="563" t="s">
        <v>757</v>
      </c>
      <c r="HS152" s="911">
        <f>IF(HS145&gt;$HS$65,$HS$74,$HS$68)</f>
        <v>7</v>
      </c>
      <c r="HT152" s="652">
        <f t="shared" ref="HT152:IA152" si="198">HT68+((HS68-HT68)*((HT$145-HT$65)/0.5))</f>
        <v>6.1</v>
      </c>
      <c r="HU152" s="652">
        <f t="shared" si="198"/>
        <v>5.2</v>
      </c>
      <c r="HV152" s="652">
        <f t="shared" si="198"/>
        <v>4.4000000000000004</v>
      </c>
      <c r="HW152" s="652">
        <f t="shared" si="198"/>
        <v>3.6</v>
      </c>
      <c r="HX152" s="652">
        <f t="shared" si="198"/>
        <v>2.9</v>
      </c>
      <c r="HY152" s="652">
        <f t="shared" si="198"/>
        <v>2.2999999999999998</v>
      </c>
      <c r="HZ152" s="652">
        <f t="shared" si="198"/>
        <v>1.7</v>
      </c>
      <c r="IA152" s="652">
        <f t="shared" si="198"/>
        <v>1.1000000000000001</v>
      </c>
      <c r="IB152" s="566">
        <f>IB68+((IA68-IB68)*((IB$145-IB$65)/1))</f>
        <v>0.1</v>
      </c>
      <c r="JE152" s="543"/>
    </row>
    <row r="153" spans="184:265">
      <c r="GB153" s="543"/>
      <c r="GE153" s="578" t="s">
        <v>826</v>
      </c>
      <c r="GF153" s="503" t="s">
        <v>715</v>
      </c>
      <c r="GG153" s="693" t="e">
        <f>GG134</f>
        <v>#N/A</v>
      </c>
      <c r="HN153" s="635" t="s">
        <v>746</v>
      </c>
      <c r="HO153" s="500" t="s">
        <v>754</v>
      </c>
      <c r="HP153" s="642">
        <v>0.01</v>
      </c>
      <c r="HQ153" s="500" t="s">
        <v>757</v>
      </c>
      <c r="HR153" s="911">
        <f>IF(HR145&gt;$HR$65,$HR$74,$HR$67)</f>
        <v>6.9</v>
      </c>
      <c r="HS153" s="652">
        <f t="shared" ref="HS153:IA153" si="199">HS67+((HR67-HS67)*((HS$145-HS$65)/0.5))</f>
        <v>6.2</v>
      </c>
      <c r="HT153" s="652">
        <f t="shared" si="199"/>
        <v>5.4</v>
      </c>
      <c r="HU153" s="652">
        <f t="shared" si="199"/>
        <v>4.7</v>
      </c>
      <c r="HV153" s="652">
        <f t="shared" si="199"/>
        <v>4</v>
      </c>
      <c r="HW153" s="652">
        <f t="shared" si="199"/>
        <v>3.4</v>
      </c>
      <c r="HX153" s="652">
        <f t="shared" si="199"/>
        <v>2.8</v>
      </c>
      <c r="HY153" s="652">
        <f t="shared" si="199"/>
        <v>2.2000000000000002</v>
      </c>
      <c r="HZ153" s="652">
        <f t="shared" si="199"/>
        <v>1.6</v>
      </c>
      <c r="IA153" s="652">
        <f t="shared" si="199"/>
        <v>1</v>
      </c>
      <c r="IB153" s="566">
        <f>IB67+((IA67-IB67)*((IB$145-IB$65)/1))</f>
        <v>0</v>
      </c>
      <c r="JE153" s="543"/>
    </row>
    <row r="154" spans="184:265">
      <c r="GB154" s="543"/>
      <c r="GE154" s="684" t="s">
        <v>660</v>
      </c>
      <c r="GF154" s="685" t="e">
        <f>CONCATENATE(INDEX(BC_RoofConst,MATCH(CONCATENATE(MID($AX$42,1,11),", ",MID(BB52,5,100)," - ",BI52),BC_RoofAlter,0),1)," R",INDEX(BC_RoofValues,MATCH(CONCATENATE(MID($AX$42,1,11),", ",MID(BB52,5,100)," - ",BI52),BC_RoofAlter,0),6))</f>
        <v>#N/A</v>
      </c>
      <c r="GG154" s="509"/>
      <c r="HN154" s="635" t="s">
        <v>745</v>
      </c>
      <c r="HO154" s="500" t="s">
        <v>754</v>
      </c>
      <c r="HP154" s="642">
        <v>5.0000000000000001E-3</v>
      </c>
      <c r="HQ154" s="572" t="str">
        <f t="shared" ref="HQ154:IB154" si="200">$BN$84</f>
        <v/>
      </c>
      <c r="HR154" s="572" t="str">
        <f t="shared" si="200"/>
        <v/>
      </c>
      <c r="HS154" s="572" t="str">
        <f t="shared" si="200"/>
        <v/>
      </c>
      <c r="HT154" s="572" t="str">
        <f t="shared" si="200"/>
        <v/>
      </c>
      <c r="HU154" s="572" t="str">
        <f t="shared" si="200"/>
        <v/>
      </c>
      <c r="HV154" s="572" t="str">
        <f t="shared" si="200"/>
        <v/>
      </c>
      <c r="HW154" s="572" t="str">
        <f t="shared" si="200"/>
        <v/>
      </c>
      <c r="HX154" s="572" t="str">
        <f t="shared" si="200"/>
        <v/>
      </c>
      <c r="HY154" s="572" t="str">
        <f t="shared" si="200"/>
        <v/>
      </c>
      <c r="HZ154" s="572" t="str">
        <f t="shared" si="200"/>
        <v/>
      </c>
      <c r="IA154" s="572" t="str">
        <f t="shared" si="200"/>
        <v/>
      </c>
      <c r="IB154" s="572" t="str">
        <f t="shared" si="200"/>
        <v/>
      </c>
      <c r="JE154" s="543"/>
    </row>
    <row r="155" spans="184:265">
      <c r="GB155" s="543"/>
      <c r="GE155" s="578" t="s">
        <v>661</v>
      </c>
      <c r="GF155" s="686" t="e">
        <f>CONCATENATE(INDEX(BC_RoofConst,MATCH(CONCATENATE(MID(AY52,5,11),", ",MID($AX$42,14,FIND("-",$AX$42,1)-15)," - ",BI52),BC_RoofAlter,0),1)," R",INDEX(BC_RoofValues,MATCH(CONCATENATE(MID(AY52,5,11),", ",MID($AX$42,14,FIND("-",$AX$42,1)-15)," - ",BI52),BC_RoofAlter,0),6))</f>
        <v>#VALUE!</v>
      </c>
      <c r="JE155" s="543"/>
    </row>
    <row r="156" spans="184:265">
      <c r="GB156" s="543"/>
      <c r="GE156" s="578" t="s">
        <v>714</v>
      </c>
      <c r="GF156" s="686" t="e">
        <f>CONCATENATE(INDEX(BC_RoofConst,MATCH(CONCATENATE(MID(AY52,5,11),", ",MID(BB52,5,100)," - ",BI52),BC_RoofAlter,0),1)," R",INDEX(BC_RoofValues,MATCH(CONCATENATE(MID(AY52,5,11),", ",MID(BB52,5,100)," - ",BI52),BC_RoofAlter,0),6))</f>
        <v>#N/A</v>
      </c>
      <c r="HQ156" s="536" t="s">
        <v>767</v>
      </c>
      <c r="JE156" s="543"/>
    </row>
    <row r="157" spans="184:265">
      <c r="GB157" s="543"/>
      <c r="HQ157" s="536" t="s">
        <v>766</v>
      </c>
      <c r="JE157" s="543"/>
    </row>
    <row r="158" spans="184:265">
      <c r="GB158" s="543"/>
      <c r="GF158" s="503" t="s">
        <v>457</v>
      </c>
      <c r="GG158" s="683" t="str">
        <f>IF(AND(AY52=$ET$13,BB52=$ET$13),0,IF(AND(AY52=$ET$13,MID(BB52,1,3)=$ET$31),INDEX(BC_RoofValues,MATCH($AX$42,BC_RoofConst,0),9),IF(AND(MID(AY52,1,3)=$ET$31,BB52=$ET$13),INDEX(BC_RoofValues,MATCH($AX$42,BC_RoofConst,0),8),"New/New")))</f>
        <v>New/New</v>
      </c>
      <c r="HP158" s="649" t="s">
        <v>765</v>
      </c>
      <c r="HQ158" s="641">
        <v>6</v>
      </c>
      <c r="HR158" s="641">
        <f t="shared" ref="HR158:IB158" si="201">IF(AND($BN$86&gt;=HR65,$BN$86&lt;HQ65),$BN$86,HR65)</f>
        <v>5.5</v>
      </c>
      <c r="HS158" s="641">
        <f t="shared" si="201"/>
        <v>5</v>
      </c>
      <c r="HT158" s="641">
        <f t="shared" si="201"/>
        <v>4.5</v>
      </c>
      <c r="HU158" s="641">
        <f t="shared" si="201"/>
        <v>4</v>
      </c>
      <c r="HV158" s="641">
        <f t="shared" si="201"/>
        <v>3.5</v>
      </c>
      <c r="HW158" s="641">
        <f t="shared" si="201"/>
        <v>3</v>
      </c>
      <c r="HX158" s="641">
        <f t="shared" si="201"/>
        <v>2.5</v>
      </c>
      <c r="HY158" s="641">
        <f t="shared" si="201"/>
        <v>2</v>
      </c>
      <c r="HZ158" s="641">
        <f t="shared" si="201"/>
        <v>1.5</v>
      </c>
      <c r="IA158" s="641">
        <f t="shared" si="201"/>
        <v>1</v>
      </c>
      <c r="IB158" s="641">
        <f t="shared" si="201"/>
        <v>1E-4</v>
      </c>
      <c r="JE158" s="543"/>
    </row>
    <row r="159" spans="184:265">
      <c r="GB159" s="543"/>
      <c r="GF159" s="500"/>
      <c r="GG159" s="683"/>
      <c r="HN159" s="635" t="s">
        <v>755</v>
      </c>
      <c r="HO159" s="500" t="s">
        <v>756</v>
      </c>
      <c r="HP159" s="642">
        <v>0.05</v>
      </c>
      <c r="HQ159" s="500" t="s">
        <v>757</v>
      </c>
      <c r="HR159" s="500" t="s">
        <v>757</v>
      </c>
      <c r="HS159" s="500" t="s">
        <v>757</v>
      </c>
      <c r="HT159" s="500" t="s">
        <v>757</v>
      </c>
      <c r="HU159" s="500" t="s">
        <v>757</v>
      </c>
      <c r="HV159" s="500" t="s">
        <v>757</v>
      </c>
      <c r="HW159" s="500" t="s">
        <v>757</v>
      </c>
      <c r="HX159" s="500" t="s">
        <v>757</v>
      </c>
      <c r="HY159" s="500" t="s">
        <v>757</v>
      </c>
      <c r="HZ159" s="500" t="s">
        <v>757</v>
      </c>
      <c r="IA159" s="500" t="s">
        <v>757</v>
      </c>
      <c r="IB159" s="500" t="s">
        <v>757</v>
      </c>
      <c r="JE159" s="543"/>
    </row>
    <row r="160" spans="184:265">
      <c r="GB160" s="543"/>
      <c r="GF160" s="503" t="s">
        <v>458</v>
      </c>
      <c r="GG160" s="683" t="e">
        <f>GG153-GG158</f>
        <v>#N/A</v>
      </c>
      <c r="HN160" s="635" t="s">
        <v>747</v>
      </c>
      <c r="HO160" s="500" t="s">
        <v>754</v>
      </c>
      <c r="HP160" s="642">
        <v>0.05</v>
      </c>
      <c r="HQ160" s="500" t="s">
        <v>757</v>
      </c>
      <c r="HR160" s="500" t="s">
        <v>757</v>
      </c>
      <c r="HS160" s="500" t="s">
        <v>757</v>
      </c>
      <c r="HT160" s="500" t="s">
        <v>757</v>
      </c>
      <c r="HU160" s="500" t="s">
        <v>757</v>
      </c>
      <c r="HV160" s="500" t="s">
        <v>757</v>
      </c>
      <c r="HW160" s="500" t="s">
        <v>757</v>
      </c>
      <c r="HX160" s="911">
        <f>IF(HX158&gt;$HX$65,$HX$74,$HX$73)</f>
        <v>5</v>
      </c>
      <c r="HY160" s="652">
        <f>HY73+((HX73-HY73)*((HY$158-HY$65)/0.5))</f>
        <v>3.4</v>
      </c>
      <c r="HZ160" s="652">
        <f>HZ73+((HY73-HZ73)*((HZ$158-HZ$65)/0.5))</f>
        <v>2.2000000000000002</v>
      </c>
      <c r="IA160" s="652">
        <f>IA73+((HZ73-IA73)*((IA$158-IA$65)/0.5))</f>
        <v>1.3</v>
      </c>
      <c r="IB160" s="566">
        <f>IB73+((IA73-IB73)*((IB$158-IB$65)/1))</f>
        <v>0.3</v>
      </c>
      <c r="JE160" s="543"/>
    </row>
    <row r="161" spans="184:265">
      <c r="GB161" s="543"/>
      <c r="GF161" s="500"/>
      <c r="GG161" s="500"/>
      <c r="HN161" s="635" t="s">
        <v>752</v>
      </c>
      <c r="HO161" s="500" t="s">
        <v>754</v>
      </c>
      <c r="HP161" s="642">
        <v>0.04</v>
      </c>
      <c r="HQ161" s="500" t="s">
        <v>757</v>
      </c>
      <c r="HR161" s="563" t="s">
        <v>757</v>
      </c>
      <c r="HS161" s="563" t="s">
        <v>757</v>
      </c>
      <c r="HT161" s="563" t="s">
        <v>757</v>
      </c>
      <c r="HU161" s="563" t="s">
        <v>757</v>
      </c>
      <c r="HV161" s="563" t="s">
        <v>757</v>
      </c>
      <c r="HW161" s="911">
        <f>IF(HW158&gt;$HW$65,$HW$74,$HW$72)</f>
        <v>5.7</v>
      </c>
      <c r="HX161" s="652">
        <f>HX72+((HW72-HX72)*((HX$158-HX$65)/0.5))</f>
        <v>4.2</v>
      </c>
      <c r="HY161" s="652">
        <f>HY72+((HX72-HY72)*((HY$158-HY$65)/0.5))</f>
        <v>3</v>
      </c>
      <c r="HZ161" s="652">
        <f>HZ72+((HY72-HZ72)*((HZ$158-HZ$65)/0.5))</f>
        <v>2</v>
      </c>
      <c r="IA161" s="652">
        <f>IA72+((HZ72-IA72)*((IA$158-IA$65)/0.5))</f>
        <v>1.2</v>
      </c>
      <c r="IB161" s="566">
        <f>IB72+((IA72-IB72)*((IB$158-IB$65)/1))</f>
        <v>0.2</v>
      </c>
      <c r="JE161" s="543"/>
    </row>
    <row r="162" spans="184:265" ht="11.25" customHeight="1">
      <c r="GB162" s="543"/>
      <c r="GF162" s="503" t="s">
        <v>461</v>
      </c>
      <c r="GG162" s="689" t="e">
        <f>GG158/GG153</f>
        <v>#VALUE!</v>
      </c>
      <c r="HN162" s="635" t="s">
        <v>751</v>
      </c>
      <c r="HO162" s="500" t="s">
        <v>754</v>
      </c>
      <c r="HP162" s="642">
        <v>0.03</v>
      </c>
      <c r="HQ162" s="500" t="s">
        <v>757</v>
      </c>
      <c r="HR162" s="563" t="s">
        <v>757</v>
      </c>
      <c r="HS162" s="563" t="s">
        <v>757</v>
      </c>
      <c r="HT162" s="563" t="s">
        <v>757</v>
      </c>
      <c r="HU162" s="563" t="s">
        <v>757</v>
      </c>
      <c r="HV162" s="911">
        <f>IF(HV158&gt;$HV$65,$HV$74,$HV$71)</f>
        <v>5.9</v>
      </c>
      <c r="HW162" s="652">
        <f t="shared" ref="HW162:IA162" si="202">HW71+((HV71-HW71)*((HW$158-HW$65)/0.5))</f>
        <v>4.5999999999999996</v>
      </c>
      <c r="HX162" s="652">
        <f t="shared" si="202"/>
        <v>3.6</v>
      </c>
      <c r="HY162" s="652">
        <f t="shared" si="202"/>
        <v>2.6</v>
      </c>
      <c r="HZ162" s="652">
        <f t="shared" si="202"/>
        <v>1.9</v>
      </c>
      <c r="IA162" s="652">
        <f t="shared" si="202"/>
        <v>1.2</v>
      </c>
      <c r="IB162" s="566">
        <f>IB71+((IA71-IB71)*((IB$158-IB$65)/1))</f>
        <v>0.2</v>
      </c>
      <c r="JE162" s="543"/>
    </row>
    <row r="163" spans="184:265">
      <c r="GB163" s="543"/>
      <c r="HN163" s="635" t="s">
        <v>750</v>
      </c>
      <c r="HO163" s="500" t="s">
        <v>754</v>
      </c>
      <c r="HP163" s="642">
        <v>2.5000000000000001E-2</v>
      </c>
      <c r="HQ163" s="500" t="s">
        <v>757</v>
      </c>
      <c r="HR163" s="563" t="s">
        <v>757</v>
      </c>
      <c r="HS163" s="563" t="s">
        <v>757</v>
      </c>
      <c r="HT163" s="563" t="s">
        <v>757</v>
      </c>
      <c r="HU163" s="911">
        <f>IF(HU158&gt;$HU$65,$HU$74,$HU$70)</f>
        <v>6.5</v>
      </c>
      <c r="HV163" s="652">
        <f t="shared" ref="HV163:IA163" si="203">HV70+((HU70-HV70)*((HV$158-HV$65)/0.5))</f>
        <v>5.3</v>
      </c>
      <c r="HW163" s="652">
        <f t="shared" si="203"/>
        <v>4.2</v>
      </c>
      <c r="HX163" s="652">
        <f t="shared" si="203"/>
        <v>3.3</v>
      </c>
      <c r="HY163" s="652">
        <f t="shared" si="203"/>
        <v>2.5</v>
      </c>
      <c r="HZ163" s="652">
        <f t="shared" si="203"/>
        <v>1.8</v>
      </c>
      <c r="IA163" s="652">
        <f t="shared" si="203"/>
        <v>1.1000000000000001</v>
      </c>
      <c r="IB163" s="566">
        <f>IB70+((IA70-IB70)*((IB$158-IB$65)/1))</f>
        <v>0.1</v>
      </c>
      <c r="JE163" s="543"/>
    </row>
    <row r="164" spans="184:265">
      <c r="GB164" s="543"/>
      <c r="GF164" s="503" t="s">
        <v>462</v>
      </c>
      <c r="GG164" s="683" t="e">
        <f>IF(BK52=$ET$13,$ET$13,INDEX(BC_RoofR,MATCH(BK52,BC_RoofAbs,0),1))</f>
        <v>#N/A</v>
      </c>
      <c r="HN164" s="635" t="s">
        <v>749</v>
      </c>
      <c r="HO164" s="500" t="s">
        <v>754</v>
      </c>
      <c r="HP164" s="642">
        <v>0.02</v>
      </c>
      <c r="HQ164" s="500" t="s">
        <v>757</v>
      </c>
      <c r="HR164" s="563" t="s">
        <v>757</v>
      </c>
      <c r="HS164" s="563" t="s">
        <v>757</v>
      </c>
      <c r="HT164" s="911">
        <f>IF(HT158&gt;$HT$65,$HT$74,$HT$69)</f>
        <v>6.8</v>
      </c>
      <c r="HU164" s="652">
        <f t="shared" ref="HU164:IA164" si="204">HU69+((HT69-HU69)*((HU$158-HU$65)/0.5))</f>
        <v>5.8</v>
      </c>
      <c r="HV164" s="652">
        <f t="shared" si="204"/>
        <v>4.8</v>
      </c>
      <c r="HW164" s="652">
        <f t="shared" si="204"/>
        <v>3.9</v>
      </c>
      <c r="HX164" s="652">
        <f t="shared" si="204"/>
        <v>3.1</v>
      </c>
      <c r="HY164" s="652">
        <f t="shared" si="204"/>
        <v>2.4</v>
      </c>
      <c r="HZ164" s="652">
        <f t="shared" si="204"/>
        <v>1.7</v>
      </c>
      <c r="IA164" s="652">
        <f t="shared" si="204"/>
        <v>1.1000000000000001</v>
      </c>
      <c r="IB164" s="566">
        <f>IB69+((IA69-IB69)*((IB$158-IB$65)/1))</f>
        <v>0.1</v>
      </c>
      <c r="JE164" s="543"/>
    </row>
    <row r="165" spans="184:265">
      <c r="GB165" s="543"/>
      <c r="GF165" s="503"/>
      <c r="GG165" s="627"/>
      <c r="HN165" s="635" t="s">
        <v>748</v>
      </c>
      <c r="HO165" s="500" t="s">
        <v>754</v>
      </c>
      <c r="HP165" s="642">
        <v>1.4999999999999999E-2</v>
      </c>
      <c r="HQ165" s="500" t="s">
        <v>757</v>
      </c>
      <c r="HR165" s="563" t="s">
        <v>757</v>
      </c>
      <c r="HS165" s="911">
        <f>IF(HS158&gt;$HS$65,$HS$74,$HS$68)</f>
        <v>7</v>
      </c>
      <c r="HT165" s="652">
        <f t="shared" ref="HT165:IA165" si="205">HT68+((HS68-HT68)*((HT$158-HT$65)/0.5))</f>
        <v>6.1</v>
      </c>
      <c r="HU165" s="652">
        <f t="shared" si="205"/>
        <v>5.2</v>
      </c>
      <c r="HV165" s="652">
        <f t="shared" si="205"/>
        <v>4.4000000000000004</v>
      </c>
      <c r="HW165" s="652">
        <f t="shared" si="205"/>
        <v>3.6</v>
      </c>
      <c r="HX165" s="652">
        <f t="shared" si="205"/>
        <v>2.9</v>
      </c>
      <c r="HY165" s="652">
        <f t="shared" si="205"/>
        <v>2.2999999999999998</v>
      </c>
      <c r="HZ165" s="652">
        <f t="shared" si="205"/>
        <v>1.7</v>
      </c>
      <c r="IA165" s="652">
        <f t="shared" si="205"/>
        <v>1.1000000000000001</v>
      </c>
      <c r="IB165" s="566">
        <f>IB68+((IA68-IB68)*((IB$158-IB$65)/1))</f>
        <v>0.1</v>
      </c>
      <c r="JE165" s="543"/>
    </row>
    <row r="166" spans="184:265">
      <c r="GB166" s="543"/>
      <c r="GF166" s="503" t="s">
        <v>463</v>
      </c>
      <c r="GG166" s="690" t="e">
        <f>IF(GG164=$ET$13,$ET$13,GG164*GG162)</f>
        <v>#N/A</v>
      </c>
      <c r="HN166" s="635" t="s">
        <v>746</v>
      </c>
      <c r="HO166" s="500" t="s">
        <v>754</v>
      </c>
      <c r="HP166" s="642">
        <v>0.01</v>
      </c>
      <c r="HQ166" s="500" t="s">
        <v>757</v>
      </c>
      <c r="HR166" s="911">
        <f>IF(HR158&gt;$HR$65,$HR$74,$HR$67)</f>
        <v>6.9</v>
      </c>
      <c r="HS166" s="652">
        <f t="shared" ref="HS166:IA166" si="206">HS67+((HR67-HS67)*((HS$158-HS$65)/0.5))</f>
        <v>6.2</v>
      </c>
      <c r="HT166" s="652">
        <f t="shared" si="206"/>
        <v>5.4</v>
      </c>
      <c r="HU166" s="652">
        <f t="shared" si="206"/>
        <v>4.7</v>
      </c>
      <c r="HV166" s="652">
        <f t="shared" si="206"/>
        <v>4</v>
      </c>
      <c r="HW166" s="652">
        <f t="shared" si="206"/>
        <v>3.4</v>
      </c>
      <c r="HX166" s="652">
        <f t="shared" si="206"/>
        <v>2.8</v>
      </c>
      <c r="HY166" s="652">
        <f t="shared" si="206"/>
        <v>2.2000000000000002</v>
      </c>
      <c r="HZ166" s="652">
        <f t="shared" si="206"/>
        <v>1.6</v>
      </c>
      <c r="IA166" s="652">
        <f t="shared" si="206"/>
        <v>1</v>
      </c>
      <c r="IB166" s="566">
        <f>IB67+((IA67-IB67)*((IB$158-IB$65)/1))</f>
        <v>0</v>
      </c>
      <c r="JE166" s="543"/>
    </row>
    <row r="167" spans="184:265">
      <c r="GB167" s="543"/>
      <c r="GF167" s="503"/>
      <c r="GG167" s="627"/>
      <c r="HN167" s="635" t="s">
        <v>745</v>
      </c>
      <c r="HO167" s="500" t="s">
        <v>754</v>
      </c>
      <c r="HP167" s="642">
        <v>5.0000000000000001E-3</v>
      </c>
      <c r="HQ167" s="572" t="str">
        <f t="shared" ref="HQ167:IB167" si="207">$BN$86</f>
        <v/>
      </c>
      <c r="HR167" s="572" t="str">
        <f t="shared" si="207"/>
        <v/>
      </c>
      <c r="HS167" s="572" t="str">
        <f t="shared" si="207"/>
        <v/>
      </c>
      <c r="HT167" s="572" t="str">
        <f t="shared" si="207"/>
        <v/>
      </c>
      <c r="HU167" s="572" t="str">
        <f t="shared" si="207"/>
        <v/>
      </c>
      <c r="HV167" s="572" t="str">
        <f t="shared" si="207"/>
        <v/>
      </c>
      <c r="HW167" s="572" t="str">
        <f t="shared" si="207"/>
        <v/>
      </c>
      <c r="HX167" s="572" t="str">
        <f t="shared" si="207"/>
        <v/>
      </c>
      <c r="HY167" s="572" t="str">
        <f t="shared" si="207"/>
        <v/>
      </c>
      <c r="HZ167" s="572" t="str">
        <f t="shared" si="207"/>
        <v/>
      </c>
      <c r="IA167" s="572" t="str">
        <f t="shared" si="207"/>
        <v/>
      </c>
      <c r="IB167" s="572" t="str">
        <f t="shared" si="207"/>
        <v/>
      </c>
      <c r="JE167" s="543"/>
    </row>
    <row r="168" spans="184:265">
      <c r="GB168" s="543"/>
      <c r="GF168" s="503" t="s">
        <v>464</v>
      </c>
      <c r="GG168" s="690" t="e">
        <f>IF(GG164=$ET$13,$ET$13,IF((GG160+GG166)&gt;GG164,GG164,GG160+GG166))</f>
        <v>#N/A</v>
      </c>
      <c r="JE168" s="543"/>
    </row>
    <row r="169" spans="184:265" ht="11.25" customHeight="1">
      <c r="GB169" s="543"/>
      <c r="GF169" s="691" t="s">
        <v>716</v>
      </c>
      <c r="GG169" s="692" t="e">
        <f>IF(GG168&lt;$BM$42,$BM$42,GG168)</f>
        <v>#N/A</v>
      </c>
      <c r="HQ169" s="536" t="s">
        <v>764</v>
      </c>
      <c r="JE169" s="543"/>
    </row>
    <row r="170" spans="184:265">
      <c r="GB170" s="543"/>
      <c r="HQ170" s="536" t="s">
        <v>763</v>
      </c>
      <c r="JE170" s="543"/>
    </row>
    <row r="171" spans="184:265" ht="11.25" customHeight="1">
      <c r="GB171" s="543"/>
      <c r="HP171" s="649" t="s">
        <v>762</v>
      </c>
      <c r="HQ171" s="641">
        <v>6</v>
      </c>
      <c r="HR171" s="641">
        <f t="shared" ref="HR171:IB171" si="208">IF(AND($BN$87&gt;=HR65,$BN$87&lt;HQ65),$BN$87,HR65)</f>
        <v>5.5</v>
      </c>
      <c r="HS171" s="641">
        <f t="shared" si="208"/>
        <v>5</v>
      </c>
      <c r="HT171" s="641">
        <f t="shared" si="208"/>
        <v>4.5</v>
      </c>
      <c r="HU171" s="641">
        <f t="shared" si="208"/>
        <v>4</v>
      </c>
      <c r="HV171" s="641">
        <f t="shared" si="208"/>
        <v>3.5</v>
      </c>
      <c r="HW171" s="641">
        <f t="shared" si="208"/>
        <v>3</v>
      </c>
      <c r="HX171" s="641">
        <f t="shared" si="208"/>
        <v>2.5</v>
      </c>
      <c r="HY171" s="641">
        <f t="shared" si="208"/>
        <v>2</v>
      </c>
      <c r="HZ171" s="641">
        <f t="shared" si="208"/>
        <v>1.5</v>
      </c>
      <c r="IA171" s="641">
        <f t="shared" si="208"/>
        <v>1</v>
      </c>
      <c r="IB171" s="641">
        <f t="shared" si="208"/>
        <v>1E-4</v>
      </c>
      <c r="JE171" s="543"/>
    </row>
    <row r="172" spans="184:265">
      <c r="GB172" s="543"/>
      <c r="GF172" s="509" t="s">
        <v>719</v>
      </c>
      <c r="HN172" s="635" t="s">
        <v>755</v>
      </c>
      <c r="HO172" s="500" t="s">
        <v>756</v>
      </c>
      <c r="HP172" s="642">
        <v>0.05</v>
      </c>
      <c r="HQ172" s="500" t="s">
        <v>757</v>
      </c>
      <c r="HR172" s="500" t="s">
        <v>757</v>
      </c>
      <c r="HS172" s="500" t="s">
        <v>757</v>
      </c>
      <c r="HT172" s="500" t="s">
        <v>757</v>
      </c>
      <c r="HU172" s="500" t="s">
        <v>757</v>
      </c>
      <c r="HV172" s="500" t="s">
        <v>757</v>
      </c>
      <c r="HW172" s="500" t="s">
        <v>757</v>
      </c>
      <c r="HX172" s="500" t="s">
        <v>757</v>
      </c>
      <c r="HY172" s="500" t="s">
        <v>757</v>
      </c>
      <c r="HZ172" s="500" t="s">
        <v>757</v>
      </c>
      <c r="IA172" s="500" t="s">
        <v>757</v>
      </c>
      <c r="IB172" s="500" t="s">
        <v>757</v>
      </c>
      <c r="JE172" s="543"/>
    </row>
    <row r="173" spans="184:265">
      <c r="GB173" s="543"/>
      <c r="GF173" s="500" t="e">
        <f>IF(AND(MID(AY31,1,3)=$ET$31,MID(BB31,1,3)=$ET$31),INDEX(BC_RoofR,MATCH(BK31,BC_RoofAbs,0),1),GG112)</f>
        <v>#N/A</v>
      </c>
      <c r="HN173" s="635" t="s">
        <v>747</v>
      </c>
      <c r="HO173" s="500" t="s">
        <v>754</v>
      </c>
      <c r="HP173" s="642">
        <v>0.05</v>
      </c>
      <c r="HQ173" s="500" t="s">
        <v>757</v>
      </c>
      <c r="HR173" s="500" t="s">
        <v>757</v>
      </c>
      <c r="HS173" s="500" t="s">
        <v>757</v>
      </c>
      <c r="HT173" s="500" t="s">
        <v>757</v>
      </c>
      <c r="HU173" s="500" t="s">
        <v>757</v>
      </c>
      <c r="HV173" s="500" t="s">
        <v>757</v>
      </c>
      <c r="HW173" s="500" t="s">
        <v>757</v>
      </c>
      <c r="HX173" s="911">
        <f>IF(HX171&gt;$HX$65,$HX$74,$HX$73)</f>
        <v>5</v>
      </c>
      <c r="HY173" s="652">
        <f>HY73+((HX73-HY73)*((HY$171-HY$65)/0.5))</f>
        <v>3.4</v>
      </c>
      <c r="HZ173" s="652">
        <f>HZ73+((HY73-HZ73)*((HZ$171-HZ$65)/0.5))</f>
        <v>2.2000000000000002</v>
      </c>
      <c r="IA173" s="652">
        <f>IA73+((HZ73-IA73)*((IA$171-IA$65)/0.5))</f>
        <v>1.3</v>
      </c>
      <c r="IB173" s="566">
        <f>IB73+((IA73-IB73)*((IB$171-IB$65)/1))</f>
        <v>0.3</v>
      </c>
      <c r="JE173" s="543"/>
    </row>
    <row r="174" spans="184:265">
      <c r="GB174" s="543"/>
      <c r="GF174" s="500" t="e">
        <f>IF(AND(MID(AY36,1,3)=$ET$31,MID(BB36,1,3)=$ET$31),INDEX(BC_RoofR,MATCH(BK36,BC_RoofAbs,0),1),GG131)</f>
        <v>#N/A</v>
      </c>
      <c r="HN174" s="635" t="s">
        <v>752</v>
      </c>
      <c r="HO174" s="500" t="s">
        <v>754</v>
      </c>
      <c r="HP174" s="642">
        <v>0.04</v>
      </c>
      <c r="HQ174" s="500" t="s">
        <v>757</v>
      </c>
      <c r="HR174" s="563" t="s">
        <v>757</v>
      </c>
      <c r="HS174" s="563" t="s">
        <v>757</v>
      </c>
      <c r="HT174" s="563" t="s">
        <v>757</v>
      </c>
      <c r="HU174" s="563" t="s">
        <v>757</v>
      </c>
      <c r="HV174" s="563" t="s">
        <v>757</v>
      </c>
      <c r="HW174" s="911">
        <f>IF(HW171&gt;$HW$65,$HW$74,$HW$72)</f>
        <v>5.7</v>
      </c>
      <c r="HX174" s="652">
        <f>HX72+((HW72-HX72)*((HX$171-HX$65)/0.5))</f>
        <v>4.2</v>
      </c>
      <c r="HY174" s="652">
        <f>HY72+((HX72-HY72)*((HY$171-HY$65)/0.5))</f>
        <v>3</v>
      </c>
      <c r="HZ174" s="652">
        <f>HZ72+((HY72-HZ72)*((HZ$171-HZ$65)/0.5))</f>
        <v>2</v>
      </c>
      <c r="IA174" s="652">
        <f>IA72+((HZ72-IA72)*((IA$171-IA$65)/0.5))</f>
        <v>1.2</v>
      </c>
      <c r="IB174" s="566">
        <f>IB72+((IA72-IB72)*((IB$171-IB$65)/1))</f>
        <v>0.2</v>
      </c>
      <c r="JE174" s="543"/>
    </row>
    <row r="175" spans="184:265" ht="11.25" customHeight="1">
      <c r="GB175" s="543"/>
      <c r="GF175" s="500" t="e">
        <f>IF(AND(MID(AY47,1,3)=$ET$31,MID(BB47,1,3)=$ET$31),INDEX(BC_RoofR,MATCH(BK47,BC_RoofAbs,0),1),GG150)</f>
        <v>#N/A</v>
      </c>
      <c r="HN175" s="635" t="s">
        <v>751</v>
      </c>
      <c r="HO175" s="500" t="s">
        <v>754</v>
      </c>
      <c r="HP175" s="642">
        <v>0.03</v>
      </c>
      <c r="HQ175" s="500" t="s">
        <v>757</v>
      </c>
      <c r="HR175" s="563" t="s">
        <v>757</v>
      </c>
      <c r="HS175" s="563" t="s">
        <v>757</v>
      </c>
      <c r="HT175" s="563" t="s">
        <v>757</v>
      </c>
      <c r="HU175" s="563" t="s">
        <v>757</v>
      </c>
      <c r="HV175" s="911">
        <f>IF(HV171&gt;$HV$65,$HV$74,$HV$71)</f>
        <v>5.9</v>
      </c>
      <c r="HW175" s="652">
        <f t="shared" ref="HW175:IA175" si="209">HW71+((HV71-HW71)*((HW$171-HW$65)/0.5))</f>
        <v>4.5999999999999996</v>
      </c>
      <c r="HX175" s="652">
        <f t="shared" si="209"/>
        <v>3.6</v>
      </c>
      <c r="HY175" s="652">
        <f t="shared" si="209"/>
        <v>2.6</v>
      </c>
      <c r="HZ175" s="652">
        <f t="shared" si="209"/>
        <v>1.9</v>
      </c>
      <c r="IA175" s="652">
        <f t="shared" si="209"/>
        <v>1.2</v>
      </c>
      <c r="IB175" s="566">
        <f>IB71+((IA71-IB71)*((IB$171-IB$65)/1))</f>
        <v>0.2</v>
      </c>
      <c r="JE175" s="543"/>
    </row>
    <row r="176" spans="184:265">
      <c r="GB176" s="543"/>
      <c r="GF176" s="500" t="e">
        <f>IF(AND(MID(AY52,1,3)=$ET$31,MID(BB52,1,3)=$ET$31),INDEX(BC_RoofR,MATCH(BK52,BC_RoofAbs,0),1),GG169)</f>
        <v>#N/A</v>
      </c>
      <c r="HN176" s="635" t="s">
        <v>750</v>
      </c>
      <c r="HO176" s="500" t="s">
        <v>754</v>
      </c>
      <c r="HP176" s="642">
        <v>2.5000000000000001E-2</v>
      </c>
      <c r="HQ176" s="500" t="s">
        <v>757</v>
      </c>
      <c r="HR176" s="563" t="s">
        <v>757</v>
      </c>
      <c r="HS176" s="563" t="s">
        <v>757</v>
      </c>
      <c r="HT176" s="563" t="s">
        <v>757</v>
      </c>
      <c r="HU176" s="911">
        <f>IF(HU171&gt;$HU$65,$HU$74,$HU$70)</f>
        <v>6.5</v>
      </c>
      <c r="HV176" s="652">
        <f t="shared" ref="HV176:IA176" si="210">HV70+((HU70-HV70)*((HV$171-HV$65)/0.5))</f>
        <v>5.3</v>
      </c>
      <c r="HW176" s="652">
        <f t="shared" si="210"/>
        <v>4.2</v>
      </c>
      <c r="HX176" s="652">
        <f t="shared" si="210"/>
        <v>3.3</v>
      </c>
      <c r="HY176" s="652">
        <f t="shared" si="210"/>
        <v>2.5</v>
      </c>
      <c r="HZ176" s="652">
        <f t="shared" si="210"/>
        <v>1.8</v>
      </c>
      <c r="IA176" s="652">
        <f t="shared" si="210"/>
        <v>1.1000000000000001</v>
      </c>
      <c r="IB176" s="566">
        <f>IB70+((IA70-IB70)*((IB$171-IB$65)/1))</f>
        <v>0.1</v>
      </c>
      <c r="JE176" s="543"/>
    </row>
    <row r="177" spans="184:265">
      <c r="GB177" s="543"/>
      <c r="HN177" s="635" t="s">
        <v>749</v>
      </c>
      <c r="HO177" s="500" t="s">
        <v>754</v>
      </c>
      <c r="HP177" s="642">
        <v>0.02</v>
      </c>
      <c r="HQ177" s="500" t="s">
        <v>757</v>
      </c>
      <c r="HR177" s="563" t="s">
        <v>757</v>
      </c>
      <c r="HS177" s="563" t="s">
        <v>757</v>
      </c>
      <c r="HT177" s="911">
        <f>IF(HT171&gt;$HT$65,$HT$74,$HT$69)</f>
        <v>6.8</v>
      </c>
      <c r="HU177" s="652">
        <f t="shared" ref="HU177:IA177" si="211">HU69+((HT69-HU69)*((HU$171-HU$65)/0.5))</f>
        <v>5.8</v>
      </c>
      <c r="HV177" s="652">
        <f t="shared" si="211"/>
        <v>4.8</v>
      </c>
      <c r="HW177" s="652">
        <f t="shared" si="211"/>
        <v>3.9</v>
      </c>
      <c r="HX177" s="652">
        <f t="shared" si="211"/>
        <v>3.1</v>
      </c>
      <c r="HY177" s="652">
        <f t="shared" si="211"/>
        <v>2.4</v>
      </c>
      <c r="HZ177" s="652">
        <f t="shared" si="211"/>
        <v>1.7</v>
      </c>
      <c r="IA177" s="652">
        <f t="shared" si="211"/>
        <v>1.1000000000000001</v>
      </c>
      <c r="IB177" s="566">
        <f>IB69+((IA69-IB69)*((IB$171-IB$65)/1))</f>
        <v>0.1</v>
      </c>
      <c r="JE177" s="543"/>
    </row>
    <row r="178" spans="184:265" ht="11.25" customHeight="1">
      <c r="GB178" s="543"/>
      <c r="HN178" s="635" t="s">
        <v>748</v>
      </c>
      <c r="HO178" s="500" t="s">
        <v>754</v>
      </c>
      <c r="HP178" s="642">
        <v>1.4999999999999999E-2</v>
      </c>
      <c r="HQ178" s="500" t="s">
        <v>757</v>
      </c>
      <c r="HR178" s="563" t="s">
        <v>757</v>
      </c>
      <c r="HS178" s="911">
        <f>IF(HS171&gt;$HS$65,$HS$74,$HS$68)</f>
        <v>7</v>
      </c>
      <c r="HT178" s="652">
        <f t="shared" ref="HT178:IA178" si="212">HT68+((HS68-HT68)*((HT$171-HT$65)/0.5))</f>
        <v>6.1</v>
      </c>
      <c r="HU178" s="652">
        <f t="shared" si="212"/>
        <v>5.2</v>
      </c>
      <c r="HV178" s="652">
        <f t="shared" si="212"/>
        <v>4.4000000000000004</v>
      </c>
      <c r="HW178" s="652">
        <f t="shared" si="212"/>
        <v>3.6</v>
      </c>
      <c r="HX178" s="652">
        <f t="shared" si="212"/>
        <v>2.9</v>
      </c>
      <c r="HY178" s="652">
        <f t="shared" si="212"/>
        <v>2.2999999999999998</v>
      </c>
      <c r="HZ178" s="652">
        <f t="shared" si="212"/>
        <v>1.7</v>
      </c>
      <c r="IA178" s="652">
        <f t="shared" si="212"/>
        <v>1.1000000000000001</v>
      </c>
      <c r="IB178" s="566">
        <f>IB68+((IA68-IB68)*((IB$171-IB$65)/1))</f>
        <v>0.1</v>
      </c>
      <c r="JE178" s="543"/>
    </row>
    <row r="179" spans="184:265">
      <c r="GB179" s="543"/>
      <c r="HN179" s="635" t="s">
        <v>746</v>
      </c>
      <c r="HO179" s="500" t="s">
        <v>754</v>
      </c>
      <c r="HP179" s="642">
        <v>0.01</v>
      </c>
      <c r="HQ179" s="500" t="s">
        <v>757</v>
      </c>
      <c r="HR179" s="911">
        <f>IF(HR171&gt;$HR$65,$HR$74,$HR$67)</f>
        <v>6.9</v>
      </c>
      <c r="HS179" s="652">
        <f t="shared" ref="HS179:IA179" si="213">HS67+((HR67-HS67)*((HS$171-HS$65)/0.5))</f>
        <v>6.2</v>
      </c>
      <c r="HT179" s="652">
        <f t="shared" si="213"/>
        <v>5.4</v>
      </c>
      <c r="HU179" s="652">
        <f t="shared" si="213"/>
        <v>4.7</v>
      </c>
      <c r="HV179" s="652">
        <f t="shared" si="213"/>
        <v>4</v>
      </c>
      <c r="HW179" s="652">
        <f t="shared" si="213"/>
        <v>3.4</v>
      </c>
      <c r="HX179" s="652">
        <f t="shared" si="213"/>
        <v>2.8</v>
      </c>
      <c r="HY179" s="652">
        <f t="shared" si="213"/>
        <v>2.2000000000000002</v>
      </c>
      <c r="HZ179" s="652">
        <f t="shared" si="213"/>
        <v>1.6</v>
      </c>
      <c r="IA179" s="652">
        <f t="shared" si="213"/>
        <v>1</v>
      </c>
      <c r="IB179" s="566">
        <f>IB67+((IA67-IB67)*((IB$171-IB$65)/1))</f>
        <v>0</v>
      </c>
      <c r="JE179" s="543"/>
    </row>
    <row r="180" spans="184:265">
      <c r="GB180" s="543"/>
      <c r="HN180" s="635" t="s">
        <v>745</v>
      </c>
      <c r="HO180" s="500" t="s">
        <v>754</v>
      </c>
      <c r="HP180" s="642">
        <v>5.0000000000000001E-3</v>
      </c>
      <c r="HQ180" s="572" t="str">
        <f t="shared" ref="HQ180:IB180" si="214">$BN$87</f>
        <v/>
      </c>
      <c r="HR180" s="572" t="str">
        <f t="shared" si="214"/>
        <v/>
      </c>
      <c r="HS180" s="572" t="str">
        <f t="shared" si="214"/>
        <v/>
      </c>
      <c r="HT180" s="572" t="str">
        <f t="shared" si="214"/>
        <v/>
      </c>
      <c r="HU180" s="572" t="str">
        <f t="shared" si="214"/>
        <v/>
      </c>
      <c r="HV180" s="572" t="str">
        <f t="shared" si="214"/>
        <v/>
      </c>
      <c r="HW180" s="572" t="str">
        <f t="shared" si="214"/>
        <v/>
      </c>
      <c r="HX180" s="572" t="str">
        <f t="shared" si="214"/>
        <v/>
      </c>
      <c r="HY180" s="572" t="str">
        <f t="shared" si="214"/>
        <v/>
      </c>
      <c r="HZ180" s="572" t="str">
        <f t="shared" si="214"/>
        <v/>
      </c>
      <c r="IA180" s="572" t="str">
        <f t="shared" si="214"/>
        <v/>
      </c>
      <c r="IB180" s="572" t="str">
        <f t="shared" si="214"/>
        <v/>
      </c>
      <c r="JE180" s="543"/>
    </row>
    <row r="181" spans="184:265">
      <c r="GB181" s="543"/>
      <c r="GC181" s="543"/>
      <c r="GD181" s="543"/>
      <c r="GE181" s="543"/>
      <c r="GF181" s="543"/>
      <c r="GG181" s="543"/>
      <c r="GH181" s="543"/>
      <c r="GI181" s="543"/>
      <c r="GJ181" s="543"/>
      <c r="GK181" s="543"/>
      <c r="GL181" s="543"/>
      <c r="GM181" s="543"/>
      <c r="GN181" s="543"/>
      <c r="GO181" s="543"/>
      <c r="GP181" s="543"/>
      <c r="GQ181" s="543"/>
      <c r="GR181" s="543"/>
      <c r="GS181" s="543"/>
      <c r="GT181" s="543"/>
      <c r="GU181" s="543"/>
      <c r="GV181" s="543"/>
      <c r="GW181" s="543"/>
      <c r="GX181" s="543"/>
      <c r="GY181" s="543"/>
      <c r="GZ181" s="543"/>
      <c r="HA181" s="543"/>
      <c r="HB181" s="543"/>
      <c r="HC181" s="543"/>
      <c r="HD181" s="543"/>
      <c r="HE181" s="543"/>
      <c r="HF181" s="543"/>
      <c r="HG181" s="543"/>
      <c r="HH181" s="543"/>
      <c r="HI181" s="543"/>
      <c r="HJ181" s="543"/>
      <c r="JE181" s="543"/>
    </row>
    <row r="182" spans="184:265">
      <c r="HJ182" s="543"/>
      <c r="JE182" s="543"/>
    </row>
    <row r="183" spans="184:265">
      <c r="HJ183" s="543"/>
      <c r="JE183" s="543"/>
    </row>
    <row r="184" spans="184:265" ht="11.25" customHeight="1">
      <c r="HJ184" s="543"/>
      <c r="HK184" s="543"/>
      <c r="HL184" s="543"/>
      <c r="HM184" s="543"/>
      <c r="HN184" s="543"/>
      <c r="HO184" s="543"/>
      <c r="HP184" s="543"/>
      <c r="HQ184" s="543"/>
      <c r="HR184" s="543"/>
      <c r="HS184" s="543"/>
      <c r="HT184" s="543"/>
      <c r="HU184" s="543"/>
      <c r="HV184" s="543"/>
      <c r="HW184" s="543"/>
      <c r="HX184" s="543"/>
      <c r="HY184" s="543"/>
      <c r="HZ184" s="543"/>
      <c r="IA184" s="543"/>
      <c r="IB184" s="543"/>
      <c r="IC184" s="543"/>
      <c r="ID184" s="543"/>
      <c r="IE184" s="543"/>
      <c r="IF184" s="543"/>
      <c r="IG184" s="543"/>
      <c r="IH184" s="543"/>
      <c r="II184" s="543"/>
      <c r="IJ184" s="543"/>
      <c r="IK184" s="543"/>
      <c r="IL184" s="543"/>
      <c r="IM184" s="543"/>
      <c r="IN184" s="543"/>
      <c r="IO184" s="543"/>
      <c r="IP184" s="543"/>
      <c r="IQ184" s="543"/>
      <c r="IR184" s="543"/>
      <c r="IS184" s="543"/>
      <c r="IT184" s="543"/>
      <c r="IU184" s="543"/>
      <c r="IV184" s="543"/>
      <c r="IW184" s="543"/>
      <c r="IX184" s="543"/>
      <c r="IY184" s="543"/>
      <c r="IZ184" s="543"/>
      <c r="JA184" s="543"/>
      <c r="JB184" s="543"/>
      <c r="JC184" s="543"/>
      <c r="JD184" s="543"/>
      <c r="JE184" s="543"/>
    </row>
    <row r="185" spans="184:265" ht="11.25" customHeight="1"/>
    <row r="188" spans="184:265" ht="11.25" customHeight="1"/>
    <row r="190" spans="184:265" ht="11.25" customHeight="1"/>
    <row r="193" ht="11.25" customHeight="1"/>
    <row r="194" ht="11.25" customHeight="1"/>
    <row r="197" ht="11.25" customHeight="1"/>
    <row r="204" ht="11.25" customHeight="1"/>
    <row r="207" ht="11.25" customHeight="1"/>
    <row r="209" ht="11.25" customHeight="1"/>
    <row r="215" ht="11.25" customHeight="1"/>
    <row r="218" ht="11.25" customHeight="1"/>
    <row r="222" ht="11.25" customHeight="1"/>
    <row r="224" ht="11.25" customHeight="1"/>
  </sheetData>
  <sheetProtection password="9573" sheet="1" objects="1" scenarios="1" selectLockedCells="1"/>
  <mergeCells count="360">
    <mergeCell ref="M80:N80"/>
    <mergeCell ref="Y77:Z77"/>
    <mergeCell ref="Y74:Z74"/>
    <mergeCell ref="AX99:BQ99"/>
    <mergeCell ref="AX76:BC77"/>
    <mergeCell ref="BF74:BG77"/>
    <mergeCell ref="BM74:BM77"/>
    <mergeCell ref="BE78:BE87"/>
    <mergeCell ref="BP86:BQ86"/>
    <mergeCell ref="BP87:BQ87"/>
    <mergeCell ref="BN82:BO82"/>
    <mergeCell ref="BN83:BO83"/>
    <mergeCell ref="BN84:BO84"/>
    <mergeCell ref="BN86:BO86"/>
    <mergeCell ref="BN87:BO87"/>
    <mergeCell ref="BP74:BQ77"/>
    <mergeCell ref="BP78:BQ78"/>
    <mergeCell ref="BP79:BQ79"/>
    <mergeCell ref="BP80:BQ80"/>
    <mergeCell ref="BI74:BI77"/>
    <mergeCell ref="BK74:BK77"/>
    <mergeCell ref="CZ74:DA74"/>
    <mergeCell ref="EC67:EO67"/>
    <mergeCell ref="B75:G81"/>
    <mergeCell ref="T57:T59"/>
    <mergeCell ref="BF65:BJ66"/>
    <mergeCell ref="AX58:BI58"/>
    <mergeCell ref="BK55:BK57"/>
    <mergeCell ref="N64:T65"/>
    <mergeCell ref="Y57:Z57"/>
    <mergeCell ref="Y58:Z58"/>
    <mergeCell ref="Y59:Z59"/>
    <mergeCell ref="Y60:Z60"/>
    <mergeCell ref="Y61:Z61"/>
    <mergeCell ref="EC68:EO68"/>
    <mergeCell ref="CF55:CF56"/>
    <mergeCell ref="CG55:CG56"/>
    <mergeCell ref="B69:T69"/>
    <mergeCell ref="B70:T70"/>
    <mergeCell ref="B71:T71"/>
    <mergeCell ref="Y68:Z68"/>
    <mergeCell ref="Y56:Z56"/>
    <mergeCell ref="Y64:Z64"/>
    <mergeCell ref="Y62:Z62"/>
    <mergeCell ref="B72:T72"/>
    <mergeCell ref="AX101:BQ101"/>
    <mergeCell ref="AX102:BQ102"/>
    <mergeCell ref="BM28:BM30"/>
    <mergeCell ref="BK28:BK30"/>
    <mergeCell ref="BQ20:BQ23"/>
    <mergeCell ref="CM82:DC83"/>
    <mergeCell ref="BU12:CG13"/>
    <mergeCell ref="BW15:CB15"/>
    <mergeCell ref="CK18:CU18"/>
    <mergeCell ref="BN20:BN23"/>
    <mergeCell ref="BO20:BO23"/>
    <mergeCell ref="BY55:BY56"/>
    <mergeCell ref="CA55:CA56"/>
    <mergeCell ref="CB55:CB56"/>
    <mergeCell ref="BU64:BW64"/>
    <mergeCell ref="CC62:CC64"/>
    <mergeCell ref="CD63:CD64"/>
    <mergeCell ref="CA63:CA64"/>
    <mergeCell ref="BE18:BQ19"/>
    <mergeCell ref="BN24:BQ25"/>
    <mergeCell ref="BI44:BI46"/>
    <mergeCell ref="AZ91:BQ92"/>
    <mergeCell ref="AX42:BI42"/>
    <mergeCell ref="BM39:BM41"/>
    <mergeCell ref="X101:AT101"/>
    <mergeCell ref="X102:AT102"/>
    <mergeCell ref="Y48:Z48"/>
    <mergeCell ref="Y78:Z78"/>
    <mergeCell ref="AI95:AK95"/>
    <mergeCell ref="AD23:AD28"/>
    <mergeCell ref="X22:AB23"/>
    <mergeCell ref="AK18:AK21"/>
    <mergeCell ref="X16:AD19"/>
    <mergeCell ref="AI17:AT17"/>
    <mergeCell ref="AT18:AT21"/>
    <mergeCell ref="AN18:AN21"/>
    <mergeCell ref="AO18:AO21"/>
    <mergeCell ref="AP18:AP21"/>
    <mergeCell ref="AQ18:AQ21"/>
    <mergeCell ref="AR18:AR21"/>
    <mergeCell ref="AM95:AO95"/>
    <mergeCell ref="AE100:AT100"/>
    <mergeCell ref="AI91:AK91"/>
    <mergeCell ref="AI89:AK89"/>
    <mergeCell ref="AI18:AI21"/>
    <mergeCell ref="Y43:Z43"/>
    <mergeCell ref="Y44:Z44"/>
    <mergeCell ref="Y67:Z67"/>
    <mergeCell ref="HD55:HD56"/>
    <mergeCell ref="FG26:FG28"/>
    <mergeCell ref="EZ26:FB28"/>
    <mergeCell ref="EV23:EV28"/>
    <mergeCell ref="FC26:FF28"/>
    <mergeCell ref="EM35:EO35"/>
    <mergeCell ref="CY35:CY37"/>
    <mergeCell ref="CL32:CU32"/>
    <mergeCell ref="HD23:HE24"/>
    <mergeCell ref="HD39:HE40"/>
    <mergeCell ref="CW25:CW27"/>
    <mergeCell ref="CY25:CY27"/>
    <mergeCell ref="CW50:CW52"/>
    <mergeCell ref="EM44:EO44"/>
    <mergeCell ref="CK56:CU56"/>
    <mergeCell ref="DV51:DX53"/>
    <mergeCell ref="DU25:DU27"/>
    <mergeCell ref="DO36:DQ36"/>
    <mergeCell ref="DO28:DQ28"/>
    <mergeCell ref="DS25:DS27"/>
    <mergeCell ref="DU39:DU41"/>
    <mergeCell ref="DU33:DU35"/>
    <mergeCell ref="CW40:CW42"/>
    <mergeCell ref="DG36:DI36"/>
    <mergeCell ref="HF23:HF24"/>
    <mergeCell ref="HF39:HF40"/>
    <mergeCell ref="JT22:JU22"/>
    <mergeCell ref="JT37:JU37"/>
    <mergeCell ref="Y32:Z32"/>
    <mergeCell ref="Y33:Z33"/>
    <mergeCell ref="Y34:Z34"/>
    <mergeCell ref="X26:AA27"/>
    <mergeCell ref="DG22:DI22"/>
    <mergeCell ref="CW20:CW22"/>
    <mergeCell ref="CK23:CU23"/>
    <mergeCell ref="AF18:AG21"/>
    <mergeCell ref="AX26:BI26"/>
    <mergeCell ref="BK23:BK25"/>
    <mergeCell ref="AJ18:AJ21"/>
    <mergeCell ref="AS18:AS21"/>
    <mergeCell ref="AI28:AT28"/>
    <mergeCell ref="AI26:AT26"/>
    <mergeCell ref="AI22:AT22"/>
    <mergeCell ref="AY36:AZ36"/>
    <mergeCell ref="AM18:AM21"/>
    <mergeCell ref="AC23:AC28"/>
    <mergeCell ref="AI24:AT24"/>
    <mergeCell ref="DV16:DV19"/>
    <mergeCell ref="Y29:Z29"/>
    <mergeCell ref="Y30:Z30"/>
    <mergeCell ref="Y31:Z31"/>
    <mergeCell ref="T40:T41"/>
    <mergeCell ref="T43:T47"/>
    <mergeCell ref="G47:H47"/>
    <mergeCell ref="T29:T30"/>
    <mergeCell ref="Y45:Z45"/>
    <mergeCell ref="Y46:Z46"/>
    <mergeCell ref="Y47:Z47"/>
    <mergeCell ref="DG68:DY68"/>
    <mergeCell ref="DG67:DY67"/>
    <mergeCell ref="DP51:DS53"/>
    <mergeCell ref="DV47:DY47"/>
    <mergeCell ref="DM52:DO53"/>
    <mergeCell ref="CL47:CU47"/>
    <mergeCell ref="CK53:CU53"/>
    <mergeCell ref="T32:T35"/>
    <mergeCell ref="T37:T38"/>
    <mergeCell ref="Y49:Z49"/>
    <mergeCell ref="BK44:BK46"/>
    <mergeCell ref="BM44:BM46"/>
    <mergeCell ref="CC39:CD40"/>
    <mergeCell ref="CF39:CF40"/>
    <mergeCell ref="CC33:CG33"/>
    <mergeCell ref="T53:T55"/>
    <mergeCell ref="G67:T67"/>
    <mergeCell ref="B68:T68"/>
    <mergeCell ref="Y52:Z52"/>
    <mergeCell ref="Y53:Z53"/>
    <mergeCell ref="Y54:Z54"/>
    <mergeCell ref="D65:E65"/>
    <mergeCell ref="H65:K65"/>
    <mergeCell ref="EM52:EO52"/>
    <mergeCell ref="DG63:DY63"/>
    <mergeCell ref="DG64:DY64"/>
    <mergeCell ref="DG65:DY65"/>
    <mergeCell ref="DG66:DY66"/>
    <mergeCell ref="CZ61:DC61"/>
    <mergeCell ref="DV54:DW54"/>
    <mergeCell ref="DV55:DW55"/>
    <mergeCell ref="CQ60:CV61"/>
    <mergeCell ref="DV57:DW57"/>
    <mergeCell ref="DV58:DW58"/>
    <mergeCell ref="CT65:CV67"/>
    <mergeCell ref="DN54:DO58"/>
    <mergeCell ref="DG52:DL53"/>
    <mergeCell ref="ED60:EO62"/>
    <mergeCell ref="EC64:EO64"/>
    <mergeCell ref="EC65:EO65"/>
    <mergeCell ref="EC66:EO66"/>
    <mergeCell ref="AX100:BQ100"/>
    <mergeCell ref="BU77:CG77"/>
    <mergeCell ref="AZ89:BQ90"/>
    <mergeCell ref="BN80:BO80"/>
    <mergeCell ref="BN66:BQ66"/>
    <mergeCell ref="CK92:DC92"/>
    <mergeCell ref="CW64:CX67"/>
    <mergeCell ref="CY66:CY67"/>
    <mergeCell ref="CK66:CP67"/>
    <mergeCell ref="CQ77:CR77"/>
    <mergeCell ref="CQ65:CS67"/>
    <mergeCell ref="CZ65:DB67"/>
    <mergeCell ref="CZ70:DA70"/>
    <mergeCell ref="CZ72:DA72"/>
    <mergeCell ref="CZ76:DA76"/>
    <mergeCell ref="CZ77:DA77"/>
    <mergeCell ref="BN74:BO77"/>
    <mergeCell ref="BN78:BO78"/>
    <mergeCell ref="BN79:BO79"/>
    <mergeCell ref="BL71:BQ72"/>
    <mergeCell ref="BU75:CG75"/>
    <mergeCell ref="BU76:CG76"/>
    <mergeCell ref="BV71:CG72"/>
    <mergeCell ref="BV70:CG70"/>
    <mergeCell ref="AZ97:BQ97"/>
    <mergeCell ref="G45:R46"/>
    <mergeCell ref="Y65:Z65"/>
    <mergeCell ref="Y66:Z66"/>
    <mergeCell ref="BD74:BE77"/>
    <mergeCell ref="BW47:CB47"/>
    <mergeCell ref="BW49:CB50"/>
    <mergeCell ref="AY52:AZ52"/>
    <mergeCell ref="BB52:BG52"/>
    <mergeCell ref="AY47:AZ47"/>
    <mergeCell ref="BB47:BG47"/>
    <mergeCell ref="B94:T98"/>
    <mergeCell ref="I78:K78"/>
    <mergeCell ref="I76:J76"/>
    <mergeCell ref="S76:T76"/>
    <mergeCell ref="N78:T78"/>
    <mergeCell ref="I80:K80"/>
    <mergeCell ref="Y50:Z50"/>
    <mergeCell ref="Y51:Z51"/>
    <mergeCell ref="Y55:Z55"/>
    <mergeCell ref="Y63:Z63"/>
    <mergeCell ref="Y75:Z75"/>
    <mergeCell ref="P80:T80"/>
    <mergeCell ref="D64:K64"/>
    <mergeCell ref="CQ76:CR76"/>
    <mergeCell ref="CQ68:CR68"/>
    <mergeCell ref="CQ69:CR69"/>
    <mergeCell ref="CQ70:CR70"/>
    <mergeCell ref="CQ72:CR72"/>
    <mergeCell ref="CQ73:CR73"/>
    <mergeCell ref="B92:T93"/>
    <mergeCell ref="BP82:BQ82"/>
    <mergeCell ref="AZ94:BQ96"/>
    <mergeCell ref="D90:E90"/>
    <mergeCell ref="D89:E89"/>
    <mergeCell ref="BP83:BQ83"/>
    <mergeCell ref="BP84:BQ84"/>
    <mergeCell ref="D85:E85"/>
    <mergeCell ref="D87:E87"/>
    <mergeCell ref="D88:E88"/>
    <mergeCell ref="Y71:Z71"/>
    <mergeCell ref="Y72:Z72"/>
    <mergeCell ref="Y73:Z73"/>
    <mergeCell ref="B73:T73"/>
    <mergeCell ref="B74:T74"/>
    <mergeCell ref="Y76:Z76"/>
    <mergeCell ref="Y79:Z79"/>
    <mergeCell ref="Y80:Z80"/>
    <mergeCell ref="CK90:DC90"/>
    <mergeCell ref="CK91:DC91"/>
    <mergeCell ref="CL43:CU43"/>
    <mergeCell ref="BV39:BW40"/>
    <mergeCell ref="BY39:BY40"/>
    <mergeCell ref="CA39:CA40"/>
    <mergeCell ref="CB39:CB40"/>
    <mergeCell ref="Y41:Z41"/>
    <mergeCell ref="Y42:Z42"/>
    <mergeCell ref="BK39:BK41"/>
    <mergeCell ref="CY40:CY42"/>
    <mergeCell ref="CY50:CY52"/>
    <mergeCell ref="BU65:BW68"/>
    <mergeCell ref="BM55:BM57"/>
    <mergeCell ref="AX61:BI61"/>
    <mergeCell ref="CS68:CS77"/>
    <mergeCell ref="CZ68:DA68"/>
    <mergeCell ref="CZ69:DA69"/>
    <mergeCell ref="CC55:CD56"/>
    <mergeCell ref="BU74:CG74"/>
    <mergeCell ref="CC49:CG49"/>
    <mergeCell ref="CG39:CG40"/>
    <mergeCell ref="BV55:BW56"/>
    <mergeCell ref="CZ73:DA73"/>
    <mergeCell ref="CQ15:DC16"/>
    <mergeCell ref="CZ21:DC22"/>
    <mergeCell ref="CC17:CG17"/>
    <mergeCell ref="DN14:DY15"/>
    <mergeCell ref="DM46:DR47"/>
    <mergeCell ref="B21:E22"/>
    <mergeCell ref="T21:T22"/>
    <mergeCell ref="AL18:AL21"/>
    <mergeCell ref="BP20:BP23"/>
    <mergeCell ref="BM23:BM25"/>
    <mergeCell ref="BI28:BI30"/>
    <mergeCell ref="B12:T14"/>
    <mergeCell ref="B15:T15"/>
    <mergeCell ref="T23:T27"/>
    <mergeCell ref="DW16:DW19"/>
    <mergeCell ref="DX16:DX19"/>
    <mergeCell ref="CC23:CD24"/>
    <mergeCell ref="CL28:CU28"/>
    <mergeCell ref="DG28:DI28"/>
    <mergeCell ref="DK28:DM28"/>
    <mergeCell ref="J47:P47"/>
    <mergeCell ref="AH26:AH28"/>
    <mergeCell ref="AF26:AF28"/>
    <mergeCell ref="AG26:AG28"/>
    <mergeCell ref="CK89:DC89"/>
    <mergeCell ref="CF23:CF24"/>
    <mergeCell ref="CG23:CG24"/>
    <mergeCell ref="EW23:EY28"/>
    <mergeCell ref="BV23:BW24"/>
    <mergeCell ref="BY23:BY24"/>
    <mergeCell ref="CA23:CA24"/>
    <mergeCell ref="CB23:CB24"/>
    <mergeCell ref="DS19:DS21"/>
    <mergeCell ref="DK22:DM22"/>
    <mergeCell ref="DO22:DQ22"/>
    <mergeCell ref="EM27:EO27"/>
    <mergeCell ref="CZ17:CZ20"/>
    <mergeCell ref="DA17:DA20"/>
    <mergeCell ref="DB17:DB20"/>
    <mergeCell ref="DC17:DC20"/>
    <mergeCell ref="CY20:CY22"/>
    <mergeCell ref="DU19:DU21"/>
    <mergeCell ref="CK38:CU38"/>
    <mergeCell ref="CQ74:CR74"/>
    <mergeCell ref="CK85:DC85"/>
    <mergeCell ref="CK86:DC86"/>
    <mergeCell ref="CK87:DC87"/>
    <mergeCell ref="CK88:DC88"/>
    <mergeCell ref="EC12:EO13"/>
    <mergeCell ref="AI16:AT16"/>
    <mergeCell ref="BW33:CB34"/>
    <mergeCell ref="DK36:DM36"/>
    <mergeCell ref="DK42:DM42"/>
    <mergeCell ref="Y35:Z35"/>
    <mergeCell ref="Y36:Z36"/>
    <mergeCell ref="Y37:Z37"/>
    <mergeCell ref="Y38:Z38"/>
    <mergeCell ref="Y39:Z39"/>
    <mergeCell ref="Y40:Z40"/>
    <mergeCell ref="CW35:CW37"/>
    <mergeCell ref="BB36:BG36"/>
    <mergeCell ref="AY31:AZ31"/>
    <mergeCell ref="BB31:BG31"/>
    <mergeCell ref="BW31:CB31"/>
    <mergeCell ref="DY16:DY19"/>
    <mergeCell ref="DV20:DY21"/>
    <mergeCell ref="BW17:CB18"/>
    <mergeCell ref="X12:AT13"/>
    <mergeCell ref="AC22:AD22"/>
    <mergeCell ref="DO42:DQ42"/>
    <mergeCell ref="DG42:DI42"/>
    <mergeCell ref="AX15:BQ16"/>
  </mergeCells>
  <phoneticPr fontId="2" type="noConversion"/>
  <conditionalFormatting sqref="GL17:GL40">
    <cfRule type="cellIs" dxfId="354" priority="899" operator="notEqual">
      <formula>GM17</formula>
    </cfRule>
  </conditionalFormatting>
  <conditionalFormatting sqref="JB17:JB21">
    <cfRule type="cellIs" dxfId="353" priority="762" operator="notEqual">
      <formula>JC17</formula>
    </cfRule>
  </conditionalFormatting>
  <conditionalFormatting sqref="AI29:AT29">
    <cfRule type="cellIs" dxfId="352" priority="1478" operator="equal">
      <formula>$ET$14</formula>
    </cfRule>
  </conditionalFormatting>
  <conditionalFormatting sqref="AI18:AT20">
    <cfRule type="expression" dxfId="351" priority="702">
      <formula>AND(ISBLANK(AI18),OR(FM22=0,FM23=0))</formula>
    </cfRule>
  </conditionalFormatting>
  <conditionalFormatting sqref="AI23">
    <cfRule type="expression" dxfId="350" priority="701">
      <formula>AND(ISBLANK(AI23),OR(FM21=0,FM23=0))</formula>
    </cfRule>
  </conditionalFormatting>
  <conditionalFormatting sqref="AI25">
    <cfRule type="expression" dxfId="349" priority="700">
      <formula>AND(ISBLANK(AI25),OR(FM21=0,FM22=0))</formula>
    </cfRule>
  </conditionalFormatting>
  <conditionalFormatting sqref="AJ23:AT23">
    <cfRule type="expression" dxfId="348" priority="698">
      <formula>AND(ISBLANK(AJ23),OR(FN21=0,FN23=0))</formula>
    </cfRule>
  </conditionalFormatting>
  <conditionalFormatting sqref="AJ25:AT25">
    <cfRule type="expression" dxfId="347" priority="697">
      <formula>AND(ISBLANK(AJ25),OR(FN21=0,FN22=0))</formula>
    </cfRule>
  </conditionalFormatting>
  <conditionalFormatting sqref="AC29:AC68">
    <cfRule type="expression" dxfId="346" priority="689">
      <formula>EV29=TRUE()</formula>
    </cfRule>
  </conditionalFormatting>
  <conditionalFormatting sqref="AC71:AC80">
    <cfRule type="expression" dxfId="345" priority="688">
      <formula>AND(AA71*AB71=0,AC71=$ET$13)</formula>
    </cfRule>
  </conditionalFormatting>
  <conditionalFormatting sqref="AA71:AA80">
    <cfRule type="expression" dxfId="344" priority="687">
      <formula>AND(ISNUMBER(AB71),ISBLANK(AA71))</formula>
    </cfRule>
  </conditionalFormatting>
  <conditionalFormatting sqref="AB71:AB80">
    <cfRule type="expression" dxfId="343" priority="686">
      <formula>AND(ISNUMBER(AA71),ISBLANK(AB71))</formula>
    </cfRule>
  </conditionalFormatting>
  <conditionalFormatting sqref="AI71:AT80 AI29:AT68">
    <cfRule type="expression" dxfId="342" priority="1410">
      <formula>AND(AI29=$ET$14,$FG29=TRUE())</formula>
    </cfRule>
  </conditionalFormatting>
  <conditionalFormatting sqref="AD29:AD68 AD71:AD80">
    <cfRule type="expression" dxfId="341" priority="26">
      <formula>EW29=TRUE()</formula>
    </cfRule>
    <cfRule type="expression" dxfId="340" priority="27">
      <formula>EX29=TRUE()</formula>
    </cfRule>
    <cfRule type="expression" dxfId="339" priority="1559">
      <formula>EY29=TRUE()</formula>
    </cfRule>
  </conditionalFormatting>
  <conditionalFormatting sqref="AF29:AF68 AF71:AF80">
    <cfRule type="expression" dxfId="338" priority="1572">
      <formula>EZ29=TRUE()</formula>
    </cfRule>
    <cfRule type="expression" dxfId="337" priority="1573">
      <formula>FA29=TRUE()</formula>
    </cfRule>
    <cfRule type="expression" dxfId="336" priority="1574">
      <formula>FB29=TRUE()</formula>
    </cfRule>
  </conditionalFormatting>
  <conditionalFormatting sqref="AG29:AG68 AG71:AG80">
    <cfRule type="expression" dxfId="335" priority="441">
      <formula>FF29=TRUE()</formula>
    </cfRule>
    <cfRule type="expression" dxfId="334" priority="443">
      <formula>FE29=TRUE()</formula>
    </cfRule>
    <cfRule type="expression" dxfId="333" priority="1578">
      <formula>FC29=TRUE()</formula>
    </cfRule>
    <cfRule type="expression" dxfId="332" priority="1579">
      <formula>FD29=TRUE()</formula>
    </cfRule>
  </conditionalFormatting>
  <conditionalFormatting sqref="AI73:AT73">
    <cfRule type="cellIs" dxfId="331" priority="462" operator="equal">
      <formula>$ET$14</formula>
    </cfRule>
  </conditionalFormatting>
  <conditionalFormatting sqref="AI30:AT30">
    <cfRule type="cellIs" dxfId="330" priority="544" operator="equal">
      <formula>$ET$14</formula>
    </cfRule>
  </conditionalFormatting>
  <conditionalFormatting sqref="AI31:AT31">
    <cfRule type="cellIs" dxfId="329" priority="542" operator="equal">
      <formula>$ET$14</formula>
    </cfRule>
  </conditionalFormatting>
  <conditionalFormatting sqref="AI32:AT32">
    <cfRule type="cellIs" dxfId="328" priority="540" operator="equal">
      <formula>$ET$14</formula>
    </cfRule>
  </conditionalFormatting>
  <conditionalFormatting sqref="AI33:AT33">
    <cfRule type="cellIs" dxfId="327" priority="538" operator="equal">
      <formula>$ET$14</formula>
    </cfRule>
  </conditionalFormatting>
  <conditionalFormatting sqref="AI34:AT34">
    <cfRule type="cellIs" dxfId="326" priority="536" operator="equal">
      <formula>$ET$14</formula>
    </cfRule>
  </conditionalFormatting>
  <conditionalFormatting sqref="AI35:AT35">
    <cfRule type="cellIs" dxfId="325" priority="534" operator="equal">
      <formula>$ET$14</formula>
    </cfRule>
  </conditionalFormatting>
  <conditionalFormatting sqref="AI36:AT36">
    <cfRule type="cellIs" dxfId="324" priority="532" operator="equal">
      <formula>$ET$14</formula>
    </cfRule>
  </conditionalFormatting>
  <conditionalFormatting sqref="AI37:AT37">
    <cfRule type="cellIs" dxfId="323" priority="530" operator="equal">
      <formula>$ET$14</formula>
    </cfRule>
  </conditionalFormatting>
  <conditionalFormatting sqref="AI38:AT38">
    <cfRule type="cellIs" dxfId="322" priority="528" operator="equal">
      <formula>$ET$14</formula>
    </cfRule>
  </conditionalFormatting>
  <conditionalFormatting sqref="AI39:AT39">
    <cfRule type="cellIs" dxfId="321" priority="526" operator="equal">
      <formula>$ET$14</formula>
    </cfRule>
  </conditionalFormatting>
  <conditionalFormatting sqref="AI40:AT40">
    <cfRule type="cellIs" dxfId="320" priority="524" operator="equal">
      <formula>$ET$14</formula>
    </cfRule>
  </conditionalFormatting>
  <conditionalFormatting sqref="AI41:AT41">
    <cfRule type="cellIs" dxfId="319" priority="522" operator="equal">
      <formula>$ET$14</formula>
    </cfRule>
  </conditionalFormatting>
  <conditionalFormatting sqref="AI42:AT42">
    <cfRule type="cellIs" dxfId="318" priority="520" operator="equal">
      <formula>$ET$14</formula>
    </cfRule>
  </conditionalFormatting>
  <conditionalFormatting sqref="AI43:AT43">
    <cfRule type="cellIs" dxfId="317" priority="518" operator="equal">
      <formula>$ET$14</formula>
    </cfRule>
  </conditionalFormatting>
  <conditionalFormatting sqref="AI44:AT44">
    <cfRule type="cellIs" dxfId="316" priority="516" operator="equal">
      <formula>$ET$14</formula>
    </cfRule>
  </conditionalFormatting>
  <conditionalFormatting sqref="AI45:AT45">
    <cfRule type="cellIs" dxfId="315" priority="514" operator="equal">
      <formula>$ET$14</formula>
    </cfRule>
  </conditionalFormatting>
  <conditionalFormatting sqref="AI46:AT46">
    <cfRule type="cellIs" dxfId="314" priority="512" operator="equal">
      <formula>$ET$14</formula>
    </cfRule>
  </conditionalFormatting>
  <conditionalFormatting sqref="AI47:AT47">
    <cfRule type="cellIs" dxfId="313" priority="510" operator="equal">
      <formula>$ET$14</formula>
    </cfRule>
  </conditionalFormatting>
  <conditionalFormatting sqref="AI48:AT48">
    <cfRule type="cellIs" dxfId="312" priority="508" operator="equal">
      <formula>$ET$14</formula>
    </cfRule>
  </conditionalFormatting>
  <conditionalFormatting sqref="AI49:AT49">
    <cfRule type="cellIs" dxfId="311" priority="506" operator="equal">
      <formula>$ET$14</formula>
    </cfRule>
  </conditionalFormatting>
  <conditionalFormatting sqref="AI50:AT50">
    <cfRule type="cellIs" dxfId="310" priority="504" operator="equal">
      <formula>$ET$14</formula>
    </cfRule>
  </conditionalFormatting>
  <conditionalFormatting sqref="AI51:AT51">
    <cfRule type="cellIs" dxfId="309" priority="502" operator="equal">
      <formula>$ET$14</formula>
    </cfRule>
  </conditionalFormatting>
  <conditionalFormatting sqref="AI52:AT52">
    <cfRule type="cellIs" dxfId="308" priority="500" operator="equal">
      <formula>$ET$14</formula>
    </cfRule>
  </conditionalFormatting>
  <conditionalFormatting sqref="AI53:AT53">
    <cfRule type="cellIs" dxfId="307" priority="498" operator="equal">
      <formula>$ET$14</formula>
    </cfRule>
  </conditionalFormatting>
  <conditionalFormatting sqref="AI54:AT54">
    <cfRule type="cellIs" dxfId="306" priority="496" operator="equal">
      <formula>$ET$14</formula>
    </cfRule>
  </conditionalFormatting>
  <conditionalFormatting sqref="AI55:AT55">
    <cfRule type="cellIs" dxfId="305" priority="494" operator="equal">
      <formula>$ET$14</formula>
    </cfRule>
  </conditionalFormatting>
  <conditionalFormatting sqref="AI56:AT56">
    <cfRule type="cellIs" dxfId="304" priority="492" operator="equal">
      <formula>$ET$14</formula>
    </cfRule>
  </conditionalFormatting>
  <conditionalFormatting sqref="AI57:AT57">
    <cfRule type="cellIs" dxfId="303" priority="490" operator="equal">
      <formula>$ET$14</formula>
    </cfRule>
  </conditionalFormatting>
  <conditionalFormatting sqref="AI58:AT58">
    <cfRule type="cellIs" dxfId="302" priority="488" operator="equal">
      <formula>$ET$14</formula>
    </cfRule>
  </conditionalFormatting>
  <conditionalFormatting sqref="AI59:AT59">
    <cfRule type="cellIs" dxfId="301" priority="486" operator="equal">
      <formula>$ET$14</formula>
    </cfRule>
  </conditionalFormatting>
  <conditionalFormatting sqref="AI60:AT60">
    <cfRule type="cellIs" dxfId="300" priority="484" operator="equal">
      <formula>$ET$14</formula>
    </cfRule>
  </conditionalFormatting>
  <conditionalFormatting sqref="AI61:AT61">
    <cfRule type="cellIs" dxfId="299" priority="482" operator="equal">
      <formula>$ET$14</formula>
    </cfRule>
  </conditionalFormatting>
  <conditionalFormatting sqref="AI62:AT62">
    <cfRule type="cellIs" dxfId="298" priority="480" operator="equal">
      <formula>$ET$14</formula>
    </cfRule>
  </conditionalFormatting>
  <conditionalFormatting sqref="AI63:AT63">
    <cfRule type="cellIs" dxfId="297" priority="478" operator="equal">
      <formula>$ET$14</formula>
    </cfRule>
  </conditionalFormatting>
  <conditionalFormatting sqref="AI64:AT64">
    <cfRule type="cellIs" dxfId="296" priority="476" operator="equal">
      <formula>$ET$14</formula>
    </cfRule>
  </conditionalFormatting>
  <conditionalFormatting sqref="AI65:AT65">
    <cfRule type="cellIs" dxfId="295" priority="474" operator="equal">
      <formula>$ET$14</formula>
    </cfRule>
  </conditionalFormatting>
  <conditionalFormatting sqref="AI66:AT66">
    <cfRule type="cellIs" dxfId="294" priority="472" operator="equal">
      <formula>$ET$14</formula>
    </cfRule>
  </conditionalFormatting>
  <conditionalFormatting sqref="AI67:AT67">
    <cfRule type="cellIs" dxfId="293" priority="470" operator="equal">
      <formula>$ET$14</formula>
    </cfRule>
  </conditionalFormatting>
  <conditionalFormatting sqref="AI68:AT68">
    <cfRule type="cellIs" dxfId="292" priority="468" operator="equal">
      <formula>$ET$14</formula>
    </cfRule>
  </conditionalFormatting>
  <conditionalFormatting sqref="AI71:AT71">
    <cfRule type="cellIs" dxfId="291" priority="466" operator="equal">
      <formula>$ET$14</formula>
    </cfRule>
  </conditionalFormatting>
  <conditionalFormatting sqref="AI72:AT72">
    <cfRule type="cellIs" dxfId="290" priority="464" operator="equal">
      <formula>$ET$14</formula>
    </cfRule>
  </conditionalFormatting>
  <conditionalFormatting sqref="AI74:AT74">
    <cfRule type="cellIs" dxfId="289" priority="460" operator="equal">
      <formula>$ET$14</formula>
    </cfRule>
  </conditionalFormatting>
  <conditionalFormatting sqref="AI75:AT75">
    <cfRule type="cellIs" dxfId="288" priority="458" operator="equal">
      <formula>$ET$14</formula>
    </cfRule>
  </conditionalFormatting>
  <conditionalFormatting sqref="AI76:AT76">
    <cfRule type="cellIs" dxfId="287" priority="456" operator="equal">
      <formula>$ET$14</formula>
    </cfRule>
  </conditionalFormatting>
  <conditionalFormatting sqref="AI77:AT77">
    <cfRule type="cellIs" dxfId="286" priority="454" operator="equal">
      <formula>$ET$14</formula>
    </cfRule>
  </conditionalFormatting>
  <conditionalFormatting sqref="AI78:AT78">
    <cfRule type="cellIs" dxfId="285" priority="452" operator="equal">
      <formula>$ET$14</formula>
    </cfRule>
  </conditionalFormatting>
  <conditionalFormatting sqref="AI79:AT79">
    <cfRule type="cellIs" dxfId="284" priority="450" operator="equal">
      <formula>$ET$14</formula>
    </cfRule>
  </conditionalFormatting>
  <conditionalFormatting sqref="AI80:AT80">
    <cfRule type="cellIs" dxfId="283" priority="448" operator="equal">
      <formula>$ET$14</formula>
    </cfRule>
  </conditionalFormatting>
  <conditionalFormatting sqref="AI21:AT21">
    <cfRule type="expression" dxfId="282" priority="1617">
      <formula>AND(ISBLANK(AI21),OR(FM25=0,FM27=0))</formula>
    </cfRule>
  </conditionalFormatting>
  <conditionalFormatting sqref="MC94">
    <cfRule type="cellIs" dxfId="281" priority="439" operator="notEqual">
      <formula>MC93</formula>
    </cfRule>
  </conditionalFormatting>
  <conditionalFormatting sqref="MD94">
    <cfRule type="cellIs" dxfId="280" priority="438" operator="notEqual">
      <formula>MD93</formula>
    </cfRule>
  </conditionalFormatting>
  <conditionalFormatting sqref="AD95:AD96">
    <cfRule type="expression" dxfId="279" priority="437">
      <formula>OR(AD95=$ET$16,AD95=$ET$17)</formula>
    </cfRule>
  </conditionalFormatting>
  <conditionalFormatting sqref="BO21:BQ23 BN21:BN22">
    <cfRule type="expression" dxfId="278" priority="333">
      <formula>HD19=TRUE()</formula>
    </cfRule>
  </conditionalFormatting>
  <conditionalFormatting sqref="AX58:BI58">
    <cfRule type="expression" dxfId="277" priority="303">
      <formula>$HD$57=TRUE()</formula>
    </cfRule>
  </conditionalFormatting>
  <conditionalFormatting sqref="BK58">
    <cfRule type="expression" dxfId="276" priority="302">
      <formula>$HE$57=TRUE()</formula>
    </cfRule>
  </conditionalFormatting>
  <conditionalFormatting sqref="BN58:BQ58">
    <cfRule type="expression" dxfId="275" priority="41">
      <formula>HM57=TRUE()</formula>
    </cfRule>
    <cfRule type="expression" dxfId="274" priority="301">
      <formula>$HF$57=TRUE()</formula>
    </cfRule>
  </conditionalFormatting>
  <conditionalFormatting sqref="AX61:BI61">
    <cfRule type="expression" dxfId="273" priority="300">
      <formula>$HD$60=TRUE()</formula>
    </cfRule>
  </conditionalFormatting>
  <conditionalFormatting sqref="BK61">
    <cfRule type="expression" dxfId="272" priority="299">
      <formula>$HE$60=TRUE()</formula>
    </cfRule>
  </conditionalFormatting>
  <conditionalFormatting sqref="BN61:BQ61">
    <cfRule type="expression" dxfId="271" priority="40">
      <formula>HM60=TRUE()</formula>
    </cfRule>
    <cfRule type="expression" dxfId="270" priority="298">
      <formula>$HF$60=TRUE()</formula>
    </cfRule>
  </conditionalFormatting>
  <conditionalFormatting sqref="BM31">
    <cfRule type="expression" dxfId="269" priority="297">
      <formula>$BM$31=ET17</formula>
    </cfRule>
  </conditionalFormatting>
  <conditionalFormatting sqref="BM36">
    <cfRule type="expression" dxfId="268" priority="296">
      <formula>$BM$36=ET17</formula>
    </cfRule>
  </conditionalFormatting>
  <conditionalFormatting sqref="BM42">
    <cfRule type="expression" dxfId="267" priority="295">
      <formula>$BM$42=ET17</formula>
    </cfRule>
  </conditionalFormatting>
  <conditionalFormatting sqref="BM47">
    <cfRule type="expression" dxfId="266" priority="294">
      <formula>$BM$47=ET17</formula>
    </cfRule>
  </conditionalFormatting>
  <conditionalFormatting sqref="BM52">
    <cfRule type="expression" dxfId="265" priority="293">
      <formula>$BM$52=ET17</formula>
    </cfRule>
  </conditionalFormatting>
  <conditionalFormatting sqref="BM58">
    <cfRule type="expression" dxfId="264" priority="292">
      <formula>$BM$58=ET17</formula>
    </cfRule>
  </conditionalFormatting>
  <conditionalFormatting sqref="BM61">
    <cfRule type="expression" dxfId="263" priority="291">
      <formula>$BM$61=ET17</formula>
    </cfRule>
  </conditionalFormatting>
  <conditionalFormatting sqref="CK18:CU18">
    <cfRule type="expression" dxfId="262" priority="273">
      <formula>$CK$18&lt;&gt;""</formula>
    </cfRule>
  </conditionalFormatting>
  <conditionalFormatting sqref="CZ28:DC28">
    <cfRule type="expression" dxfId="261" priority="25">
      <formula>KB28=TRUE()</formula>
    </cfRule>
    <cfRule type="expression" dxfId="260" priority="2303">
      <formula>$JW$29=TRUE()</formula>
    </cfRule>
  </conditionalFormatting>
  <conditionalFormatting sqref="CK23:CU23">
    <cfRule type="expression" dxfId="259" priority="2308">
      <formula>$JU$24=TRUE()</formula>
    </cfRule>
    <cfRule type="expression" dxfId="258" priority="2309">
      <formula>$JU$23=TRUE()</formula>
    </cfRule>
    <cfRule type="expression" dxfId="257" priority="2310">
      <formula>$JT$23=TRUE()</formula>
    </cfRule>
  </conditionalFormatting>
  <conditionalFormatting sqref="CW23">
    <cfRule type="expression" dxfId="256" priority="2311">
      <formula>$JV$23=TRUE()</formula>
    </cfRule>
  </conditionalFormatting>
  <conditionalFormatting sqref="CL28:CU28">
    <cfRule type="expression" dxfId="255" priority="175">
      <formula>ISERROR($JU$28)</formula>
    </cfRule>
    <cfRule type="expression" dxfId="254" priority="2314">
      <formula>$JT$28=TRUE()</formula>
    </cfRule>
  </conditionalFormatting>
  <conditionalFormatting sqref="CW28">
    <cfRule type="expression" dxfId="253" priority="2315">
      <formula>$JV$29=TRUE()</formula>
    </cfRule>
    <cfRule type="expression" dxfId="252" priority="2316">
      <formula>$JV$28=TRUE()</formula>
    </cfRule>
  </conditionalFormatting>
  <conditionalFormatting sqref="CL32:CU32">
    <cfRule type="expression" dxfId="251" priority="174">
      <formula>ISERROR($JU$32)</formula>
    </cfRule>
    <cfRule type="expression" dxfId="250" priority="2317">
      <formula>$JT$32=TRUE()</formula>
    </cfRule>
  </conditionalFormatting>
  <conditionalFormatting sqref="CW32">
    <cfRule type="expression" dxfId="249" priority="2318">
      <formula>$JV$33=TRUE()</formula>
    </cfRule>
    <cfRule type="expression" dxfId="248" priority="2319">
      <formula>$JV$32=TRUE()</formula>
    </cfRule>
  </conditionalFormatting>
  <conditionalFormatting sqref="CZ32:DC32">
    <cfRule type="expression" dxfId="247" priority="24">
      <formula>KB32=TRUE()</formula>
    </cfRule>
    <cfRule type="expression" dxfId="246" priority="2320">
      <formula>$JW$32=TRUE()</formula>
    </cfRule>
  </conditionalFormatting>
  <conditionalFormatting sqref="CK38:CU38">
    <cfRule type="expression" dxfId="245" priority="2321">
      <formula>$JU$39=TRUE()</formula>
    </cfRule>
    <cfRule type="expression" dxfId="244" priority="2322">
      <formula>$JU$38=TRUE()</formula>
    </cfRule>
    <cfRule type="expression" dxfId="243" priority="2323">
      <formula>$JT$38=TRUE()</formula>
    </cfRule>
  </conditionalFormatting>
  <conditionalFormatting sqref="CW38">
    <cfRule type="expression" dxfId="242" priority="2324">
      <formula>$JV$38=TRUE()</formula>
    </cfRule>
  </conditionalFormatting>
  <conditionalFormatting sqref="CZ38:DC38">
    <cfRule type="expression" dxfId="241" priority="23">
      <formula>KB38=TRUE()</formula>
    </cfRule>
    <cfRule type="expression" dxfId="240" priority="2325">
      <formula>$JW$38=TRUE()</formula>
    </cfRule>
  </conditionalFormatting>
  <conditionalFormatting sqref="CL43:CU43">
    <cfRule type="expression" dxfId="239" priority="173">
      <formula>ISERROR($JU$43)</formula>
    </cfRule>
    <cfRule type="expression" dxfId="238" priority="2326">
      <formula>$JT$43=TRUE()</formula>
    </cfRule>
  </conditionalFormatting>
  <conditionalFormatting sqref="CW43">
    <cfRule type="expression" dxfId="237" priority="2327">
      <formula>$JV$44=TRUE()</formula>
    </cfRule>
    <cfRule type="expression" dxfId="236" priority="2328">
      <formula>$JV$43=TRUE()</formula>
    </cfRule>
  </conditionalFormatting>
  <conditionalFormatting sqref="CL47:CU47">
    <cfRule type="expression" dxfId="235" priority="172">
      <formula>ISERROR($JU$47)</formula>
    </cfRule>
    <cfRule type="expression" dxfId="234" priority="2329">
      <formula>$JT$47=TRUE()</formula>
    </cfRule>
  </conditionalFormatting>
  <conditionalFormatting sqref="CW47">
    <cfRule type="expression" dxfId="233" priority="2330">
      <formula>$JV$48=TRUE()</formula>
    </cfRule>
    <cfRule type="expression" dxfId="232" priority="2331">
      <formula>$JV$47=TRUE()</formula>
    </cfRule>
  </conditionalFormatting>
  <conditionalFormatting sqref="CZ47:DC47">
    <cfRule type="expression" dxfId="231" priority="20">
      <formula>KB47=TRUE()</formula>
    </cfRule>
    <cfRule type="expression" dxfId="230" priority="2332">
      <formula>$JW$47=TRUE()</formula>
    </cfRule>
  </conditionalFormatting>
  <conditionalFormatting sqref="CK53:CU53">
    <cfRule type="expression" dxfId="229" priority="2333">
      <formula>$JT$53=TRUE()</formula>
    </cfRule>
  </conditionalFormatting>
  <conditionalFormatting sqref="CW53">
    <cfRule type="expression" dxfId="228" priority="2334">
      <formula>$JV$54=TRUE()</formula>
    </cfRule>
    <cfRule type="expression" dxfId="227" priority="2335">
      <formula>$JV$53=TRUE()</formula>
    </cfRule>
  </conditionalFormatting>
  <conditionalFormatting sqref="CZ53:DC53">
    <cfRule type="expression" dxfId="226" priority="19">
      <formula>KB53=TRUE()</formula>
    </cfRule>
    <cfRule type="expression" dxfId="225" priority="2336">
      <formula>$JW$53=TRUE()</formula>
    </cfRule>
  </conditionalFormatting>
  <conditionalFormatting sqref="CK56:CU56">
    <cfRule type="expression" dxfId="224" priority="2337">
      <formula>$JT$56=TRUE()</formula>
    </cfRule>
  </conditionalFormatting>
  <conditionalFormatting sqref="CW56">
    <cfRule type="expression" dxfId="223" priority="2338">
      <formula>$JV$57=TRUE()</formula>
    </cfRule>
    <cfRule type="expression" dxfId="222" priority="2339">
      <formula>$JV$56=TRUE()</formula>
    </cfRule>
  </conditionalFormatting>
  <conditionalFormatting sqref="CZ56:DC56">
    <cfRule type="expression" dxfId="221" priority="18">
      <formula>KB56=TRUE()</formula>
    </cfRule>
    <cfRule type="expression" dxfId="220" priority="2340">
      <formula>$JW$56=TRUE()</formula>
    </cfRule>
  </conditionalFormatting>
  <conditionalFormatting sqref="BN65:BQ66">
    <cfRule type="cellIs" dxfId="219" priority="233" operator="equal">
      <formula>$ET$17</formula>
    </cfRule>
  </conditionalFormatting>
  <conditionalFormatting sqref="CZ60:DC61">
    <cfRule type="cellIs" dxfId="218" priority="232" operator="equal">
      <formula>$ET$17</formula>
    </cfRule>
  </conditionalFormatting>
  <conditionalFormatting sqref="CZ68:DA70">
    <cfRule type="cellIs" dxfId="217" priority="231" operator="equal">
      <formula>$ET$17</formula>
    </cfRule>
  </conditionalFormatting>
  <conditionalFormatting sqref="CZ72:DA74">
    <cfRule type="cellIs" dxfId="216" priority="230" operator="equal">
      <formula>$ET$17</formula>
    </cfRule>
  </conditionalFormatting>
  <conditionalFormatting sqref="CZ76:DA77">
    <cfRule type="cellIs" dxfId="215" priority="229" operator="equal">
      <formula>$ET$17</formula>
    </cfRule>
  </conditionalFormatting>
  <conditionalFormatting sqref="CQ68:CQ70">
    <cfRule type="expression" dxfId="214" priority="228">
      <formula>JT68=TRUE()</formula>
    </cfRule>
  </conditionalFormatting>
  <conditionalFormatting sqref="CQ72:CQ74">
    <cfRule type="expression" dxfId="213" priority="227">
      <formula>JT72=TRUE()</formula>
    </cfRule>
  </conditionalFormatting>
  <conditionalFormatting sqref="CQ76:CQ77">
    <cfRule type="expression" dxfId="212" priority="226">
      <formula>JT76=TRUE()</formula>
    </cfRule>
  </conditionalFormatting>
  <conditionalFormatting sqref="CW68:CW70">
    <cfRule type="expression" dxfId="211" priority="225">
      <formula>JU68=TRUE()</formula>
    </cfRule>
  </conditionalFormatting>
  <conditionalFormatting sqref="CW72:CW74">
    <cfRule type="expression" dxfId="210" priority="224">
      <formula>JU72=TRUE()</formula>
    </cfRule>
  </conditionalFormatting>
  <conditionalFormatting sqref="CW76:CW77">
    <cfRule type="expression" dxfId="209" priority="223">
      <formula>JU76=TRUE()</formula>
    </cfRule>
  </conditionalFormatting>
  <conditionalFormatting sqref="CY23">
    <cfRule type="cellIs" dxfId="208" priority="171" operator="equal">
      <formula>$ET$17</formula>
    </cfRule>
  </conditionalFormatting>
  <conditionalFormatting sqref="CY28">
    <cfRule type="cellIs" dxfId="207" priority="170" operator="equal">
      <formula>$ET$17</formula>
    </cfRule>
  </conditionalFormatting>
  <conditionalFormatting sqref="CY32">
    <cfRule type="cellIs" dxfId="206" priority="169" operator="equal">
      <formula>$ET$17</formula>
    </cfRule>
  </conditionalFormatting>
  <conditionalFormatting sqref="CY38">
    <cfRule type="cellIs" dxfId="205" priority="168" operator="equal">
      <formula>$ET$17</formula>
    </cfRule>
  </conditionalFormatting>
  <conditionalFormatting sqref="CY43">
    <cfRule type="cellIs" dxfId="204" priority="167" operator="equal">
      <formula>$ET$17</formula>
    </cfRule>
  </conditionalFormatting>
  <conditionalFormatting sqref="CY47">
    <cfRule type="cellIs" dxfId="203" priority="166" operator="equal">
      <formula>$ET$17</formula>
    </cfRule>
  </conditionalFormatting>
  <conditionalFormatting sqref="CY53">
    <cfRule type="cellIs" dxfId="202" priority="165" operator="equal">
      <formula>$ET$17</formula>
    </cfRule>
  </conditionalFormatting>
  <conditionalFormatting sqref="CY56">
    <cfRule type="cellIs" dxfId="201" priority="164" operator="equal">
      <formula>$ET$17</formula>
    </cfRule>
  </conditionalFormatting>
  <conditionalFormatting sqref="CD25">
    <cfRule type="cellIs" dxfId="200" priority="163" operator="equal">
      <formula>$ET$16</formula>
    </cfRule>
  </conditionalFormatting>
  <conditionalFormatting sqref="CF25:CG27">
    <cfRule type="expression" dxfId="199" priority="157">
      <formula>OR(CF25=$ET$17,CF25=$ET$39)</formula>
    </cfRule>
  </conditionalFormatting>
  <conditionalFormatting sqref="CD41">
    <cfRule type="cellIs" dxfId="198" priority="149" operator="equal">
      <formula>$ET$16</formula>
    </cfRule>
  </conditionalFormatting>
  <conditionalFormatting sqref="CD57">
    <cfRule type="cellIs" dxfId="197" priority="148" operator="equal">
      <formula>$ET$16</formula>
    </cfRule>
  </conditionalFormatting>
  <conditionalFormatting sqref="CC25">
    <cfRule type="cellIs" dxfId="196" priority="145" operator="equal">
      <formula>$ET$17</formula>
    </cfRule>
  </conditionalFormatting>
  <conditionalFormatting sqref="CC41">
    <cfRule type="cellIs" dxfId="195" priority="144" operator="equal">
      <formula>$ET$17</formula>
    </cfRule>
  </conditionalFormatting>
  <conditionalFormatting sqref="CC57">
    <cfRule type="cellIs" dxfId="194" priority="143" operator="equal">
      <formula>$ET$17</formula>
    </cfRule>
  </conditionalFormatting>
  <conditionalFormatting sqref="CF41:CG43">
    <cfRule type="expression" dxfId="193" priority="142">
      <formula>OR(CF41=$ET$17,CF41=$ET$39)</formula>
    </cfRule>
  </conditionalFormatting>
  <conditionalFormatting sqref="CF57:CG59">
    <cfRule type="expression" dxfId="192" priority="141">
      <formula>OR(CF57=$ET$17,CF57=$ET$39)</formula>
    </cfRule>
  </conditionalFormatting>
  <conditionalFormatting sqref="CC15">
    <cfRule type="expression" dxfId="191" priority="140">
      <formula>$IL$15=TRUE()</formula>
    </cfRule>
  </conditionalFormatting>
  <conditionalFormatting sqref="CC17:CG17">
    <cfRule type="expression" dxfId="190" priority="139">
      <formula>$IL$17=TRUE()</formula>
    </cfRule>
  </conditionalFormatting>
  <conditionalFormatting sqref="CC20">
    <cfRule type="expression" dxfId="189" priority="138">
      <formula>$IL$20=TRUE()</formula>
    </cfRule>
  </conditionalFormatting>
  <conditionalFormatting sqref="BV25:BV27">
    <cfRule type="expression" dxfId="188" priority="135">
      <formula>IN24=TRUE()</formula>
    </cfRule>
    <cfRule type="expression" dxfId="187" priority="137">
      <formula>IM24=TRUE()</formula>
    </cfRule>
  </conditionalFormatting>
  <conditionalFormatting sqref="BW25:BW27">
    <cfRule type="expression" dxfId="186" priority="134">
      <formula>IP24=TRUE()</formula>
    </cfRule>
    <cfRule type="expression" dxfId="185" priority="136">
      <formula>IO24=TRUE()</formula>
    </cfRule>
  </conditionalFormatting>
  <conditionalFormatting sqref="BY25:BY27">
    <cfRule type="expression" dxfId="184" priority="133">
      <formula>IL24=TRUE()</formula>
    </cfRule>
  </conditionalFormatting>
  <conditionalFormatting sqref="CA25:CA27">
    <cfRule type="expression" dxfId="183" priority="131">
      <formula>IR24=TRUE()</formula>
    </cfRule>
    <cfRule type="expression" dxfId="182" priority="132">
      <formula>IQ24=TRUE()</formula>
    </cfRule>
  </conditionalFormatting>
  <conditionalFormatting sqref="CC31">
    <cfRule type="expression" dxfId="181" priority="130">
      <formula>$IL$30=TRUE()</formula>
    </cfRule>
  </conditionalFormatting>
  <conditionalFormatting sqref="CC33:CG33">
    <cfRule type="expression" dxfId="180" priority="129">
      <formula>$IL$32=TRUE()</formula>
    </cfRule>
  </conditionalFormatting>
  <conditionalFormatting sqref="CC36">
    <cfRule type="expression" dxfId="179" priority="128">
      <formula>$IL$35=TRUE()</formula>
    </cfRule>
  </conditionalFormatting>
  <conditionalFormatting sqref="BV41:BV43">
    <cfRule type="expression" dxfId="178" priority="126">
      <formula>IN39=TRUE()</formula>
    </cfRule>
    <cfRule type="expression" dxfId="177" priority="127">
      <formula>IM39=TRUE()</formula>
    </cfRule>
  </conditionalFormatting>
  <conditionalFormatting sqref="BW41:BW43">
    <cfRule type="expression" dxfId="176" priority="124">
      <formula>IP39=TRUE()</formula>
    </cfRule>
    <cfRule type="expression" dxfId="175" priority="125">
      <formula>IO39=TRUE()</formula>
    </cfRule>
  </conditionalFormatting>
  <conditionalFormatting sqref="BY41:BY43">
    <cfRule type="expression" dxfId="174" priority="123">
      <formula>IL39=TRUE()</formula>
    </cfRule>
  </conditionalFormatting>
  <conditionalFormatting sqref="CA41:CA43">
    <cfRule type="expression" dxfId="173" priority="121">
      <formula>IR39=TRUE()</formula>
    </cfRule>
    <cfRule type="expression" dxfId="172" priority="122">
      <formula>IQ39=TRUE()</formula>
    </cfRule>
  </conditionalFormatting>
  <conditionalFormatting sqref="CC47">
    <cfRule type="expression" dxfId="171" priority="120">
      <formula>$IL$45=TRUE()</formula>
    </cfRule>
  </conditionalFormatting>
  <conditionalFormatting sqref="CC49:CG49">
    <cfRule type="expression" dxfId="170" priority="119">
      <formula>$IL$47=TRUE()</formula>
    </cfRule>
  </conditionalFormatting>
  <conditionalFormatting sqref="CC52">
    <cfRule type="expression" dxfId="169" priority="118">
      <formula>$IL$50=TRUE()</formula>
    </cfRule>
  </conditionalFormatting>
  <conditionalFormatting sqref="BV57:BV59">
    <cfRule type="expression" dxfId="168" priority="116">
      <formula>IN54=TRUE()</formula>
    </cfRule>
    <cfRule type="expression" dxfId="167" priority="117">
      <formula>IM54=TRUE()</formula>
    </cfRule>
  </conditionalFormatting>
  <conditionalFormatting sqref="BW57:BW59">
    <cfRule type="expression" dxfId="166" priority="114">
      <formula>IP54=TRUE()</formula>
    </cfRule>
    <cfRule type="expression" dxfId="165" priority="115">
      <formula>IO54=TRUE()</formula>
    </cfRule>
  </conditionalFormatting>
  <conditionalFormatting sqref="BY57:BY59">
    <cfRule type="expression" dxfId="164" priority="113">
      <formula>IL54=TRUE()</formula>
    </cfRule>
  </conditionalFormatting>
  <conditionalFormatting sqref="CA57:CA59">
    <cfRule type="expression" dxfId="163" priority="111">
      <formula>IR54=TRUE()</formula>
    </cfRule>
    <cfRule type="expression" dxfId="162" priority="112">
      <formula>IQ54=TRUE()</formula>
    </cfRule>
  </conditionalFormatting>
  <conditionalFormatting sqref="CA65">
    <cfRule type="expression" dxfId="161" priority="104">
      <formula>$IL$63=TRUE()</formula>
    </cfRule>
    <cfRule type="expression" dxfId="160" priority="109">
      <formula>$IL$62=TRUE()</formula>
    </cfRule>
  </conditionalFormatting>
  <conditionalFormatting sqref="CA66">
    <cfRule type="expression" dxfId="159" priority="103">
      <formula>$IM$63=TRUE()</formula>
    </cfRule>
    <cfRule type="expression" dxfId="158" priority="108">
      <formula>$IM$62=TRUE()</formula>
    </cfRule>
  </conditionalFormatting>
  <conditionalFormatting sqref="CA67">
    <cfRule type="expression" dxfId="157" priority="102">
      <formula>$IN$63=TRUE()</formula>
    </cfRule>
    <cfRule type="expression" dxfId="156" priority="107">
      <formula>$IN$62=TRUE()</formula>
    </cfRule>
  </conditionalFormatting>
  <conditionalFormatting sqref="CA68">
    <cfRule type="expression" dxfId="155" priority="101">
      <formula>$IO$63=TRUE()</formula>
    </cfRule>
    <cfRule type="expression" dxfId="154" priority="105">
      <formula>$IO$62=TRUE()</formula>
    </cfRule>
  </conditionalFormatting>
  <conditionalFormatting sqref="CD65">
    <cfRule type="expression" dxfId="153" priority="100">
      <formula>$IG$68&gt;3%</formula>
    </cfRule>
  </conditionalFormatting>
  <conditionalFormatting sqref="CD66">
    <cfRule type="expression" dxfId="152" priority="99">
      <formula>$IH$68&gt;3%</formula>
    </cfRule>
  </conditionalFormatting>
  <conditionalFormatting sqref="CD67">
    <cfRule type="expression" dxfId="151" priority="98">
      <formula>$II$68&gt;3%</formula>
    </cfRule>
  </conditionalFormatting>
  <conditionalFormatting sqref="CD68">
    <cfRule type="expression" dxfId="150" priority="97">
      <formula>$IJ$68&gt;3%</formula>
    </cfRule>
  </conditionalFormatting>
  <conditionalFormatting sqref="DU22">
    <cfRule type="cellIs" dxfId="149" priority="95" operator="equal">
      <formula>$ET$17</formula>
    </cfRule>
  </conditionalFormatting>
  <conditionalFormatting sqref="DU28">
    <cfRule type="cellIs" dxfId="148" priority="94" operator="equal">
      <formula>$ET$17</formula>
    </cfRule>
  </conditionalFormatting>
  <conditionalFormatting sqref="DU36">
    <cfRule type="cellIs" dxfId="147" priority="93" operator="equal">
      <formula>$ET$17</formula>
    </cfRule>
  </conditionalFormatting>
  <conditionalFormatting sqref="DU42">
    <cfRule type="cellIs" dxfId="146" priority="92" operator="equal">
      <formula>$ET$17</formula>
    </cfRule>
  </conditionalFormatting>
  <conditionalFormatting sqref="DV46:DY47">
    <cfRule type="cellIs" dxfId="145" priority="91" operator="equal">
      <formula>$ET$17</formula>
    </cfRule>
  </conditionalFormatting>
  <conditionalFormatting sqref="DV54:DW54">
    <cfRule type="cellIs" dxfId="144" priority="90" operator="equal">
      <formula>$ET$17</formula>
    </cfRule>
  </conditionalFormatting>
  <conditionalFormatting sqref="DV55:DW55">
    <cfRule type="cellIs" dxfId="143" priority="89" operator="equal">
      <formula>$ET$17</formula>
    </cfRule>
  </conditionalFormatting>
  <conditionalFormatting sqref="DV57:DW57">
    <cfRule type="cellIs" dxfId="142" priority="88" operator="equal">
      <formula>$ET$17</formula>
    </cfRule>
  </conditionalFormatting>
  <conditionalFormatting sqref="DV58:DW58">
    <cfRule type="cellIs" dxfId="141" priority="87" operator="equal">
      <formula>$ET$17</formula>
    </cfRule>
  </conditionalFormatting>
  <conditionalFormatting sqref="DG22:DI22">
    <cfRule type="expression" dxfId="140" priority="86">
      <formula>$KZ$22=TRUE()</formula>
    </cfRule>
  </conditionalFormatting>
  <conditionalFormatting sqref="DK22:DM22">
    <cfRule type="expression" dxfId="139" priority="85">
      <formula>$LA$22=TRUE()</formula>
    </cfRule>
  </conditionalFormatting>
  <conditionalFormatting sqref="DO22:DQ22">
    <cfRule type="expression" dxfId="138" priority="65">
      <formula>$LB$24=TRUE()</formula>
    </cfRule>
    <cfRule type="expression" dxfId="137" priority="66">
      <formula>$LB$23=TRUE()</formula>
    </cfRule>
    <cfRule type="expression" dxfId="136" priority="84">
      <formula>$LB$22=TRUE()</formula>
    </cfRule>
  </conditionalFormatting>
  <conditionalFormatting sqref="DS22">
    <cfRule type="expression" dxfId="135" priority="83">
      <formula>$LC$22=TRUE()</formula>
    </cfRule>
  </conditionalFormatting>
  <conditionalFormatting sqref="DV22:DY22">
    <cfRule type="expression" dxfId="134" priority="17">
      <formula>LI22=TRUE()</formula>
    </cfRule>
    <cfRule type="expression" dxfId="133" priority="82">
      <formula>$LD$22=TRUE()</formula>
    </cfRule>
  </conditionalFormatting>
  <conditionalFormatting sqref="DG28:DI28">
    <cfRule type="expression" dxfId="132" priority="81">
      <formula>$KZ$28=TRUE()</formula>
    </cfRule>
  </conditionalFormatting>
  <conditionalFormatting sqref="DK28:DM28">
    <cfRule type="expression" dxfId="131" priority="79">
      <formula>$LA$28=TRUE()</formula>
    </cfRule>
  </conditionalFormatting>
  <conditionalFormatting sqref="DO28:DQ28">
    <cfRule type="expression" dxfId="130" priority="63">
      <formula>$LB$30=TRUE()</formula>
    </cfRule>
    <cfRule type="expression" dxfId="129" priority="64">
      <formula>$LB$29=TRUE()</formula>
    </cfRule>
    <cfRule type="expression" dxfId="128" priority="78">
      <formula>$LB$28=TRUE()</formula>
    </cfRule>
  </conditionalFormatting>
  <conditionalFormatting sqref="DS28">
    <cfRule type="expression" dxfId="127" priority="77">
      <formula>$LC$28=TRUE()</formula>
    </cfRule>
  </conditionalFormatting>
  <conditionalFormatting sqref="DV28:DY28">
    <cfRule type="expression" dxfId="126" priority="16">
      <formula>LI28=TRUE()</formula>
    </cfRule>
    <cfRule type="expression" dxfId="125" priority="76">
      <formula>$LD$28=TRUE()</formula>
    </cfRule>
  </conditionalFormatting>
  <conditionalFormatting sqref="DG36:DI36">
    <cfRule type="expression" dxfId="124" priority="75">
      <formula>$KZ$36=TRUE()</formula>
    </cfRule>
  </conditionalFormatting>
  <conditionalFormatting sqref="DK36:DM36">
    <cfRule type="expression" dxfId="123" priority="74">
      <formula>$LA$36=TRUE()</formula>
    </cfRule>
  </conditionalFormatting>
  <conditionalFormatting sqref="DO36:DQ36">
    <cfRule type="expression" dxfId="122" priority="61">
      <formula>$LB$38=TRUE()</formula>
    </cfRule>
    <cfRule type="expression" dxfId="121" priority="62">
      <formula>$LB$37=TRUE()</formula>
    </cfRule>
    <cfRule type="expression" dxfId="120" priority="73">
      <formula>$LB$36=TRUE()</formula>
    </cfRule>
  </conditionalFormatting>
  <conditionalFormatting sqref="DV36:DY36">
    <cfRule type="expression" dxfId="119" priority="15">
      <formula>LI36=TRUE()</formula>
    </cfRule>
    <cfRule type="expression" dxfId="118" priority="72">
      <formula>$LD$36=TRUE()</formula>
    </cfRule>
  </conditionalFormatting>
  <conditionalFormatting sqref="DG42:DI42">
    <cfRule type="expression" dxfId="117" priority="71">
      <formula>$KZ$42=TRUE()</formula>
    </cfRule>
  </conditionalFormatting>
  <conditionalFormatting sqref="DK42:DM42">
    <cfRule type="expression" dxfId="116" priority="70">
      <formula>$LA$42=TRUE()</formula>
    </cfRule>
  </conditionalFormatting>
  <conditionalFormatting sqref="DO42:DQ42">
    <cfRule type="expression" dxfId="115" priority="59">
      <formula>$LB$44=TRUE()</formula>
    </cfRule>
    <cfRule type="expression" dxfId="114" priority="60">
      <formula>$LB$43=TRUE()</formula>
    </cfRule>
    <cfRule type="expression" dxfId="113" priority="69">
      <formula>$LB$42=TRUE()</formula>
    </cfRule>
  </conditionalFormatting>
  <conditionalFormatting sqref="DV42:DY42">
    <cfRule type="expression" dxfId="112" priority="14">
      <formula>LI42=TRUE()</formula>
    </cfRule>
    <cfRule type="expression" dxfId="111" priority="68">
      <formula>$LD$42=TRUE()</formula>
    </cfRule>
  </conditionalFormatting>
  <conditionalFormatting sqref="AI85:AT85">
    <cfRule type="cellIs" dxfId="110" priority="52" operator="equal">
      <formula>$ET$16</formula>
    </cfRule>
  </conditionalFormatting>
  <conditionalFormatting sqref="AI89:AK89">
    <cfRule type="cellIs" dxfId="109" priority="51" operator="equal">
      <formula>$ET$16</formula>
    </cfRule>
  </conditionalFormatting>
  <conditionalFormatting sqref="AI91:AK91">
    <cfRule type="cellIs" dxfId="108" priority="50" operator="equal">
      <formula>$ET$16</formula>
    </cfRule>
  </conditionalFormatting>
  <conditionalFormatting sqref="AI95:AK95">
    <cfRule type="cellIs" dxfId="107" priority="49" operator="equal">
      <formula>$ET$16</formula>
    </cfRule>
  </conditionalFormatting>
  <conditionalFormatting sqref="AM95:AO95">
    <cfRule type="cellIs" dxfId="106" priority="48" operator="equal">
      <formula>$ET$16</formula>
    </cfRule>
  </conditionalFormatting>
  <conditionalFormatting sqref="AA29:AB68 X29:Y68 AA71:AB80 X71:Y80">
    <cfRule type="expression" dxfId="105" priority="3184">
      <formula>$AC29=$ET$13</formula>
    </cfRule>
  </conditionalFormatting>
  <conditionalFormatting sqref="BM26">
    <cfRule type="expression" dxfId="104" priority="3188">
      <formula>$BM$26=$ET$17</formula>
    </cfRule>
  </conditionalFormatting>
  <conditionalFormatting sqref="T52">
    <cfRule type="expression" dxfId="103" priority="3189">
      <formula>AND($T$52=$ET$50,$D$65&gt;3)</formula>
    </cfRule>
  </conditionalFormatting>
  <conditionalFormatting sqref="T49">
    <cfRule type="expression" dxfId="102" priority="3190">
      <formula>AND($T$49=$ET$50,OR($D$65=4,$D$65=6))</formula>
    </cfRule>
  </conditionalFormatting>
  <conditionalFormatting sqref="G47:H47">
    <cfRule type="expression" dxfId="101" priority="3191">
      <formula>AND($G$47="",$T$43=$ET$54)</formula>
    </cfRule>
  </conditionalFormatting>
  <conditionalFormatting sqref="J47:P47">
    <cfRule type="expression" dxfId="100" priority="3192">
      <formula>AND(ISTEXT($J$47),$T$43=$ET$55)</formula>
    </cfRule>
  </conditionalFormatting>
  <conditionalFormatting sqref="T50">
    <cfRule type="expression" dxfId="99" priority="3193">
      <formula>AND(ISBLANK($T$50),$T$49=$ET$51)</formula>
    </cfRule>
    <cfRule type="expression" dxfId="98" priority="3194">
      <formula>AND(ISTEXT($T$50),$T$49=$ET$50)</formula>
    </cfRule>
  </conditionalFormatting>
  <conditionalFormatting sqref="T53:T55">
    <cfRule type="expression" dxfId="97" priority="3195">
      <formula>AND($T$52=$ET$51,ISBLANK($T$53))</formula>
    </cfRule>
    <cfRule type="expression" dxfId="96" priority="3196">
      <formula>AND($T$52=$ET$50,ISTEXT($T$53))</formula>
    </cfRule>
  </conditionalFormatting>
  <conditionalFormatting sqref="AG71:AG80">
    <cfRule type="expression" dxfId="95" priority="3197">
      <formula>AND(ISNUMBER(AB71),AND(AD71=$ET$50,AG71=""))</formula>
    </cfRule>
    <cfRule type="expression" dxfId="94" priority="3198">
      <formula>AND(ISNUMBER(AG71),OR($AD$29=$ET$51,AB71=""))</formula>
    </cfRule>
  </conditionalFormatting>
  <conditionalFormatting sqref="BD82:BD84 BD86:BD87 BD78:BD80">
    <cfRule type="expression" dxfId="93" priority="3205">
      <formula>HD75=TRUE()</formula>
    </cfRule>
  </conditionalFormatting>
  <conditionalFormatting sqref="AY52:AZ52">
    <cfRule type="expression" dxfId="92" priority="3209">
      <formula>$HD$51=TRUE()</formula>
    </cfRule>
  </conditionalFormatting>
  <conditionalFormatting sqref="BB52:BG52">
    <cfRule type="expression" dxfId="91" priority="3210">
      <formula>$HE$51=TRUE()</formula>
    </cfRule>
  </conditionalFormatting>
  <conditionalFormatting sqref="BI52">
    <cfRule type="expression" dxfId="90" priority="10">
      <formula>$HF$53=TRUE()</formula>
    </cfRule>
    <cfRule type="expression" dxfId="89" priority="3211">
      <formula>$HF$52=TRUE()</formula>
    </cfRule>
    <cfRule type="expression" dxfId="88" priority="3212">
      <formula>$HF$51=TRUE()</formula>
    </cfRule>
  </conditionalFormatting>
  <conditionalFormatting sqref="BK52">
    <cfRule type="expression" dxfId="87" priority="3213">
      <formula>$HG$54=TRUE()</formula>
    </cfRule>
    <cfRule type="expression" dxfId="86" priority="3214">
      <formula>$HG$53=TRUE()</formula>
    </cfRule>
    <cfRule type="expression" dxfId="85" priority="3215">
      <formula>$HG$52=TRUE()</formula>
    </cfRule>
    <cfRule type="expression" dxfId="84" priority="3216">
      <formula>$HG$51=TRUE()</formula>
    </cfRule>
  </conditionalFormatting>
  <conditionalFormatting sqref="BN52:BQ52">
    <cfRule type="expression" dxfId="83" priority="42">
      <formula>HM51=TRUE()</formula>
    </cfRule>
    <cfRule type="expression" dxfId="82" priority="3217">
      <formula>$HH$51=TRUE()</formula>
    </cfRule>
  </conditionalFormatting>
  <conditionalFormatting sqref="AY47:AZ47">
    <cfRule type="expression" dxfId="81" priority="3218">
      <formula>$HD$46=TRUE()</formula>
    </cfRule>
  </conditionalFormatting>
  <conditionalFormatting sqref="BB47:BG47">
    <cfRule type="expression" dxfId="80" priority="3219">
      <formula>$HE$46=TRUE()</formula>
    </cfRule>
  </conditionalFormatting>
  <conditionalFormatting sqref="BI47">
    <cfRule type="expression" dxfId="79" priority="11">
      <formula>$HF$48=TRUE()</formula>
    </cfRule>
    <cfRule type="expression" dxfId="78" priority="3220">
      <formula>$HF$47=TRUE()</formula>
    </cfRule>
    <cfRule type="expression" dxfId="77" priority="3221">
      <formula>$HF$46=TRUE()</formula>
    </cfRule>
  </conditionalFormatting>
  <conditionalFormatting sqref="BK47">
    <cfRule type="expression" dxfId="76" priority="3222">
      <formula>$HG$49=TRUE()</formula>
    </cfRule>
    <cfRule type="expression" dxfId="75" priority="3223">
      <formula>$HG$48=TRUE()</formula>
    </cfRule>
    <cfRule type="expression" dxfId="74" priority="3224">
      <formula>$HG$47=TRUE()</formula>
    </cfRule>
    <cfRule type="expression" dxfId="73" priority="3225">
      <formula>$HG$46=TRUE()</formula>
    </cfRule>
  </conditionalFormatting>
  <conditionalFormatting sqref="BN47:BQ47">
    <cfRule type="expression" dxfId="72" priority="43">
      <formula>HM46=TRUE()</formula>
    </cfRule>
    <cfRule type="expression" dxfId="71" priority="3226">
      <formula>$HH$46=TRUE()</formula>
    </cfRule>
  </conditionalFormatting>
  <conditionalFormatting sqref="AX42:BI42">
    <cfRule type="expression" dxfId="70" priority="3227">
      <formula>$HE$42=TRUE()</formula>
    </cfRule>
    <cfRule type="expression" dxfId="69" priority="3228">
      <formula>$HE$41=TRUE()</formula>
    </cfRule>
    <cfRule type="expression" dxfId="68" priority="3229">
      <formula>$HD$41=TRUE()</formula>
    </cfRule>
  </conditionalFormatting>
  <conditionalFormatting sqref="BK42">
    <cfRule type="expression" dxfId="67" priority="3230">
      <formula>$HF$41=TRUE()</formula>
    </cfRule>
  </conditionalFormatting>
  <conditionalFormatting sqref="BN42:BQ42">
    <cfRule type="expression" dxfId="66" priority="44">
      <formula>HM41=TRUE()</formula>
    </cfRule>
    <cfRule type="expression" dxfId="65" priority="3231">
      <formula>$HG$41=TRUE()</formula>
    </cfRule>
  </conditionalFormatting>
  <conditionalFormatting sqref="AY36:AZ36">
    <cfRule type="expression" dxfId="64" priority="3232">
      <formula>$HD$35=TRUE()</formula>
    </cfRule>
  </conditionalFormatting>
  <conditionalFormatting sqref="BB36:BG36">
    <cfRule type="expression" dxfId="63" priority="3233">
      <formula>$HE$35=TRUE()</formula>
    </cfRule>
  </conditionalFormatting>
  <conditionalFormatting sqref="BI36">
    <cfRule type="expression" dxfId="62" priority="12">
      <formula>$HF$37=TRUE()</formula>
    </cfRule>
    <cfRule type="expression" dxfId="61" priority="3234">
      <formula>$HF$36=TRUE()</formula>
    </cfRule>
    <cfRule type="expression" dxfId="60" priority="3235">
      <formula>$HF$35=TRUE()</formula>
    </cfRule>
  </conditionalFormatting>
  <conditionalFormatting sqref="BN36:BQ36">
    <cfRule type="expression" dxfId="59" priority="45">
      <formula>HM35=TRUE()</formula>
    </cfRule>
    <cfRule type="expression" dxfId="58" priority="3236">
      <formula>$HH$35=TRUE()</formula>
    </cfRule>
  </conditionalFormatting>
  <conditionalFormatting sqref="BK36">
    <cfRule type="expression" dxfId="57" priority="3237">
      <formula>$HG$38=TRUE()</formula>
    </cfRule>
    <cfRule type="expression" dxfId="56" priority="3238">
      <formula>$HG$37=TRUE()</formula>
    </cfRule>
    <cfRule type="expression" dxfId="55" priority="3239">
      <formula>$HG$36=TRUE()</formula>
    </cfRule>
    <cfRule type="expression" dxfId="54" priority="3240">
      <formula>$HG$35=TRUE()</formula>
    </cfRule>
  </conditionalFormatting>
  <conditionalFormatting sqref="AY31:AZ31">
    <cfRule type="expression" dxfId="53" priority="3241">
      <formula>$HD$30=ture()</formula>
    </cfRule>
  </conditionalFormatting>
  <conditionalFormatting sqref="BB31:BG31">
    <cfRule type="expression" dxfId="52" priority="3242">
      <formula>$HE$30=TRUE()</formula>
    </cfRule>
  </conditionalFormatting>
  <conditionalFormatting sqref="BI31">
    <cfRule type="expression" dxfId="51" priority="13">
      <formula>$HF$32=TRUE()</formula>
    </cfRule>
    <cfRule type="expression" dxfId="50" priority="3243">
      <formula>$HF$31=TRUE()</formula>
    </cfRule>
    <cfRule type="expression" dxfId="49" priority="3244">
      <formula>$HF$30=TRUE()</formula>
    </cfRule>
  </conditionalFormatting>
  <conditionalFormatting sqref="BK31">
    <cfRule type="expression" dxfId="48" priority="3245">
      <formula>$HG$33=TRUE()</formula>
    </cfRule>
    <cfRule type="expression" dxfId="47" priority="3246">
      <formula>$HG$32=TRUE()</formula>
    </cfRule>
    <cfRule type="expression" dxfId="46" priority="3247">
      <formula>$HG$31=TRUE()</formula>
    </cfRule>
    <cfRule type="expression" dxfId="45" priority="3248">
      <formula>$HG$30=TRUE()</formula>
    </cfRule>
  </conditionalFormatting>
  <conditionalFormatting sqref="BN31:BQ31">
    <cfRule type="expression" dxfId="44" priority="46">
      <formula>HM30=TRUE()</formula>
    </cfRule>
    <cfRule type="expression" dxfId="43" priority="3249">
      <formula>$HH$30=TRUE()</formula>
    </cfRule>
  </conditionalFormatting>
  <conditionalFormatting sqref="AX26:BI26">
    <cfRule type="expression" dxfId="42" priority="3250">
      <formula>$HE$26=TRUE()</formula>
    </cfRule>
    <cfRule type="expression" dxfId="41" priority="3251">
      <formula>$HE$25=TRUE()</formula>
    </cfRule>
    <cfRule type="expression" dxfId="40" priority="3252">
      <formula>$HD$25=TRUE()</formula>
    </cfRule>
  </conditionalFormatting>
  <conditionalFormatting sqref="BK26">
    <cfRule type="expression" dxfId="39" priority="3253">
      <formula>$HF$25=TRUE()</formula>
    </cfRule>
  </conditionalFormatting>
  <conditionalFormatting sqref="BN26:BQ26">
    <cfRule type="expression" dxfId="38" priority="47">
      <formula>HM25=TRUE()</formula>
    </cfRule>
    <cfRule type="expression" dxfId="37" priority="3254">
      <formula>$HG$25=TRUE()</formula>
    </cfRule>
  </conditionalFormatting>
  <conditionalFormatting sqref="BK78:BK80 BK82:BK84 BK86:BK87">
    <cfRule type="expression" dxfId="36" priority="3256">
      <formula>HG75=TRUE()</formula>
    </cfRule>
  </conditionalFormatting>
  <conditionalFormatting sqref="BF69">
    <cfRule type="expression" dxfId="35" priority="38">
      <formula>$HE$68=TRUE()</formula>
    </cfRule>
    <cfRule type="expression" dxfId="34" priority="39">
      <formula>$HD$68=TRUE()</formula>
    </cfRule>
  </conditionalFormatting>
  <conditionalFormatting sqref="BF71">
    <cfRule type="expression" dxfId="33" priority="36">
      <formula>$HE$68=TRUE()</formula>
    </cfRule>
    <cfRule type="expression" dxfId="32" priority="37">
      <formula>$HD$70=TRUE()</formula>
    </cfRule>
  </conditionalFormatting>
  <conditionalFormatting sqref="X16:AD19">
    <cfRule type="expression" dxfId="31" priority="3259">
      <formula>AND($D$65&gt;3,$T$52=$ET$50)</formula>
    </cfRule>
    <cfRule type="expression" dxfId="30" priority="3260">
      <formula>OR($D$65=6,OR($T$52=$ET$50,$T$53=$ET$55))</formula>
    </cfRule>
  </conditionalFormatting>
  <conditionalFormatting sqref="EM27:EO27">
    <cfRule type="expression" dxfId="29" priority="35">
      <formula>$LR$27=TRUE()</formula>
    </cfRule>
  </conditionalFormatting>
  <conditionalFormatting sqref="EM29">
    <cfRule type="expression" dxfId="28" priority="34">
      <formula>$LR$29=TRUE()</formula>
    </cfRule>
  </conditionalFormatting>
  <conditionalFormatting sqref="EM35:EO35">
    <cfRule type="expression" dxfId="27" priority="33">
      <formula>$LR$35=TRUE()</formula>
    </cfRule>
  </conditionalFormatting>
  <conditionalFormatting sqref="EM37">
    <cfRule type="expression" dxfId="26" priority="32">
      <formula>$LR$37=TRUE()</formula>
    </cfRule>
  </conditionalFormatting>
  <conditionalFormatting sqref="EM44:EO44">
    <cfRule type="expression" dxfId="25" priority="31">
      <formula>$LR$44=TRUE()</formula>
    </cfRule>
  </conditionalFormatting>
  <conditionalFormatting sqref="EM46">
    <cfRule type="expression" dxfId="24" priority="30">
      <formula>$LR$46=TRUE()</formula>
    </cfRule>
  </conditionalFormatting>
  <conditionalFormatting sqref="EM52:EO52">
    <cfRule type="expression" dxfId="23" priority="29">
      <formula>$LR$52=TRUE()</formula>
    </cfRule>
  </conditionalFormatting>
  <conditionalFormatting sqref="EM54">
    <cfRule type="expression" dxfId="22" priority="28">
      <formula>$LR$54=TRUE()</formula>
    </cfRule>
  </conditionalFormatting>
  <conditionalFormatting sqref="AI84:AT84">
    <cfRule type="expression" dxfId="21" priority="3314">
      <formula>AND(FM24&gt;0,COUNTIF(AI29:AI68,$ET$14)+COUNTIF(AI71:AI80,$ET$14)&gt;0)</formula>
    </cfRule>
    <cfRule type="expression" dxfId="20" priority="3315">
      <formula>AND(FM24=3,COUNTIF(AI29:AI68,$ET$14)+COUNTIF(AI71:AI80,$ET$14)&gt;0)</formula>
    </cfRule>
  </conditionalFormatting>
  <conditionalFormatting sqref="AI83:AT83">
    <cfRule type="expression" dxfId="19" priority="3316">
      <formula>AND(FM24&gt;0,COUNTIF(AI29:AI68,$ET$14)+COUNTIF(AI71:AI80,$ET$14)&gt;0)</formula>
    </cfRule>
    <cfRule type="expression" dxfId="18" priority="3317">
      <formula>AND(FM24=3,COUNTIF(AI29:AI68,$ET$14)+COUNTIF(AI71:AI80,$ET$14)&gt;0)</formula>
    </cfRule>
  </conditionalFormatting>
  <conditionalFormatting sqref="IQ27">
    <cfRule type="expression" dxfId="17" priority="3428">
      <formula>AND(ISBLANK($CA$65),$IG$66&gt;0)</formula>
    </cfRule>
  </conditionalFormatting>
  <conditionalFormatting sqref="BN20:BQ20">
    <cfRule type="expression" dxfId="16" priority="3430">
      <formula>HM17=TRUE()</formula>
    </cfRule>
  </conditionalFormatting>
  <conditionalFormatting sqref="BN23">
    <cfRule type="expression" dxfId="15" priority="3432">
      <formula>#REF!=TRUE()</formula>
    </cfRule>
  </conditionalFormatting>
  <conditionalFormatting sqref="CZ23:DC23">
    <cfRule type="expression" dxfId="14" priority="2304">
      <formula>KB23=TRUE()</formula>
    </cfRule>
    <cfRule type="expression" dxfId="13" priority="3434">
      <formula>$JW$22=TRUE()</formula>
    </cfRule>
  </conditionalFormatting>
  <conditionalFormatting sqref="CZ17:DC17">
    <cfRule type="expression" dxfId="12" priority="3435">
      <formula>KB17=TRUE()</formula>
    </cfRule>
  </conditionalFormatting>
  <conditionalFormatting sqref="CZ43:DC43">
    <cfRule type="expression" dxfId="11" priority="21">
      <formula>KB43=TRUE()</formula>
    </cfRule>
    <cfRule type="expression" dxfId="10" priority="22">
      <formula>$JW$43=TRUE()</formula>
    </cfRule>
  </conditionalFormatting>
  <conditionalFormatting sqref="DV16:DY19">
    <cfRule type="expression" dxfId="9" priority="3436">
      <formula>LI16=TRUE()</formula>
    </cfRule>
  </conditionalFormatting>
  <conditionalFormatting sqref="BN78:BQ80">
    <cfRule type="cellIs" dxfId="8" priority="9" operator="equal">
      <formula>$ET$17</formula>
    </cfRule>
  </conditionalFormatting>
  <conditionalFormatting sqref="BN82:BQ84">
    <cfRule type="cellIs" dxfId="7" priority="8" operator="equal">
      <formula>$ET$17</formula>
    </cfRule>
  </conditionalFormatting>
  <conditionalFormatting sqref="BN86:BQ87">
    <cfRule type="cellIs" dxfId="6" priority="7" operator="equal">
      <formula>$ET$17</formula>
    </cfRule>
  </conditionalFormatting>
  <conditionalFormatting sqref="AI27:AT27">
    <cfRule type="expression" dxfId="5" priority="6">
      <formula>OR($X$16=$FZ$86,OR($X$16=$FZ$87,$X$16=$FZ$88))</formula>
    </cfRule>
  </conditionalFormatting>
  <conditionalFormatting sqref="AC88">
    <cfRule type="cellIs" dxfId="4" priority="5" operator="equal">
      <formula>$ET$17</formula>
    </cfRule>
  </conditionalFormatting>
  <conditionalFormatting sqref="BI69">
    <cfRule type="expression" dxfId="3" priority="4">
      <formula>$HE$68=TRUE()</formula>
    </cfRule>
    <cfRule type="expression" dxfId="2" priority="3">
      <formula>$HG$68=TRUE()</formula>
    </cfRule>
  </conditionalFormatting>
  <conditionalFormatting sqref="BI71">
    <cfRule type="expression" dxfId="1" priority="2">
      <formula>$HE$68=TRUE()</formula>
    </cfRule>
    <cfRule type="expression" dxfId="0" priority="1">
      <formula>$HG$70=TRUE()</formula>
    </cfRule>
  </conditionalFormatting>
  <dataValidations count="31">
    <dataValidation type="list" allowBlank="1" showErrorMessage="1" errorTitle="Invalid input" error="Only Yes or No can be selected" sqref="T49 T52 AD71:AD80">
      <formula1>BC_YN</formula1>
    </dataValidation>
    <dataValidation type="list" allowBlank="1" showErrorMessage="1" errorTitle="Invalid input" error="Only &quot;None&quot; (without a fan or evaporative cooler), &quot;Fan&quot;(with a fan), or &quot;Evap&quot; (with an evaporative cooler) can be used" sqref="AI25:AT25">
      <formula1>BC_FanEvap</formula1>
    </dataValidation>
    <dataValidation type="list" allowBlank="1" showErrorMessage="1" errorTitle="Invalid input" error="Only nominate if glazing is existing, all other glazing presumed as new." sqref="AC71:AC80 AC29:AC68">
      <formula1>$ET$13</formula1>
    </dataValidation>
    <dataValidation type="list" allowBlank="1" showErrorMessage="1" errorTitle="Invalid input" error="Only a &quot;Dot&quot; can be used." sqref="AI29:AT68 AI71:AT80">
      <formula1>$ET$14</formula1>
    </dataValidation>
    <dataValidation type="list" allowBlank="1" showErrorMessage="1" errorTitle="Invalid input" error="Select from the drop-down menu." sqref="T61 T32:T35 T29:T30 T40:T41 T43:T47 T37:T38 T57:T59 T21:T27">
      <formula1>BC_Apply</formula1>
    </dataValidation>
    <dataValidation type="list" allowBlank="1" showErrorMessage="1" errorTitle="Invalid input" error="Only Yes or No can be selected" sqref="AD29:AD68">
      <formula1>IF(AC29=$ET$13,BC_YN,"")</formula1>
    </dataValidation>
    <dataValidation type="decimal" allowBlank="1" showErrorMessage="1" errorTitle="Invalid input" error="Only a number can be entered." sqref="BK42 BK26">
      <formula1>0</formula1>
      <formula2>10</formula2>
    </dataValidation>
    <dataValidation type="list" allowBlank="1" showErrorMessage="1" errorTitle="Invaild input" error="Select from drop-down menu." sqref="AY31:AZ31 AY36:AZ36 AY47:AZ47 AY52:AZ52">
      <formula1>BC_RoofCover</formula1>
    </dataValidation>
    <dataValidation type="list" allowBlank="1" showErrorMessage="1" errorTitle="Invalid input" error="Select from drop-down menu." sqref="BB31:BG31 BB36:BG36 BB47:BG47 BB52:BG52">
      <formula1>BC_RoofCeiling</formula1>
    </dataValidation>
    <dataValidation type="list" allowBlank="1" showErrorMessage="1" errorTitle="Invalid input" error="Select from drop-down menu." sqref="BI36 BI52 BI31 BI47">
      <formula1>BC_RoofVent</formula1>
    </dataValidation>
    <dataValidation type="list" allowBlank="1" showErrorMessage="1" errorTitle="Invalid input" error="Select from menu." sqref="BK61 BK58">
      <formula1>BC_RoofAbs</formula1>
    </dataValidation>
    <dataValidation type="list" allowBlank="1" showErrorMessage="1" errorTitle="Invalid input" error="Only use yes or no." sqref="BK78:BK80 BK82:BK84 BK86:BK87 CW68:CW70 CW72:CW74 CW76:CW77">
      <formula1>BC_YN</formula1>
    </dataValidation>
    <dataValidation type="list" allowBlank="1" showErrorMessage="1" errorTitle="Invalid input" error="Select from drop-down menu." sqref="CW28 CW32 CW43 CW47 CW53 CW56">
      <formula1>BC_WallShade</formula1>
    </dataValidation>
    <dataValidation type="list" allowBlank="1" showErrorMessage="1" errorTitle="Invalid input" error="Only BCA Fig 3.12.1.3 wall construction descriptions can be used (some not included)." sqref="CK56:CU56 CK53:CU53 CK38:CU38 CK23:CU23">
      <formula1>BC_WallConst</formula1>
    </dataValidation>
    <dataValidation type="list" allowBlank="1" showErrorMessage="1" errorTitle="Invalid input" error="Descriptions limited to drop-down menu selection." sqref="CL47:CU47 CL32:CU32">
      <formula1>IF(CK23=$IT$29,BC_WallAlt_WB,IF(CK23=$IT$35,BC_WallAlt_FC,IF(CK23=$IT$41,BC_WallAlt_BV,IF(CK23=$IT$47,BC_WallAlt_C,BC_WallAlt_RBV))))</formula1>
    </dataValidation>
    <dataValidation type="list" allowBlank="1" showErrorMessage="1" errorTitle="Invalid input" error="Descriptions limited to drop-down menu selection." sqref="CL43:CU43 CL28:CU28">
      <formula1>IF(CK23=$IT$29,BC_WallAlt_WB,IF(CK23=$IT$35,BC_WallAlt_FC,IF(CK23=$IT$41,BC_WallAlt_BV,IF(CK23=$IT$47,BC_WallAlt_C,BC_WallAlt_RBV))))</formula1>
    </dataValidation>
    <dataValidation type="whole" allowBlank="1" showErrorMessage="1" errorTitle="Invalid input" error="Enter dimension in millimetres." sqref="BV57:BW59 BY57:BY59 CA57:CA59 BV25:BW27 BY25:BY27 CA25:CA27 BV41:BW43 BY41:BY43 CA41:CA43">
      <formula1>0</formula1>
      <formula2>5000</formula2>
    </dataValidation>
    <dataValidation type="list" allowBlank="1" showErrorMessage="1" errorTitle="Invaild input" error="Storey description limited to drop-down list." sqref="CC15 CC31 CC47">
      <formula1>BC_Storeys</formula1>
    </dataValidation>
    <dataValidation type="list" allowBlank="1" showErrorMessage="1" errorTitle="Invalid input" error="Select from drop-down menu." sqref="DG22:DI22 DG28:DI28 DG36:DI36 DG42:DI42">
      <formula1>BC_Floor_Type</formula1>
    </dataValidation>
    <dataValidation type="list" allowBlank="1" showErrorMessage="1" errorTitle="Invalid input" error="Select from drop-down menu." sqref="DK22:DM22 DK28:DM28 DK36:DM36 DK42:DM42">
      <formula1>BC_Floor_EncloseHt</formula1>
    </dataValidation>
    <dataValidation type="list" allowBlank="1" showErrorMessage="1" errorTitle="Invalid input" error="Select from drop-down menu." sqref="DO22:DQ22 DO28:DQ28 DO36:DQ36 DO42:DQ42">
      <formula1>BC_Floor_Enclose</formula1>
    </dataValidation>
    <dataValidation type="list" allowBlank="1" showErrorMessage="1" errorTitle="Invalid input" error="Select from menu." sqref="BF71">
      <formula1>BC_PenRange</formula1>
    </dataValidation>
    <dataValidation type="list" allowBlank="1" showErrorMessage="1" errorTitle="Invalid input" error="Only BCA Fig 3.12.1.1 roof construction descriptions can be used." sqref="AX61:BI61 AX58:BI58 AX26:BI26">
      <formula1>IF($D$65=1,BC_RoofConst_Dn,BC_RoofConst_Up)</formula1>
    </dataValidation>
    <dataValidation type="list" allowBlank="1" showErrorMessage="1" errorTitle="Invalid input" error="Only BCA Fig 3.12.1.1 roof construction descriptions can be used" sqref="AX42:BI42">
      <formula1>IF($D$65=1,BC_RoofConst_Dn,BC_RoofConst_Up)</formula1>
    </dataValidation>
    <dataValidation type="list" allowBlank="1" showErrorMessage="1" errorTitle="Invalid input" error="Select from the drop-down menu." sqref="T50">
      <formula1>IF($T$49=$ET$50,$ET$26,BC_Apply)</formula1>
    </dataValidation>
    <dataValidation type="list" allowBlank="1" showErrorMessage="1" errorTitle="Invalid input" error="Select from the drop-down menu." sqref="T53:T55">
      <formula1>IF($T$52=$ET$50,$ET$26,BC_Apply)</formula1>
    </dataValidation>
    <dataValidation type="decimal" operator="lessThanOrEqual" allowBlank="1" showErrorMessage="1" errorTitle="Invalid input" error="Opening width percentage cannot exceed 100%." sqref="AG71:AG80 AG29:AG68">
      <formula1>1</formula1>
    </dataValidation>
    <dataValidation type="decimal" operator="greaterThan" allowBlank="1" showErrorMessage="1" errorTitle="Invalid input" error="Enter a number greater than zero." sqref="EM20 EM29 EM46 EM54 AI23:AT23 CC20 CC36 CC52">
      <formula1>0</formula1>
    </dataValidation>
    <dataValidation type="decimal" operator="greaterThan" allowBlank="1" showErrorMessage="1" errorTitle="Invaild input" error="Enter a number greater than zero." sqref="EM37">
      <formula1>0</formula1>
    </dataValidation>
    <dataValidation type="list" allowBlank="1" showErrorMessage="1" errorTitle="Invalid input" error="Select from menu." sqref="BK36 BK52 BK47 BK31">
      <formula1>IF(AND(AY31=$ET$13,BB31=$ET$13),$ET$13,IF(AND(AY31=$ET$13,MID(BB31,1,3)=$ET$31),$GG$72,BC_RoofAbs))</formula1>
    </dataValidation>
    <dataValidation type="list" allowBlank="1" showErrorMessage="1" errorTitle="Invalid input" error="Select from menu" sqref="BI71">
      <formula1>BC_PenRange_AltExist</formula1>
    </dataValidation>
  </dataValidations>
  <printOptions horizontalCentered="1"/>
  <pageMargins left="0.19685039370078741" right="0.19685039370078741" top="0.39370078740157483" bottom="0.39370078740157483" header="0.31496062992125984" footer="0.31496062992125984"/>
  <pageSetup paperSize="9" scale="76"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D93"/>
  <sheetViews>
    <sheetView workbookViewId="0"/>
  </sheetViews>
  <sheetFormatPr defaultRowHeight="12.75"/>
  <cols>
    <col min="1" max="1" width="1.7109375" customWidth="1"/>
    <col min="2" max="2" width="9" customWidth="1"/>
    <col min="3" max="11" width="5.7109375" customWidth="1"/>
    <col min="12" max="12" width="1.7109375" customWidth="1"/>
    <col min="13" max="21" width="5.7109375" customWidth="1"/>
    <col min="22" max="22" width="1.7109375" customWidth="1"/>
    <col min="23" max="31" width="5.7109375" customWidth="1"/>
    <col min="32" max="32" width="1.7109375" customWidth="1"/>
    <col min="33" max="41" width="5.7109375" customWidth="1"/>
    <col min="42" max="42" width="1.7109375" customWidth="1"/>
    <col min="43" max="51" width="5.7109375" customWidth="1"/>
    <col min="52" max="52" width="1.7109375" customWidth="1"/>
    <col min="53" max="61" width="5.7109375" customWidth="1"/>
    <col min="62" max="62" width="1.7109375" customWidth="1"/>
    <col min="63" max="71" width="5.7109375" customWidth="1"/>
    <col min="72" max="72" width="1.7109375" customWidth="1"/>
    <col min="73" max="81" width="5.7109375" customWidth="1"/>
  </cols>
  <sheetData>
    <row r="1" spans="1:81">
      <c r="A1" s="117"/>
      <c r="B1" s="118" t="s">
        <v>0</v>
      </c>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row>
    <row r="2" spans="1:81">
      <c r="A2" s="117"/>
      <c r="B2" s="119" t="s">
        <v>194</v>
      </c>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row>
    <row r="3" spans="1:81">
      <c r="A3" s="117"/>
      <c r="B3" s="119" t="s">
        <v>195</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row>
    <row r="4" spans="1:81">
      <c r="A4" s="117"/>
      <c r="B4" s="119" t="s">
        <v>196</v>
      </c>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117"/>
      <c r="CB4" s="117"/>
      <c r="CC4" s="117"/>
    </row>
    <row r="5" spans="1:81">
      <c r="A5" s="117"/>
      <c r="B5" s="119" t="s">
        <v>204</v>
      </c>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row>
    <row r="6" spans="1:81">
      <c r="A6" s="117"/>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row>
    <row r="7" spans="1:81">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row>
    <row r="8" spans="1:81">
      <c r="A8" s="117"/>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row>
    <row r="9" spans="1:81">
      <c r="A9" s="117"/>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row>
    <row r="10" spans="1:81">
      <c r="A10" s="117"/>
      <c r="B10" s="193" t="s">
        <v>57</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row>
    <row r="11" spans="1:81">
      <c r="A11" s="117"/>
      <c r="B11" s="128" t="s">
        <v>54</v>
      </c>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row>
    <row r="12" spans="1:81">
      <c r="A12" s="117"/>
      <c r="B12" s="119" t="s">
        <v>205</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row>
    <row r="13" spans="1:81">
      <c r="A13" s="117"/>
      <c r="B13" s="119" t="s">
        <v>206</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row>
    <row r="14" spans="1:81">
      <c r="A14" s="117"/>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row>
    <row r="15" spans="1:81">
      <c r="A15" s="117"/>
      <c r="B15" s="128" t="s">
        <v>58</v>
      </c>
      <c r="C15" s="117"/>
      <c r="D15" s="117"/>
      <c r="E15" s="117"/>
      <c r="F15" s="117"/>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row>
    <row r="16" spans="1:81">
      <c r="A16" s="117"/>
      <c r="B16" s="117"/>
      <c r="C16" s="129" t="s">
        <v>62</v>
      </c>
      <c r="D16" s="130">
        <v>1</v>
      </c>
      <c r="E16" s="130">
        <v>2</v>
      </c>
      <c r="F16" s="130">
        <v>3</v>
      </c>
      <c r="G16" s="130">
        <v>4</v>
      </c>
      <c r="H16" s="130">
        <v>5</v>
      </c>
      <c r="I16" s="130">
        <v>6</v>
      </c>
      <c r="J16" s="130">
        <v>7</v>
      </c>
      <c r="K16" s="130">
        <v>8</v>
      </c>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R16" s="117"/>
      <c r="AS16" s="117"/>
      <c r="AT16" s="117"/>
      <c r="AU16" s="117"/>
      <c r="AV16" s="117"/>
      <c r="AW16" s="117"/>
      <c r="AX16" s="117"/>
      <c r="AY16" s="117"/>
      <c r="AZ16" s="117"/>
      <c r="BA16" s="117"/>
      <c r="BB16" s="117"/>
      <c r="BC16" s="117"/>
      <c r="BD16" s="117"/>
      <c r="BE16" s="117"/>
      <c r="BF16" s="117"/>
      <c r="BG16" s="117"/>
      <c r="BH16" s="117"/>
      <c r="BI16" s="117"/>
      <c r="BJ16" s="117"/>
      <c r="BK16" s="117"/>
      <c r="BL16" s="117"/>
      <c r="BM16" s="117"/>
      <c r="BN16" s="117"/>
      <c r="BO16" s="117"/>
      <c r="BP16" s="117"/>
      <c r="BQ16" s="117"/>
      <c r="BR16" s="117"/>
      <c r="BS16" s="117"/>
      <c r="BT16" s="117"/>
      <c r="BU16" s="117"/>
      <c r="BV16" s="117"/>
      <c r="BW16" s="117"/>
      <c r="BX16" s="117"/>
      <c r="BY16" s="117"/>
      <c r="BZ16" s="117"/>
      <c r="CA16" s="117"/>
      <c r="CB16" s="117"/>
      <c r="CC16" s="117"/>
    </row>
    <row r="17" spans="1:81" ht="15.75">
      <c r="A17" s="117"/>
      <c r="B17" s="131" t="s">
        <v>59</v>
      </c>
      <c r="C17" s="132" t="s">
        <v>55</v>
      </c>
      <c r="D17" s="338">
        <v>1.65</v>
      </c>
      <c r="E17" s="339">
        <v>18.387</v>
      </c>
      <c r="F17" s="339">
        <v>14.641</v>
      </c>
      <c r="G17" s="339">
        <v>7.9290000000000003</v>
      </c>
      <c r="H17" s="339">
        <v>13.464</v>
      </c>
      <c r="I17" s="339">
        <v>6.4180000000000001</v>
      </c>
      <c r="J17" s="339">
        <v>5.4859999999999998</v>
      </c>
      <c r="K17" s="340">
        <v>3.9870000000000001</v>
      </c>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row>
    <row r="18" spans="1:81" ht="15.75">
      <c r="A18" s="117"/>
      <c r="B18" s="133"/>
      <c r="C18" s="134" t="s">
        <v>56</v>
      </c>
      <c r="D18" s="341">
        <v>6.3E-2</v>
      </c>
      <c r="E18" s="342">
        <v>7.3999999999999996E-2</v>
      </c>
      <c r="F18" s="342">
        <v>6.2E-2</v>
      </c>
      <c r="G18" s="342">
        <v>9.7000000000000003E-2</v>
      </c>
      <c r="H18" s="342">
        <v>0.122</v>
      </c>
      <c r="I18" s="342">
        <v>0.153</v>
      </c>
      <c r="J18" s="342">
        <v>0.189</v>
      </c>
      <c r="K18" s="343">
        <v>0.23400000000000001</v>
      </c>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row>
    <row r="19" spans="1:81" ht="15.75">
      <c r="A19" s="117"/>
      <c r="B19" s="135" t="s">
        <v>60</v>
      </c>
      <c r="C19" s="136" t="s">
        <v>55</v>
      </c>
      <c r="D19" s="344">
        <v>1.65</v>
      </c>
      <c r="E19" s="345">
        <v>18.387</v>
      </c>
      <c r="F19" s="345">
        <v>14.641</v>
      </c>
      <c r="G19" s="345">
        <v>7.9290000000000003</v>
      </c>
      <c r="H19" s="345">
        <v>13.464</v>
      </c>
      <c r="I19" s="345">
        <v>6.4180000000000001</v>
      </c>
      <c r="J19" s="345">
        <v>5.4859999999999998</v>
      </c>
      <c r="K19" s="346">
        <v>3.9870000000000001</v>
      </c>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row>
    <row r="20" spans="1:81" ht="15.75">
      <c r="A20" s="117"/>
      <c r="B20" s="133"/>
      <c r="C20" s="134" t="s">
        <v>56</v>
      </c>
      <c r="D20" s="347">
        <v>6.9000000000000006E-2</v>
      </c>
      <c r="E20" s="348">
        <v>8.1000000000000003E-2</v>
      </c>
      <c r="F20" s="348">
        <v>6.8000000000000005E-2</v>
      </c>
      <c r="G20" s="348">
        <v>0.107</v>
      </c>
      <c r="H20" s="348">
        <v>0.13400000000000001</v>
      </c>
      <c r="I20" s="348">
        <v>0.16800000000000001</v>
      </c>
      <c r="J20" s="348">
        <v>0.20799999999999999</v>
      </c>
      <c r="K20" s="349">
        <v>0.25700000000000001</v>
      </c>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row>
    <row r="21" spans="1:81">
      <c r="A21" s="117"/>
      <c r="B21" s="126"/>
      <c r="C21" s="126"/>
      <c r="D21" s="137" t="s">
        <v>108</v>
      </c>
      <c r="E21" s="126"/>
      <c r="F21" s="126"/>
      <c r="G21" s="126"/>
      <c r="H21" s="126"/>
      <c r="I21" s="126"/>
      <c r="J21" s="126"/>
      <c r="K21" s="126"/>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row>
    <row r="22" spans="1:81">
      <c r="A22" s="117"/>
      <c r="B22" s="126"/>
      <c r="C22" s="126"/>
      <c r="D22" s="126"/>
      <c r="E22" s="126"/>
      <c r="F22" s="126"/>
      <c r="G22" s="126"/>
      <c r="H22" s="126"/>
      <c r="I22" s="126"/>
      <c r="J22" s="126"/>
      <c r="K22" s="126"/>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row>
    <row r="23" spans="1:81">
      <c r="A23" s="117"/>
      <c r="B23" s="128" t="s">
        <v>61</v>
      </c>
      <c r="C23" s="126"/>
      <c r="D23" s="126"/>
      <c r="E23" s="126"/>
      <c r="F23" s="126"/>
      <c r="G23" s="126"/>
      <c r="H23" s="126"/>
      <c r="I23" s="126"/>
      <c r="J23" s="126"/>
      <c r="K23" s="126"/>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row>
    <row r="24" spans="1:81">
      <c r="A24" s="117"/>
      <c r="B24" s="117"/>
      <c r="C24" s="129" t="s">
        <v>62</v>
      </c>
      <c r="D24" s="130">
        <v>1</v>
      </c>
      <c r="E24" s="130">
        <v>2</v>
      </c>
      <c r="F24" s="130">
        <v>3</v>
      </c>
      <c r="G24" s="130">
        <v>4</v>
      </c>
      <c r="H24" s="130">
        <v>5</v>
      </c>
      <c r="I24" s="130">
        <v>6</v>
      </c>
      <c r="J24" s="130">
        <v>7</v>
      </c>
      <c r="K24" s="130">
        <v>8</v>
      </c>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row>
    <row r="25" spans="1:81" ht="15.75">
      <c r="A25" s="117"/>
      <c r="B25" s="131" t="s">
        <v>59</v>
      </c>
      <c r="C25" s="132" t="s">
        <v>55</v>
      </c>
      <c r="D25" s="350">
        <v>1.4850000000000001</v>
      </c>
      <c r="E25" s="351">
        <v>16.547999999999998</v>
      </c>
      <c r="F25" s="351">
        <v>13.177</v>
      </c>
      <c r="G25" s="351">
        <v>7.1360000000000001</v>
      </c>
      <c r="H25" s="351">
        <v>12.118</v>
      </c>
      <c r="I25" s="351">
        <v>5.7759999999999998</v>
      </c>
      <c r="J25" s="351">
        <v>4.9370000000000003</v>
      </c>
      <c r="K25" s="352">
        <v>3.5880000000000001</v>
      </c>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row>
    <row r="26" spans="1:81" ht="15.75">
      <c r="A26" s="117"/>
      <c r="B26" s="133"/>
      <c r="C26" s="134" t="s">
        <v>56</v>
      </c>
      <c r="D26" s="353">
        <v>5.7000000000000002E-2</v>
      </c>
      <c r="E26" s="354">
        <v>6.7000000000000004E-2</v>
      </c>
      <c r="F26" s="354">
        <v>5.6000000000000001E-2</v>
      </c>
      <c r="G26" s="354">
        <v>8.6999999999999994E-2</v>
      </c>
      <c r="H26" s="354">
        <v>0.11</v>
      </c>
      <c r="I26" s="354">
        <v>0.13800000000000001</v>
      </c>
      <c r="J26" s="354">
        <v>0.17</v>
      </c>
      <c r="K26" s="355">
        <v>0.21099999999999999</v>
      </c>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row>
    <row r="27" spans="1:81" ht="15.75">
      <c r="A27" s="117"/>
      <c r="B27" s="135" t="s">
        <v>60</v>
      </c>
      <c r="C27" s="136" t="s">
        <v>55</v>
      </c>
      <c r="D27" s="356">
        <v>1.4850000000000001</v>
      </c>
      <c r="E27" s="357">
        <v>16.547999999999998</v>
      </c>
      <c r="F27" s="357">
        <v>13.177</v>
      </c>
      <c r="G27" s="357">
        <v>7.1360000000000001</v>
      </c>
      <c r="H27" s="357">
        <v>12.118</v>
      </c>
      <c r="I27" s="357">
        <v>5.7759999999999998</v>
      </c>
      <c r="J27" s="357">
        <v>4.9370000000000003</v>
      </c>
      <c r="K27" s="358">
        <v>3.5880000000000001</v>
      </c>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row>
    <row r="28" spans="1:81" ht="15.75">
      <c r="A28" s="117"/>
      <c r="B28" s="133"/>
      <c r="C28" s="134" t="s">
        <v>56</v>
      </c>
      <c r="D28" s="359">
        <v>6.3E-2</v>
      </c>
      <c r="E28" s="360">
        <v>7.3999999999999996E-2</v>
      </c>
      <c r="F28" s="360">
        <v>6.2E-2</v>
      </c>
      <c r="G28" s="360">
        <v>9.6000000000000002E-2</v>
      </c>
      <c r="H28" s="360">
        <v>0.121</v>
      </c>
      <c r="I28" s="360">
        <v>0.152</v>
      </c>
      <c r="J28" s="360">
        <v>0.187</v>
      </c>
      <c r="K28" s="361">
        <v>0.23200000000000001</v>
      </c>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row>
    <row r="29" spans="1:81">
      <c r="A29" s="117"/>
      <c r="B29" s="117"/>
      <c r="C29" s="117"/>
      <c r="D29" s="137" t="s">
        <v>109</v>
      </c>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row>
    <row r="30" spans="1:81">
      <c r="A30" s="117"/>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row>
    <row r="31" spans="1:81">
      <c r="A31" s="117"/>
      <c r="B31" s="117"/>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row>
    <row r="32" spans="1:81">
      <c r="A32" s="117"/>
      <c r="B32" s="117"/>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row>
    <row r="33" spans="1:82">
      <c r="A33" s="117"/>
      <c r="B33" s="193" t="s">
        <v>197</v>
      </c>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row>
    <row r="34" spans="1:82">
      <c r="A34" s="117"/>
      <c r="B34" s="191" t="s">
        <v>201</v>
      </c>
      <c r="C34" s="126"/>
      <c r="D34" s="126"/>
      <c r="E34" s="126"/>
      <c r="F34" s="126"/>
      <c r="G34" s="126"/>
      <c r="H34" s="126"/>
      <c r="I34" s="126"/>
      <c r="J34" s="126"/>
      <c r="K34" s="126"/>
      <c r="L34" s="126"/>
      <c r="M34" s="211" t="str">
        <f>"("&amp;IF(ConstantsSource=$AQ$17,$AQ$17,$AQ$18)&amp;" source selected)"</f>
        <v>( source selected)</v>
      </c>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row>
    <row r="35" spans="1:82">
      <c r="A35" s="117"/>
      <c r="B35" s="192" t="s">
        <v>202</v>
      </c>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row>
    <row r="36" spans="1:82">
      <c r="A36" s="117"/>
      <c r="B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row>
    <row r="37" spans="1:82">
      <c r="A37" s="117"/>
      <c r="B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row>
    <row r="38" spans="1:82">
      <c r="A38" s="117"/>
      <c r="B38" s="117"/>
      <c r="D38" s="120" t="s">
        <v>9</v>
      </c>
      <c r="E38" s="121" t="s">
        <v>1</v>
      </c>
      <c r="F38" s="121" t="s">
        <v>10</v>
      </c>
      <c r="G38" s="121" t="s">
        <v>2</v>
      </c>
      <c r="H38" s="121" t="s">
        <v>11</v>
      </c>
      <c r="I38" s="121" t="s">
        <v>7</v>
      </c>
      <c r="J38" s="121" t="s">
        <v>8</v>
      </c>
      <c r="K38" s="122" t="s">
        <v>12</v>
      </c>
    </row>
    <row r="39" spans="1:82">
      <c r="A39" s="117"/>
      <c r="B39" s="117"/>
      <c r="D39" s="123" t="s">
        <v>107</v>
      </c>
    </row>
    <row r="40" spans="1:82">
      <c r="A40" s="117"/>
      <c r="B40" s="117"/>
      <c r="D40" s="192" t="s">
        <v>200</v>
      </c>
    </row>
    <row r="41" spans="1:82">
      <c r="A41" s="117"/>
      <c r="B41" s="117"/>
      <c r="D41" s="192"/>
    </row>
    <row r="42" spans="1:82">
      <c r="A42" s="117"/>
      <c r="B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row>
    <row r="43" spans="1:82" ht="15.75">
      <c r="A43" s="117"/>
      <c r="B43" s="190" t="s">
        <v>199</v>
      </c>
      <c r="C43" s="124" t="s">
        <v>53</v>
      </c>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row>
    <row r="44" spans="1:82">
      <c r="A44" s="117"/>
      <c r="B44" s="117"/>
      <c r="C44" s="180" t="s">
        <v>193</v>
      </c>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row>
    <row r="45" spans="1:82">
      <c r="A45" s="117"/>
      <c r="B45" s="117"/>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row>
    <row r="46" spans="1:82">
      <c r="A46" s="117"/>
      <c r="B46" s="117"/>
      <c r="C46" s="3" t="s">
        <v>173</v>
      </c>
      <c r="L46" s="117"/>
      <c r="M46" s="3" t="s">
        <v>174</v>
      </c>
      <c r="W46" s="3" t="s">
        <v>175</v>
      </c>
      <c r="AG46" s="3" t="s">
        <v>176</v>
      </c>
      <c r="AQ46" s="3" t="s">
        <v>177</v>
      </c>
      <c r="BA46" s="3" t="s">
        <v>178</v>
      </c>
      <c r="BK46" s="3" t="s">
        <v>179</v>
      </c>
      <c r="BU46" s="3" t="s">
        <v>180</v>
      </c>
      <c r="BV46" s="126"/>
      <c r="BW46" s="126"/>
      <c r="BX46" s="126"/>
      <c r="BY46" s="126"/>
      <c r="BZ46" s="126"/>
      <c r="CA46" s="126"/>
      <c r="CB46" s="126"/>
      <c r="CC46" s="126"/>
    </row>
    <row r="47" spans="1:82">
      <c r="A47" s="117"/>
      <c r="B47" s="117"/>
      <c r="C47" s="181" t="s">
        <v>181</v>
      </c>
      <c r="M47" s="181" t="s">
        <v>182</v>
      </c>
      <c r="W47" s="181" t="s">
        <v>183</v>
      </c>
      <c r="AG47" s="181" t="s">
        <v>184</v>
      </c>
      <c r="AQ47" s="181" t="s">
        <v>185</v>
      </c>
      <c r="BA47" s="181" t="s">
        <v>186</v>
      </c>
      <c r="BK47" s="181" t="s">
        <v>187</v>
      </c>
      <c r="BU47" s="181" t="s">
        <v>188</v>
      </c>
      <c r="BV47" s="126"/>
      <c r="BW47" s="126"/>
      <c r="BX47" s="126"/>
      <c r="BY47" s="126"/>
      <c r="BZ47" s="126"/>
      <c r="CA47" s="126"/>
      <c r="CB47" s="126"/>
      <c r="CC47" s="126"/>
    </row>
    <row r="48" spans="1:82">
      <c r="A48" s="117"/>
      <c r="B48" s="117"/>
      <c r="C48" s="155"/>
      <c r="D48" s="153" t="s">
        <v>9</v>
      </c>
      <c r="E48" s="148" t="s">
        <v>1</v>
      </c>
      <c r="F48" s="148" t="s">
        <v>10</v>
      </c>
      <c r="G48" s="148" t="s">
        <v>2</v>
      </c>
      <c r="H48" s="148" t="s">
        <v>11</v>
      </c>
      <c r="I48" s="148" t="s">
        <v>7</v>
      </c>
      <c r="J48" s="148" t="s">
        <v>8</v>
      </c>
      <c r="K48" s="149" t="s">
        <v>12</v>
      </c>
      <c r="L48" s="117"/>
      <c r="M48" s="155"/>
      <c r="N48" s="153" t="s">
        <v>9</v>
      </c>
      <c r="O48" s="148" t="s">
        <v>1</v>
      </c>
      <c r="P48" s="148" t="s">
        <v>10</v>
      </c>
      <c r="Q48" s="148" t="s">
        <v>2</v>
      </c>
      <c r="R48" s="148" t="s">
        <v>11</v>
      </c>
      <c r="S48" s="148" t="s">
        <v>7</v>
      </c>
      <c r="T48" s="148" t="s">
        <v>8</v>
      </c>
      <c r="U48" s="149" t="s">
        <v>12</v>
      </c>
      <c r="V48" s="117"/>
      <c r="W48" s="155"/>
      <c r="X48" s="153" t="s">
        <v>9</v>
      </c>
      <c r="Y48" s="148" t="s">
        <v>1</v>
      </c>
      <c r="Z48" s="148" t="s">
        <v>10</v>
      </c>
      <c r="AA48" s="148" t="s">
        <v>2</v>
      </c>
      <c r="AB48" s="148" t="s">
        <v>11</v>
      </c>
      <c r="AC48" s="148" t="s">
        <v>7</v>
      </c>
      <c r="AD48" s="148" t="s">
        <v>8</v>
      </c>
      <c r="AE48" s="149" t="s">
        <v>12</v>
      </c>
      <c r="AF48" s="117"/>
      <c r="AG48" s="155"/>
      <c r="AH48" s="153" t="s">
        <v>9</v>
      </c>
      <c r="AI48" s="148" t="s">
        <v>1</v>
      </c>
      <c r="AJ48" s="148" t="s">
        <v>10</v>
      </c>
      <c r="AK48" s="148" t="s">
        <v>2</v>
      </c>
      <c r="AL48" s="148" t="s">
        <v>11</v>
      </c>
      <c r="AM48" s="148" t="s">
        <v>7</v>
      </c>
      <c r="AN48" s="148" t="s">
        <v>8</v>
      </c>
      <c r="AO48" s="149" t="s">
        <v>12</v>
      </c>
      <c r="AP48" s="117"/>
      <c r="AQ48" s="155"/>
      <c r="AR48" s="153" t="s">
        <v>9</v>
      </c>
      <c r="AS48" s="148" t="s">
        <v>1</v>
      </c>
      <c r="AT48" s="148" t="s">
        <v>10</v>
      </c>
      <c r="AU48" s="148" t="s">
        <v>2</v>
      </c>
      <c r="AV48" s="148" t="s">
        <v>11</v>
      </c>
      <c r="AW48" s="148" t="s">
        <v>7</v>
      </c>
      <c r="AX48" s="148" t="s">
        <v>8</v>
      </c>
      <c r="AY48" s="149" t="s">
        <v>12</v>
      </c>
      <c r="AZ48" s="117"/>
      <c r="BA48" s="155"/>
      <c r="BB48" s="153" t="s">
        <v>9</v>
      </c>
      <c r="BC48" s="148" t="s">
        <v>1</v>
      </c>
      <c r="BD48" s="148" t="s">
        <v>10</v>
      </c>
      <c r="BE48" s="148" t="s">
        <v>2</v>
      </c>
      <c r="BF48" s="148" t="s">
        <v>11</v>
      </c>
      <c r="BG48" s="148" t="s">
        <v>7</v>
      </c>
      <c r="BH48" s="148" t="s">
        <v>8</v>
      </c>
      <c r="BI48" s="149" t="s">
        <v>12</v>
      </c>
      <c r="BJ48" s="117"/>
      <c r="BK48" s="155"/>
      <c r="BL48" s="153" t="s">
        <v>9</v>
      </c>
      <c r="BM48" s="148" t="s">
        <v>1</v>
      </c>
      <c r="BN48" s="148" t="s">
        <v>10</v>
      </c>
      <c r="BO48" s="148" t="s">
        <v>2</v>
      </c>
      <c r="BP48" s="148" t="s">
        <v>11</v>
      </c>
      <c r="BQ48" s="148" t="s">
        <v>7</v>
      </c>
      <c r="BR48" s="148" t="s">
        <v>8</v>
      </c>
      <c r="BS48" s="149" t="s">
        <v>12</v>
      </c>
      <c r="BT48" s="117"/>
      <c r="BU48" s="155"/>
      <c r="BV48" s="153" t="s">
        <v>9</v>
      </c>
      <c r="BW48" s="148" t="s">
        <v>1</v>
      </c>
      <c r="BX48" s="148" t="s">
        <v>10</v>
      </c>
      <c r="BY48" s="148" t="s">
        <v>2</v>
      </c>
      <c r="BZ48" s="148" t="s">
        <v>11</v>
      </c>
      <c r="CA48" s="148" t="s">
        <v>7</v>
      </c>
      <c r="CB48" s="148" t="s">
        <v>8</v>
      </c>
      <c r="CC48" s="149" t="s">
        <v>12</v>
      </c>
    </row>
    <row r="49" spans="1:81">
      <c r="A49" s="117"/>
      <c r="B49" s="127" t="s">
        <v>190</v>
      </c>
      <c r="C49" s="156" t="s">
        <v>3</v>
      </c>
      <c r="D49" s="154">
        <v>0</v>
      </c>
      <c r="E49" s="151">
        <v>45</v>
      </c>
      <c r="F49" s="150">
        <v>90</v>
      </c>
      <c r="G49" s="151">
        <v>135</v>
      </c>
      <c r="H49" s="150">
        <v>180</v>
      </c>
      <c r="I49" s="151">
        <v>225</v>
      </c>
      <c r="J49" s="150">
        <v>270</v>
      </c>
      <c r="K49" s="152">
        <v>315</v>
      </c>
      <c r="M49" s="156" t="s">
        <v>3</v>
      </c>
      <c r="N49" s="154">
        <v>0</v>
      </c>
      <c r="O49" s="151">
        <v>45</v>
      </c>
      <c r="P49" s="150">
        <v>90</v>
      </c>
      <c r="Q49" s="151">
        <v>135</v>
      </c>
      <c r="R49" s="150">
        <v>180</v>
      </c>
      <c r="S49" s="151">
        <v>225</v>
      </c>
      <c r="T49" s="150">
        <v>270</v>
      </c>
      <c r="U49" s="152">
        <v>315</v>
      </c>
      <c r="W49" s="156" t="s">
        <v>3</v>
      </c>
      <c r="X49" s="154">
        <v>0</v>
      </c>
      <c r="Y49" s="151">
        <v>45</v>
      </c>
      <c r="Z49" s="150">
        <v>90</v>
      </c>
      <c r="AA49" s="151">
        <v>135</v>
      </c>
      <c r="AB49" s="150">
        <v>180</v>
      </c>
      <c r="AC49" s="151">
        <v>225</v>
      </c>
      <c r="AD49" s="150">
        <v>270</v>
      </c>
      <c r="AE49" s="152">
        <v>315</v>
      </c>
      <c r="AG49" s="156" t="s">
        <v>3</v>
      </c>
      <c r="AH49" s="154">
        <v>0</v>
      </c>
      <c r="AI49" s="151">
        <v>45</v>
      </c>
      <c r="AJ49" s="150">
        <v>90</v>
      </c>
      <c r="AK49" s="151">
        <v>135</v>
      </c>
      <c r="AL49" s="150">
        <v>180</v>
      </c>
      <c r="AM49" s="151">
        <v>225</v>
      </c>
      <c r="AN49" s="150">
        <v>270</v>
      </c>
      <c r="AO49" s="152">
        <v>315</v>
      </c>
      <c r="AQ49" s="156" t="s">
        <v>3</v>
      </c>
      <c r="AR49" s="154">
        <v>0</v>
      </c>
      <c r="AS49" s="151">
        <v>45</v>
      </c>
      <c r="AT49" s="150">
        <v>90</v>
      </c>
      <c r="AU49" s="151">
        <v>135</v>
      </c>
      <c r="AV49" s="150">
        <v>180</v>
      </c>
      <c r="AW49" s="151">
        <v>225</v>
      </c>
      <c r="AX49" s="150">
        <v>270</v>
      </c>
      <c r="AY49" s="152">
        <v>315</v>
      </c>
      <c r="BA49" s="156" t="s">
        <v>3</v>
      </c>
      <c r="BB49" s="154">
        <v>0</v>
      </c>
      <c r="BC49" s="151">
        <v>45</v>
      </c>
      <c r="BD49" s="150">
        <v>90</v>
      </c>
      <c r="BE49" s="151">
        <v>135</v>
      </c>
      <c r="BF49" s="150">
        <v>180</v>
      </c>
      <c r="BG49" s="151">
        <v>225</v>
      </c>
      <c r="BH49" s="150">
        <v>270</v>
      </c>
      <c r="BI49" s="152">
        <v>315</v>
      </c>
      <c r="BK49" s="156" t="s">
        <v>3</v>
      </c>
      <c r="BL49" s="154">
        <v>0</v>
      </c>
      <c r="BM49" s="151">
        <v>45</v>
      </c>
      <c r="BN49" s="150">
        <v>90</v>
      </c>
      <c r="BO49" s="151">
        <v>135</v>
      </c>
      <c r="BP49" s="150">
        <v>180</v>
      </c>
      <c r="BQ49" s="151">
        <v>225</v>
      </c>
      <c r="BR49" s="150">
        <v>270</v>
      </c>
      <c r="BS49" s="152">
        <v>315</v>
      </c>
      <c r="BU49" s="156" t="s">
        <v>3</v>
      </c>
      <c r="BV49" s="154">
        <v>0</v>
      </c>
      <c r="BW49" s="151">
        <v>45</v>
      </c>
      <c r="BX49" s="150">
        <v>90</v>
      </c>
      <c r="BY49" s="151">
        <v>135</v>
      </c>
      <c r="BZ49" s="150">
        <v>180</v>
      </c>
      <c r="CA49" s="151">
        <v>225</v>
      </c>
      <c r="CB49" s="150">
        <v>270</v>
      </c>
      <c r="CC49" s="152">
        <v>315</v>
      </c>
    </row>
    <row r="50" spans="1:81">
      <c r="A50" s="117"/>
      <c r="B50" s="187">
        <f t="shared" ref="B50:B62" si="0">B$65*C50</f>
        <v>0</v>
      </c>
      <c r="C50" s="182">
        <v>0</v>
      </c>
      <c r="D50" s="160">
        <v>0.52</v>
      </c>
      <c r="E50" s="178">
        <v>0.84</v>
      </c>
      <c r="F50" s="161">
        <v>1.29</v>
      </c>
      <c r="G50" s="178">
        <v>1.24</v>
      </c>
      <c r="H50" s="161">
        <v>0.87</v>
      </c>
      <c r="I50" s="178">
        <v>1.27</v>
      </c>
      <c r="J50" s="161">
        <v>1.32</v>
      </c>
      <c r="K50" s="179">
        <v>0.85</v>
      </c>
      <c r="M50" s="170">
        <v>0</v>
      </c>
      <c r="N50" s="160">
        <v>0.72</v>
      </c>
      <c r="O50" s="178">
        <v>1.05</v>
      </c>
      <c r="P50" s="161">
        <v>1.22</v>
      </c>
      <c r="Q50" s="178">
        <v>1.04</v>
      </c>
      <c r="R50" s="161">
        <v>0.72</v>
      </c>
      <c r="S50" s="178">
        <v>1.1200000000000001</v>
      </c>
      <c r="T50" s="161">
        <v>1.34</v>
      </c>
      <c r="U50" s="179">
        <v>1.1100000000000001</v>
      </c>
      <c r="W50" s="170">
        <v>0</v>
      </c>
      <c r="X50" s="160">
        <v>0.56000000000000005</v>
      </c>
      <c r="Y50" s="178">
        <v>1.04</v>
      </c>
      <c r="Z50" s="161">
        <v>1.42</v>
      </c>
      <c r="AA50" s="178">
        <v>1.18</v>
      </c>
      <c r="AB50" s="161">
        <v>0.66</v>
      </c>
      <c r="AC50" s="178">
        <v>1.1599999999999999</v>
      </c>
      <c r="AD50" s="161">
        <v>1.36</v>
      </c>
      <c r="AE50" s="179">
        <v>1.01</v>
      </c>
      <c r="AG50" s="170">
        <v>0</v>
      </c>
      <c r="AH50" s="160">
        <v>0.72</v>
      </c>
      <c r="AI50" s="178">
        <v>1.19</v>
      </c>
      <c r="AJ50" s="161">
        <v>1.4</v>
      </c>
      <c r="AK50" s="178">
        <v>1.05</v>
      </c>
      <c r="AL50" s="161">
        <v>0.56999999999999995</v>
      </c>
      <c r="AM50" s="178">
        <v>0.99</v>
      </c>
      <c r="AN50" s="161">
        <v>1.31</v>
      </c>
      <c r="AO50" s="179">
        <v>1.1200000000000001</v>
      </c>
      <c r="AQ50" s="170">
        <v>0</v>
      </c>
      <c r="AR50" s="160">
        <v>0.82</v>
      </c>
      <c r="AS50" s="178">
        <v>1.0900000000000001</v>
      </c>
      <c r="AT50" s="161">
        <v>1.19</v>
      </c>
      <c r="AU50" s="178">
        <v>0.96</v>
      </c>
      <c r="AV50" s="161">
        <v>0.68</v>
      </c>
      <c r="AW50" s="178">
        <v>1.04</v>
      </c>
      <c r="AX50" s="161">
        <v>1.3</v>
      </c>
      <c r="AY50" s="179">
        <v>1.1599999999999999</v>
      </c>
      <c r="BA50" s="170">
        <v>0</v>
      </c>
      <c r="BB50" s="160">
        <v>0.84</v>
      </c>
      <c r="BC50" s="178">
        <v>1.08</v>
      </c>
      <c r="BD50" s="161">
        <v>1.1499999999999999</v>
      </c>
      <c r="BE50" s="178">
        <v>0.87</v>
      </c>
      <c r="BF50" s="161">
        <v>0.61</v>
      </c>
      <c r="BG50" s="178">
        <v>1.05</v>
      </c>
      <c r="BH50" s="161">
        <v>1.4</v>
      </c>
      <c r="BI50" s="179">
        <v>1.24</v>
      </c>
      <c r="BK50" s="170">
        <v>0</v>
      </c>
      <c r="BL50" s="160">
        <v>0.96</v>
      </c>
      <c r="BM50" s="178">
        <v>1.17</v>
      </c>
      <c r="BN50" s="161">
        <v>1.21</v>
      </c>
      <c r="BO50" s="178">
        <v>0.94</v>
      </c>
      <c r="BP50" s="161">
        <v>0.64</v>
      </c>
      <c r="BQ50" s="178">
        <v>0.91</v>
      </c>
      <c r="BR50" s="161">
        <v>1.19</v>
      </c>
      <c r="BS50" s="179">
        <v>1.18</v>
      </c>
      <c r="BU50" s="170">
        <v>0</v>
      </c>
      <c r="BV50" s="160">
        <v>0.85</v>
      </c>
      <c r="BW50" s="178">
        <v>1.1200000000000001</v>
      </c>
      <c r="BX50" s="161">
        <v>1.2</v>
      </c>
      <c r="BY50" s="178">
        <v>0.96</v>
      </c>
      <c r="BZ50" s="161">
        <v>0.68</v>
      </c>
      <c r="CA50" s="178">
        <v>1.01</v>
      </c>
      <c r="CB50" s="161">
        <v>1.27</v>
      </c>
      <c r="CC50" s="179">
        <v>1.1599999999999999</v>
      </c>
    </row>
    <row r="51" spans="1:81">
      <c r="A51" s="117"/>
      <c r="B51" s="187">
        <f t="shared" si="0"/>
        <v>105</v>
      </c>
      <c r="C51" s="183">
        <v>0.05</v>
      </c>
      <c r="D51" s="362">
        <v>0.44</v>
      </c>
      <c r="E51" s="363">
        <v>0.74</v>
      </c>
      <c r="F51" s="364">
        <v>1.19</v>
      </c>
      <c r="G51" s="363">
        <v>1.1299999999999999</v>
      </c>
      <c r="H51" s="364">
        <v>0.75</v>
      </c>
      <c r="I51" s="363">
        <v>1.17</v>
      </c>
      <c r="J51" s="364">
        <v>1.23</v>
      </c>
      <c r="K51" s="365">
        <v>0.75</v>
      </c>
      <c r="M51" s="171">
        <v>0.05</v>
      </c>
      <c r="N51" s="362">
        <v>0.6</v>
      </c>
      <c r="O51" s="363">
        <v>0.92</v>
      </c>
      <c r="P51" s="364">
        <v>1.1000000000000001</v>
      </c>
      <c r="Q51" s="363">
        <v>0.92</v>
      </c>
      <c r="R51" s="364">
        <v>0.6</v>
      </c>
      <c r="S51" s="363">
        <v>1.01</v>
      </c>
      <c r="T51" s="364">
        <v>1.23</v>
      </c>
      <c r="U51" s="365">
        <v>0.99</v>
      </c>
      <c r="W51" s="171">
        <v>0.05</v>
      </c>
      <c r="X51" s="362">
        <v>0.47</v>
      </c>
      <c r="Y51" s="363">
        <v>0.94</v>
      </c>
      <c r="Z51" s="364">
        <v>1.32</v>
      </c>
      <c r="AA51" s="363">
        <v>1.08</v>
      </c>
      <c r="AB51" s="364">
        <v>0.56999999999999995</v>
      </c>
      <c r="AC51" s="363">
        <v>1.05</v>
      </c>
      <c r="AD51" s="364">
        <v>1.26</v>
      </c>
      <c r="AE51" s="365">
        <v>0.9</v>
      </c>
      <c r="AG51" s="171">
        <v>0.05</v>
      </c>
      <c r="AH51" s="362">
        <v>0.61</v>
      </c>
      <c r="AI51" s="363">
        <v>1.1000000000000001</v>
      </c>
      <c r="AJ51" s="364">
        <v>1.31</v>
      </c>
      <c r="AK51" s="363">
        <v>0.97</v>
      </c>
      <c r="AL51" s="364">
        <v>0.49</v>
      </c>
      <c r="AM51" s="363">
        <v>0.91</v>
      </c>
      <c r="AN51" s="364">
        <v>1.22</v>
      </c>
      <c r="AO51" s="365">
        <v>1.02</v>
      </c>
      <c r="AQ51" s="171">
        <v>0.05</v>
      </c>
      <c r="AR51" s="362">
        <v>0.69</v>
      </c>
      <c r="AS51" s="363">
        <v>0.96</v>
      </c>
      <c r="AT51" s="364">
        <v>1.07</v>
      </c>
      <c r="AU51" s="363">
        <v>0.85</v>
      </c>
      <c r="AV51" s="364">
        <v>0.56999999999999995</v>
      </c>
      <c r="AW51" s="363">
        <v>0.92</v>
      </c>
      <c r="AX51" s="364">
        <v>1.19</v>
      </c>
      <c r="AY51" s="365">
        <v>1.04</v>
      </c>
      <c r="BA51" s="171">
        <v>0.05</v>
      </c>
      <c r="BB51" s="362">
        <v>0.71</v>
      </c>
      <c r="BC51" s="363">
        <v>0.97</v>
      </c>
      <c r="BD51" s="364">
        <v>1.05</v>
      </c>
      <c r="BE51" s="363">
        <v>0.78</v>
      </c>
      <c r="BF51" s="364">
        <v>0.52</v>
      </c>
      <c r="BG51" s="363">
        <v>0.96</v>
      </c>
      <c r="BH51" s="364">
        <v>1.3</v>
      </c>
      <c r="BI51" s="365">
        <v>1.1299999999999999</v>
      </c>
      <c r="BK51" s="171">
        <v>0.05</v>
      </c>
      <c r="BL51" s="362">
        <v>0.83</v>
      </c>
      <c r="BM51" s="363">
        <v>1.05</v>
      </c>
      <c r="BN51" s="364">
        <v>1.1000000000000001</v>
      </c>
      <c r="BO51" s="363">
        <v>0.83</v>
      </c>
      <c r="BP51" s="364">
        <v>0.54</v>
      </c>
      <c r="BQ51" s="363">
        <v>0.81</v>
      </c>
      <c r="BR51" s="364">
        <v>1.0900000000000001</v>
      </c>
      <c r="BS51" s="365">
        <v>1.07</v>
      </c>
      <c r="BU51" s="171">
        <v>0.05</v>
      </c>
      <c r="BV51" s="362">
        <v>0.71</v>
      </c>
      <c r="BW51" s="363">
        <v>0.99</v>
      </c>
      <c r="BX51" s="364">
        <v>1.0900000000000001</v>
      </c>
      <c r="BY51" s="363">
        <v>0.85</v>
      </c>
      <c r="BZ51" s="364">
        <v>0.56999999999999995</v>
      </c>
      <c r="CA51" s="363">
        <v>0.9</v>
      </c>
      <c r="CB51" s="364">
        <v>1.1599999999999999</v>
      </c>
      <c r="CC51" s="365">
        <v>1.04</v>
      </c>
    </row>
    <row r="52" spans="1:81">
      <c r="A52" s="117"/>
      <c r="B52" s="187">
        <f t="shared" si="0"/>
        <v>210</v>
      </c>
      <c r="C52" s="183">
        <v>0.1</v>
      </c>
      <c r="D52" s="362">
        <v>0.41</v>
      </c>
      <c r="E52" s="363">
        <v>0.68</v>
      </c>
      <c r="F52" s="364">
        <v>1.1100000000000001</v>
      </c>
      <c r="G52" s="363">
        <v>1.07</v>
      </c>
      <c r="H52" s="364">
        <v>0.68</v>
      </c>
      <c r="I52" s="363">
        <v>1.0900000000000001</v>
      </c>
      <c r="J52" s="364">
        <v>1.1499999999999999</v>
      </c>
      <c r="K52" s="365">
        <v>0.69</v>
      </c>
      <c r="M52" s="171">
        <v>0.1</v>
      </c>
      <c r="N52" s="362">
        <v>0.55000000000000004</v>
      </c>
      <c r="O52" s="363">
        <v>0.85</v>
      </c>
      <c r="P52" s="364">
        <v>1.04</v>
      </c>
      <c r="Q52" s="363">
        <v>0.86</v>
      </c>
      <c r="R52" s="364">
        <v>0.56999999999999995</v>
      </c>
      <c r="S52" s="363">
        <v>0.94</v>
      </c>
      <c r="T52" s="364">
        <v>1.1399999999999999</v>
      </c>
      <c r="U52" s="365">
        <v>0.9</v>
      </c>
      <c r="W52" s="171">
        <v>0.1</v>
      </c>
      <c r="X52" s="362">
        <v>0.44</v>
      </c>
      <c r="Y52" s="363">
        <v>0.85</v>
      </c>
      <c r="Z52" s="364">
        <v>1.25</v>
      </c>
      <c r="AA52" s="363">
        <v>1.02</v>
      </c>
      <c r="AB52" s="364">
        <v>0.54</v>
      </c>
      <c r="AC52" s="363">
        <v>0.99</v>
      </c>
      <c r="AD52" s="364">
        <v>1.19</v>
      </c>
      <c r="AE52" s="365">
        <v>0.83</v>
      </c>
      <c r="AG52" s="171">
        <v>0.1</v>
      </c>
      <c r="AH52" s="362">
        <v>0.56000000000000005</v>
      </c>
      <c r="AI52" s="363">
        <v>1</v>
      </c>
      <c r="AJ52" s="364">
        <v>1.24</v>
      </c>
      <c r="AK52" s="363">
        <v>0.91</v>
      </c>
      <c r="AL52" s="364">
        <v>0.46</v>
      </c>
      <c r="AM52" s="363">
        <v>0.85</v>
      </c>
      <c r="AN52" s="364">
        <v>1.17</v>
      </c>
      <c r="AO52" s="365">
        <v>0.94</v>
      </c>
      <c r="AQ52" s="171">
        <v>0.1</v>
      </c>
      <c r="AR52" s="362">
        <v>0.63</v>
      </c>
      <c r="AS52" s="363">
        <v>0.88</v>
      </c>
      <c r="AT52" s="364">
        <v>1.01</v>
      </c>
      <c r="AU52" s="363">
        <v>0.79</v>
      </c>
      <c r="AV52" s="364">
        <v>0.54</v>
      </c>
      <c r="AW52" s="363">
        <v>0.86</v>
      </c>
      <c r="AX52" s="364">
        <v>1.1100000000000001</v>
      </c>
      <c r="AY52" s="365">
        <v>0.94</v>
      </c>
      <c r="BA52" s="171">
        <v>0.1</v>
      </c>
      <c r="BB52" s="362">
        <v>0.65</v>
      </c>
      <c r="BC52" s="363">
        <v>0.9</v>
      </c>
      <c r="BD52" s="364">
        <v>0.99</v>
      </c>
      <c r="BE52" s="363">
        <v>0.74</v>
      </c>
      <c r="BF52" s="364">
        <v>0.49</v>
      </c>
      <c r="BG52" s="363">
        <v>0.91</v>
      </c>
      <c r="BH52" s="364">
        <v>1.25</v>
      </c>
      <c r="BI52" s="365">
        <v>1.04</v>
      </c>
      <c r="BK52" s="171">
        <v>0.1</v>
      </c>
      <c r="BL52" s="362">
        <v>0.76</v>
      </c>
      <c r="BM52" s="363">
        <v>0.97</v>
      </c>
      <c r="BN52" s="364">
        <v>1.04</v>
      </c>
      <c r="BO52" s="363">
        <v>0.8</v>
      </c>
      <c r="BP52" s="364">
        <v>0.51</v>
      </c>
      <c r="BQ52" s="363">
        <v>0.76</v>
      </c>
      <c r="BR52" s="364">
        <v>1.03</v>
      </c>
      <c r="BS52" s="365">
        <v>0.98</v>
      </c>
      <c r="BU52" s="171">
        <v>0.1</v>
      </c>
      <c r="BV52" s="362">
        <v>0.65</v>
      </c>
      <c r="BW52" s="363">
        <v>0.9</v>
      </c>
      <c r="BX52" s="364">
        <v>1.02</v>
      </c>
      <c r="BY52" s="363">
        <v>0.79</v>
      </c>
      <c r="BZ52" s="364">
        <v>0.54</v>
      </c>
      <c r="CA52" s="363">
        <v>0.84</v>
      </c>
      <c r="CB52" s="364">
        <v>1.0900000000000001</v>
      </c>
      <c r="CC52" s="365">
        <v>0.95</v>
      </c>
    </row>
    <row r="53" spans="1:81">
      <c r="A53" s="117"/>
      <c r="B53" s="187">
        <f t="shared" si="0"/>
        <v>420</v>
      </c>
      <c r="C53" s="183">
        <v>0.2</v>
      </c>
      <c r="D53" s="362">
        <v>0.37</v>
      </c>
      <c r="E53" s="363">
        <v>0.59</v>
      </c>
      <c r="F53" s="364">
        <v>1.01</v>
      </c>
      <c r="G53" s="363">
        <v>0.94</v>
      </c>
      <c r="H53" s="364">
        <v>0.55000000000000004</v>
      </c>
      <c r="I53" s="363">
        <v>0.94</v>
      </c>
      <c r="J53" s="364">
        <v>1</v>
      </c>
      <c r="K53" s="365">
        <v>0.6</v>
      </c>
      <c r="M53" s="171">
        <v>0.2</v>
      </c>
      <c r="N53" s="362">
        <v>0.47</v>
      </c>
      <c r="O53" s="363">
        <v>0.74</v>
      </c>
      <c r="P53" s="364">
        <v>0.92</v>
      </c>
      <c r="Q53" s="363">
        <v>0.76</v>
      </c>
      <c r="R53" s="364">
        <v>0.5</v>
      </c>
      <c r="S53" s="363">
        <v>0.84</v>
      </c>
      <c r="T53" s="364">
        <v>1</v>
      </c>
      <c r="U53" s="365">
        <v>0.78</v>
      </c>
      <c r="W53" s="171">
        <v>0.2</v>
      </c>
      <c r="X53" s="362">
        <v>0.38</v>
      </c>
      <c r="Y53" s="363">
        <v>0.73</v>
      </c>
      <c r="Z53" s="364">
        <v>1.1000000000000001</v>
      </c>
      <c r="AA53" s="363">
        <v>0.9</v>
      </c>
      <c r="AB53" s="364">
        <v>0.46</v>
      </c>
      <c r="AC53" s="363">
        <v>0.87</v>
      </c>
      <c r="AD53" s="364">
        <v>1.06</v>
      </c>
      <c r="AE53" s="365">
        <v>0.73</v>
      </c>
      <c r="AG53" s="171">
        <v>0.2</v>
      </c>
      <c r="AH53" s="362">
        <v>0.43</v>
      </c>
      <c r="AI53" s="363">
        <v>0.87</v>
      </c>
      <c r="AJ53" s="364">
        <v>1.1200000000000001</v>
      </c>
      <c r="AK53" s="363">
        <v>0.82</v>
      </c>
      <c r="AL53" s="364">
        <v>0.41</v>
      </c>
      <c r="AM53" s="363">
        <v>0.76</v>
      </c>
      <c r="AN53" s="364">
        <v>1.05</v>
      </c>
      <c r="AO53" s="365">
        <v>0.81</v>
      </c>
      <c r="AQ53" s="171">
        <v>0.2</v>
      </c>
      <c r="AR53" s="362">
        <v>0.51</v>
      </c>
      <c r="AS53" s="363">
        <v>0.76</v>
      </c>
      <c r="AT53" s="364">
        <v>0.89</v>
      </c>
      <c r="AU53" s="363">
        <v>0.7</v>
      </c>
      <c r="AV53" s="364">
        <v>0.48</v>
      </c>
      <c r="AW53" s="363">
        <v>0.76</v>
      </c>
      <c r="AX53" s="364">
        <v>0.99</v>
      </c>
      <c r="AY53" s="365">
        <v>0.83</v>
      </c>
      <c r="BA53" s="171">
        <v>0.2</v>
      </c>
      <c r="BB53" s="362">
        <v>0.52</v>
      </c>
      <c r="BC53" s="363">
        <v>0.77</v>
      </c>
      <c r="BD53" s="364">
        <v>0.88</v>
      </c>
      <c r="BE53" s="363">
        <v>0.65</v>
      </c>
      <c r="BF53" s="364">
        <v>0.44</v>
      </c>
      <c r="BG53" s="363">
        <v>0.82</v>
      </c>
      <c r="BH53" s="364">
        <v>1.1200000000000001</v>
      </c>
      <c r="BI53" s="365">
        <v>0.91</v>
      </c>
      <c r="BK53" s="171">
        <v>0.2</v>
      </c>
      <c r="BL53" s="362">
        <v>0.62</v>
      </c>
      <c r="BM53" s="363">
        <v>0.85</v>
      </c>
      <c r="BN53" s="364">
        <v>0.93</v>
      </c>
      <c r="BO53" s="363">
        <v>0.7</v>
      </c>
      <c r="BP53" s="364">
        <v>0.45</v>
      </c>
      <c r="BQ53" s="363">
        <v>0.68</v>
      </c>
      <c r="BR53" s="364">
        <v>0.91</v>
      </c>
      <c r="BS53" s="365">
        <v>0.86</v>
      </c>
      <c r="BU53" s="171">
        <v>0.2</v>
      </c>
      <c r="BV53" s="362">
        <v>0.52</v>
      </c>
      <c r="BW53" s="363">
        <v>0.79</v>
      </c>
      <c r="BX53" s="364">
        <v>0.9</v>
      </c>
      <c r="BY53" s="363">
        <v>0.7</v>
      </c>
      <c r="BZ53" s="364">
        <v>0.48</v>
      </c>
      <c r="CA53" s="363">
        <v>0.73</v>
      </c>
      <c r="CB53" s="364">
        <v>0.98</v>
      </c>
      <c r="CC53" s="365">
        <v>0.83</v>
      </c>
    </row>
    <row r="54" spans="1:81">
      <c r="A54" s="117"/>
      <c r="B54" s="187">
        <f t="shared" si="0"/>
        <v>840</v>
      </c>
      <c r="C54" s="183">
        <v>0.4</v>
      </c>
      <c r="D54" s="362">
        <v>0.3</v>
      </c>
      <c r="E54" s="363">
        <v>0.45</v>
      </c>
      <c r="F54" s="364">
        <v>0.79</v>
      </c>
      <c r="G54" s="363">
        <v>0.69</v>
      </c>
      <c r="H54" s="364">
        <v>0.42</v>
      </c>
      <c r="I54" s="363">
        <v>0.75</v>
      </c>
      <c r="J54" s="364">
        <v>0.83</v>
      </c>
      <c r="K54" s="365">
        <v>0.47</v>
      </c>
      <c r="M54" s="171">
        <v>0.4</v>
      </c>
      <c r="N54" s="362">
        <v>0.39</v>
      </c>
      <c r="O54" s="363">
        <v>0.56000000000000005</v>
      </c>
      <c r="P54" s="364">
        <v>0.73</v>
      </c>
      <c r="Q54" s="363">
        <v>0.61</v>
      </c>
      <c r="R54" s="364">
        <v>0.4</v>
      </c>
      <c r="S54" s="363">
        <v>0.67</v>
      </c>
      <c r="T54" s="364">
        <v>0.83</v>
      </c>
      <c r="U54" s="365">
        <v>0.6</v>
      </c>
      <c r="W54" s="171">
        <v>0.4</v>
      </c>
      <c r="X54" s="362">
        <v>0.32</v>
      </c>
      <c r="Y54" s="363">
        <v>0.56000000000000005</v>
      </c>
      <c r="Z54" s="364">
        <v>0.88</v>
      </c>
      <c r="AA54" s="363">
        <v>0.71</v>
      </c>
      <c r="AB54" s="364">
        <v>0.38</v>
      </c>
      <c r="AC54" s="363">
        <v>0.72</v>
      </c>
      <c r="AD54" s="364">
        <v>0.84</v>
      </c>
      <c r="AE54" s="365">
        <v>0.56000000000000005</v>
      </c>
      <c r="AG54" s="171">
        <v>0.4</v>
      </c>
      <c r="AH54" s="362">
        <v>0.3</v>
      </c>
      <c r="AI54" s="363">
        <v>0.66</v>
      </c>
      <c r="AJ54" s="364">
        <v>0.92</v>
      </c>
      <c r="AK54" s="363">
        <v>0.67</v>
      </c>
      <c r="AL54" s="364">
        <v>0.34</v>
      </c>
      <c r="AM54" s="363">
        <v>0.62</v>
      </c>
      <c r="AN54" s="364">
        <v>0.85</v>
      </c>
      <c r="AO54" s="365">
        <v>0.62</v>
      </c>
      <c r="AQ54" s="171">
        <v>0.4</v>
      </c>
      <c r="AR54" s="362">
        <v>0.39</v>
      </c>
      <c r="AS54" s="363">
        <v>0.57999999999999996</v>
      </c>
      <c r="AT54" s="364">
        <v>0.71</v>
      </c>
      <c r="AU54" s="363">
        <v>0.56999999999999995</v>
      </c>
      <c r="AV54" s="364">
        <v>0.38</v>
      </c>
      <c r="AW54" s="363">
        <v>0.62</v>
      </c>
      <c r="AX54" s="364">
        <v>0.81</v>
      </c>
      <c r="AY54" s="365">
        <v>0.62</v>
      </c>
      <c r="BA54" s="171">
        <v>0.4</v>
      </c>
      <c r="BB54" s="362">
        <v>0.36</v>
      </c>
      <c r="BC54" s="363">
        <v>0.57999999999999996</v>
      </c>
      <c r="BD54" s="364">
        <v>0.71</v>
      </c>
      <c r="BE54" s="363">
        <v>0.54</v>
      </c>
      <c r="BF54" s="364">
        <v>0.36</v>
      </c>
      <c r="BG54" s="363">
        <v>0.67</v>
      </c>
      <c r="BH54" s="364">
        <v>0.9</v>
      </c>
      <c r="BI54" s="365">
        <v>0.69</v>
      </c>
      <c r="BK54" s="171">
        <v>0.4</v>
      </c>
      <c r="BL54" s="362">
        <v>0.4</v>
      </c>
      <c r="BM54" s="363">
        <v>0.65</v>
      </c>
      <c r="BN54" s="364">
        <v>0.76</v>
      </c>
      <c r="BO54" s="363">
        <v>0.57999999999999996</v>
      </c>
      <c r="BP54" s="364">
        <v>0.38</v>
      </c>
      <c r="BQ54" s="363">
        <v>0.55000000000000004</v>
      </c>
      <c r="BR54" s="364">
        <v>0.74</v>
      </c>
      <c r="BS54" s="365">
        <v>0.64</v>
      </c>
      <c r="BU54" s="171">
        <v>0.4</v>
      </c>
      <c r="BV54" s="362">
        <v>0.39</v>
      </c>
      <c r="BW54" s="363">
        <v>0.6</v>
      </c>
      <c r="BX54" s="364">
        <v>0.73</v>
      </c>
      <c r="BY54" s="363">
        <v>0.56999999999999995</v>
      </c>
      <c r="BZ54" s="364">
        <v>0.39</v>
      </c>
      <c r="CA54" s="363">
        <v>0.61</v>
      </c>
      <c r="CB54" s="364">
        <v>0.79</v>
      </c>
      <c r="CC54" s="365">
        <v>0.63</v>
      </c>
    </row>
    <row r="55" spans="1:81">
      <c r="A55" s="117"/>
      <c r="B55" s="187">
        <f t="shared" si="0"/>
        <v>1260</v>
      </c>
      <c r="C55" s="183">
        <v>0.6</v>
      </c>
      <c r="D55" s="362">
        <v>0.25</v>
      </c>
      <c r="E55" s="363">
        <v>0.37</v>
      </c>
      <c r="F55" s="364">
        <v>0.66</v>
      </c>
      <c r="G55" s="363">
        <v>0.59</v>
      </c>
      <c r="H55" s="364">
        <v>0.34</v>
      </c>
      <c r="I55" s="363">
        <v>0.6</v>
      </c>
      <c r="J55" s="364">
        <v>0.66</v>
      </c>
      <c r="K55" s="365">
        <v>0.38</v>
      </c>
      <c r="M55" s="171">
        <v>0.6</v>
      </c>
      <c r="N55" s="362">
        <v>0.33</v>
      </c>
      <c r="O55" s="363">
        <v>0.44</v>
      </c>
      <c r="P55" s="364">
        <v>0.6</v>
      </c>
      <c r="Q55" s="363">
        <v>0.49</v>
      </c>
      <c r="R55" s="364">
        <v>0.33</v>
      </c>
      <c r="S55" s="363">
        <v>0.55000000000000004</v>
      </c>
      <c r="T55" s="364">
        <v>0.67</v>
      </c>
      <c r="U55" s="365">
        <v>0.45</v>
      </c>
      <c r="W55" s="171">
        <v>0.6</v>
      </c>
      <c r="X55" s="362">
        <v>0.28000000000000003</v>
      </c>
      <c r="Y55" s="363">
        <v>0.43</v>
      </c>
      <c r="Z55" s="364">
        <v>0.74</v>
      </c>
      <c r="AA55" s="363">
        <v>0.57999999999999996</v>
      </c>
      <c r="AB55" s="364">
        <v>0.31</v>
      </c>
      <c r="AC55" s="363">
        <v>0.56999999999999995</v>
      </c>
      <c r="AD55" s="364">
        <v>0.71</v>
      </c>
      <c r="AE55" s="365">
        <v>0.44</v>
      </c>
      <c r="AG55" s="171">
        <v>0.6</v>
      </c>
      <c r="AH55" s="362">
        <v>0.27</v>
      </c>
      <c r="AI55" s="363">
        <v>0.5</v>
      </c>
      <c r="AJ55" s="364">
        <v>0.74</v>
      </c>
      <c r="AK55" s="363">
        <v>0.56000000000000005</v>
      </c>
      <c r="AL55" s="364">
        <v>0.28999999999999998</v>
      </c>
      <c r="AM55" s="363">
        <v>0.53</v>
      </c>
      <c r="AN55" s="364">
        <v>0.72</v>
      </c>
      <c r="AO55" s="365">
        <v>0.45</v>
      </c>
      <c r="AQ55" s="171">
        <v>0.6</v>
      </c>
      <c r="AR55" s="362">
        <v>0.35</v>
      </c>
      <c r="AS55" s="363">
        <v>0.46</v>
      </c>
      <c r="AT55" s="364">
        <v>0.57999999999999996</v>
      </c>
      <c r="AU55" s="363">
        <v>0.47</v>
      </c>
      <c r="AV55" s="364">
        <v>0.33</v>
      </c>
      <c r="AW55" s="363">
        <v>0.51</v>
      </c>
      <c r="AX55" s="364">
        <v>0.65</v>
      </c>
      <c r="AY55" s="365">
        <v>0.48</v>
      </c>
      <c r="BA55" s="171">
        <v>0.6</v>
      </c>
      <c r="BB55" s="362">
        <v>0.3</v>
      </c>
      <c r="BC55" s="363">
        <v>0.43</v>
      </c>
      <c r="BD55" s="364">
        <v>0.61</v>
      </c>
      <c r="BE55" s="363">
        <v>0.45</v>
      </c>
      <c r="BF55" s="364">
        <v>0.31</v>
      </c>
      <c r="BG55" s="363">
        <v>0.57999999999999996</v>
      </c>
      <c r="BH55" s="364">
        <v>0.76</v>
      </c>
      <c r="BI55" s="365">
        <v>0.51</v>
      </c>
      <c r="BK55" s="171">
        <v>0.6</v>
      </c>
      <c r="BL55" s="362">
        <v>0.32</v>
      </c>
      <c r="BM55" s="363">
        <v>0.51</v>
      </c>
      <c r="BN55" s="364">
        <v>0.65</v>
      </c>
      <c r="BO55" s="363">
        <v>0.5</v>
      </c>
      <c r="BP55" s="364">
        <v>0.33</v>
      </c>
      <c r="BQ55" s="363">
        <v>0.47</v>
      </c>
      <c r="BR55" s="364">
        <v>0.63</v>
      </c>
      <c r="BS55" s="365">
        <v>0.51</v>
      </c>
      <c r="BU55" s="171">
        <v>0.6</v>
      </c>
      <c r="BV55" s="362">
        <v>0.34</v>
      </c>
      <c r="BW55" s="363">
        <v>0.46</v>
      </c>
      <c r="BX55" s="364">
        <v>0.6</v>
      </c>
      <c r="BY55" s="363">
        <v>0.48</v>
      </c>
      <c r="BZ55" s="364">
        <v>0.33</v>
      </c>
      <c r="CA55" s="363">
        <v>0.5</v>
      </c>
      <c r="CB55" s="364">
        <v>0.66</v>
      </c>
      <c r="CC55" s="365">
        <v>0.49</v>
      </c>
    </row>
    <row r="56" spans="1:81">
      <c r="A56" s="117"/>
      <c r="B56" s="187">
        <f t="shared" si="0"/>
        <v>1680</v>
      </c>
      <c r="C56" s="183">
        <v>0.8</v>
      </c>
      <c r="D56" s="362">
        <v>0.22</v>
      </c>
      <c r="E56" s="363">
        <v>0.31</v>
      </c>
      <c r="F56" s="364">
        <v>0.53</v>
      </c>
      <c r="G56" s="363">
        <v>0.47</v>
      </c>
      <c r="H56" s="364">
        <v>0.3</v>
      </c>
      <c r="I56" s="363">
        <v>0.52</v>
      </c>
      <c r="J56" s="364">
        <v>0.57999999999999996</v>
      </c>
      <c r="K56" s="365">
        <v>0.32</v>
      </c>
      <c r="M56" s="171">
        <v>0.8</v>
      </c>
      <c r="N56" s="362">
        <v>0.28999999999999998</v>
      </c>
      <c r="O56" s="363">
        <v>0.37</v>
      </c>
      <c r="P56" s="364">
        <v>0.5</v>
      </c>
      <c r="Q56" s="363">
        <v>0.41</v>
      </c>
      <c r="R56" s="364">
        <v>0.28999999999999998</v>
      </c>
      <c r="S56" s="363">
        <v>0.46</v>
      </c>
      <c r="T56" s="364">
        <v>0.57999999999999996</v>
      </c>
      <c r="U56" s="365">
        <v>0.39</v>
      </c>
      <c r="W56" s="171">
        <v>0.8</v>
      </c>
      <c r="X56" s="362">
        <v>0.24</v>
      </c>
      <c r="Y56" s="363">
        <v>0.35</v>
      </c>
      <c r="Z56" s="364">
        <v>0.59</v>
      </c>
      <c r="AA56" s="363">
        <v>0.47</v>
      </c>
      <c r="AB56" s="364">
        <v>0.27</v>
      </c>
      <c r="AC56" s="363">
        <v>0.5</v>
      </c>
      <c r="AD56" s="364">
        <v>0.6</v>
      </c>
      <c r="AE56" s="365">
        <v>0.35</v>
      </c>
      <c r="AG56" s="171">
        <v>0.8</v>
      </c>
      <c r="AH56" s="362">
        <v>0.24</v>
      </c>
      <c r="AI56" s="363">
        <v>0.38</v>
      </c>
      <c r="AJ56" s="364">
        <v>0.63</v>
      </c>
      <c r="AK56" s="363">
        <v>0.49</v>
      </c>
      <c r="AL56" s="364">
        <v>0.25</v>
      </c>
      <c r="AM56" s="363">
        <v>0.45</v>
      </c>
      <c r="AN56" s="364">
        <v>0.59</v>
      </c>
      <c r="AO56" s="365">
        <v>0.36</v>
      </c>
      <c r="AQ56" s="171">
        <v>0.8</v>
      </c>
      <c r="AR56" s="362">
        <v>0.3</v>
      </c>
      <c r="AS56" s="363">
        <v>0.37</v>
      </c>
      <c r="AT56" s="364">
        <v>0.5</v>
      </c>
      <c r="AU56" s="363">
        <v>0.4</v>
      </c>
      <c r="AV56" s="364">
        <v>0.28000000000000003</v>
      </c>
      <c r="AW56" s="363">
        <v>0.43</v>
      </c>
      <c r="AX56" s="364">
        <v>0.52</v>
      </c>
      <c r="AY56" s="365">
        <v>0.4</v>
      </c>
      <c r="BA56" s="171">
        <v>0.8</v>
      </c>
      <c r="BB56" s="362">
        <v>0.26</v>
      </c>
      <c r="BC56" s="363">
        <v>0.35</v>
      </c>
      <c r="BD56" s="364">
        <v>0.5</v>
      </c>
      <c r="BE56" s="363">
        <v>0.38</v>
      </c>
      <c r="BF56" s="364">
        <v>0.26</v>
      </c>
      <c r="BG56" s="363">
        <v>0.5</v>
      </c>
      <c r="BH56" s="364">
        <v>0.66</v>
      </c>
      <c r="BI56" s="365">
        <v>0.4</v>
      </c>
      <c r="BK56" s="171">
        <v>0.8</v>
      </c>
      <c r="BL56" s="362">
        <v>0.28000000000000003</v>
      </c>
      <c r="BM56" s="363">
        <v>0.4</v>
      </c>
      <c r="BN56" s="364">
        <v>0.54</v>
      </c>
      <c r="BO56" s="363">
        <v>0.44</v>
      </c>
      <c r="BP56" s="364">
        <v>0.28000000000000003</v>
      </c>
      <c r="BQ56" s="363">
        <v>0.41</v>
      </c>
      <c r="BR56" s="364">
        <v>0.53</v>
      </c>
      <c r="BS56" s="365">
        <v>0.4</v>
      </c>
      <c r="BU56" s="171">
        <v>0.8</v>
      </c>
      <c r="BV56" s="362">
        <v>0.3</v>
      </c>
      <c r="BW56" s="363">
        <v>0.37</v>
      </c>
      <c r="BX56" s="364">
        <v>0.5</v>
      </c>
      <c r="BY56" s="363">
        <v>0.41</v>
      </c>
      <c r="BZ56" s="364">
        <v>0.28999999999999998</v>
      </c>
      <c r="CA56" s="363">
        <v>0.43</v>
      </c>
      <c r="CB56" s="364">
        <v>0.53</v>
      </c>
      <c r="CC56" s="365">
        <v>0.4</v>
      </c>
    </row>
    <row r="57" spans="1:81">
      <c r="A57" s="117"/>
      <c r="B57" s="187">
        <f t="shared" si="0"/>
        <v>2100</v>
      </c>
      <c r="C57" s="184">
        <v>1</v>
      </c>
      <c r="D57" s="147">
        <v>0.19</v>
      </c>
      <c r="E57" s="162">
        <v>0.26</v>
      </c>
      <c r="F57" s="157">
        <v>0.45</v>
      </c>
      <c r="G57" s="162">
        <v>0.41</v>
      </c>
      <c r="H57" s="157">
        <v>0.25</v>
      </c>
      <c r="I57" s="162">
        <v>0.43</v>
      </c>
      <c r="J57" s="157">
        <v>0.48</v>
      </c>
      <c r="K57" s="164">
        <v>0.28000000000000003</v>
      </c>
      <c r="M57" s="172">
        <v>1</v>
      </c>
      <c r="N57" s="147">
        <v>0.26</v>
      </c>
      <c r="O57" s="162">
        <v>0.3</v>
      </c>
      <c r="P57" s="157">
        <v>0.43</v>
      </c>
      <c r="Q57" s="162">
        <v>0.35</v>
      </c>
      <c r="R57" s="157">
        <v>0.24</v>
      </c>
      <c r="S57" s="162">
        <v>0.4</v>
      </c>
      <c r="T57" s="157">
        <v>0.47</v>
      </c>
      <c r="U57" s="164">
        <v>0.32</v>
      </c>
      <c r="W57" s="172">
        <v>1</v>
      </c>
      <c r="X57" s="147">
        <v>0.2</v>
      </c>
      <c r="Y57" s="162">
        <v>0.28999999999999998</v>
      </c>
      <c r="Z57" s="157">
        <v>0.5</v>
      </c>
      <c r="AA57" s="162">
        <v>0.4</v>
      </c>
      <c r="AB57" s="157">
        <v>0.24</v>
      </c>
      <c r="AC57" s="162">
        <v>0.43</v>
      </c>
      <c r="AD57" s="157">
        <v>0.53</v>
      </c>
      <c r="AE57" s="164">
        <v>0.28999999999999998</v>
      </c>
      <c r="AG57" s="172">
        <v>1</v>
      </c>
      <c r="AH57" s="147">
        <v>0.2</v>
      </c>
      <c r="AI57" s="162">
        <v>0.31</v>
      </c>
      <c r="AJ57" s="157">
        <v>0.55000000000000004</v>
      </c>
      <c r="AK57" s="162">
        <v>0.42</v>
      </c>
      <c r="AL57" s="157">
        <v>0.22</v>
      </c>
      <c r="AM57" s="162">
        <v>0.39</v>
      </c>
      <c r="AN57" s="157">
        <v>0.51</v>
      </c>
      <c r="AO57" s="164">
        <v>0.3</v>
      </c>
      <c r="AQ57" s="172">
        <v>1</v>
      </c>
      <c r="AR57" s="147">
        <v>0.26</v>
      </c>
      <c r="AS57" s="162">
        <v>0.31</v>
      </c>
      <c r="AT57" s="157">
        <v>0.42</v>
      </c>
      <c r="AU57" s="162">
        <v>0.34</v>
      </c>
      <c r="AV57" s="157">
        <v>0.25</v>
      </c>
      <c r="AW57" s="162">
        <v>0.37</v>
      </c>
      <c r="AX57" s="157">
        <v>0.46</v>
      </c>
      <c r="AY57" s="164">
        <v>0.31</v>
      </c>
      <c r="BA57" s="172">
        <v>1</v>
      </c>
      <c r="BB57" s="147">
        <v>0.22</v>
      </c>
      <c r="BC57" s="162">
        <v>0.28999999999999998</v>
      </c>
      <c r="BD57" s="157">
        <v>0.42</v>
      </c>
      <c r="BE57" s="162">
        <v>0.32</v>
      </c>
      <c r="BF57" s="157">
        <v>0.23</v>
      </c>
      <c r="BG57" s="162">
        <v>0.42</v>
      </c>
      <c r="BH57" s="157">
        <v>0.56000000000000005</v>
      </c>
      <c r="BI57" s="164">
        <v>0.36</v>
      </c>
      <c r="BK57" s="172">
        <v>1</v>
      </c>
      <c r="BL57" s="147">
        <v>0.25</v>
      </c>
      <c r="BM57" s="162">
        <v>0.33</v>
      </c>
      <c r="BN57" s="157">
        <v>0.48</v>
      </c>
      <c r="BO57" s="162">
        <v>0.37</v>
      </c>
      <c r="BP57" s="157">
        <v>0.25</v>
      </c>
      <c r="BQ57" s="162">
        <v>0.35</v>
      </c>
      <c r="BR57" s="157">
        <v>0.44</v>
      </c>
      <c r="BS57" s="164">
        <v>0.32</v>
      </c>
      <c r="BU57" s="172">
        <v>1</v>
      </c>
      <c r="BV57" s="147">
        <v>0.25</v>
      </c>
      <c r="BW57" s="162">
        <v>0.3</v>
      </c>
      <c r="BX57" s="157">
        <v>0.42</v>
      </c>
      <c r="BY57" s="162">
        <v>0.35</v>
      </c>
      <c r="BZ57" s="157">
        <v>0.25</v>
      </c>
      <c r="CA57" s="162">
        <v>0.37</v>
      </c>
      <c r="CB57" s="157">
        <v>0.47</v>
      </c>
      <c r="CC57" s="164">
        <v>0.33</v>
      </c>
    </row>
    <row r="58" spans="1:81">
      <c r="A58" s="117"/>
      <c r="B58" s="187">
        <f t="shared" si="0"/>
        <v>2520</v>
      </c>
      <c r="C58" s="183">
        <v>1.2</v>
      </c>
      <c r="D58" s="362">
        <v>0.18</v>
      </c>
      <c r="E58" s="363">
        <v>0.23</v>
      </c>
      <c r="F58" s="364">
        <v>0.37</v>
      </c>
      <c r="G58" s="363">
        <v>0.33</v>
      </c>
      <c r="H58" s="364">
        <v>0.22</v>
      </c>
      <c r="I58" s="363">
        <v>0.39</v>
      </c>
      <c r="J58" s="364">
        <v>0.42</v>
      </c>
      <c r="K58" s="365">
        <v>0.26</v>
      </c>
      <c r="M58" s="171">
        <v>1.2</v>
      </c>
      <c r="N58" s="362">
        <v>0.23</v>
      </c>
      <c r="O58" s="363">
        <v>0.27</v>
      </c>
      <c r="P58" s="364">
        <v>0.35</v>
      </c>
      <c r="Q58" s="363">
        <v>0.3</v>
      </c>
      <c r="R58" s="364">
        <v>0.22</v>
      </c>
      <c r="S58" s="363">
        <v>0.34</v>
      </c>
      <c r="T58" s="364">
        <v>0.41</v>
      </c>
      <c r="U58" s="365">
        <v>0.28000000000000003</v>
      </c>
      <c r="W58" s="171">
        <v>1.2</v>
      </c>
      <c r="X58" s="362">
        <v>0.19</v>
      </c>
      <c r="Y58" s="363">
        <v>0.26</v>
      </c>
      <c r="Z58" s="364">
        <v>0.42</v>
      </c>
      <c r="AA58" s="363">
        <v>0.34</v>
      </c>
      <c r="AB58" s="364">
        <v>0.21</v>
      </c>
      <c r="AC58" s="363">
        <v>0.37</v>
      </c>
      <c r="AD58" s="364">
        <v>0.43</v>
      </c>
      <c r="AE58" s="365">
        <v>0.26</v>
      </c>
      <c r="AG58" s="171">
        <v>1.2</v>
      </c>
      <c r="AH58" s="362">
        <v>0.19</v>
      </c>
      <c r="AI58" s="363">
        <v>0.26</v>
      </c>
      <c r="AJ58" s="364">
        <v>0.46</v>
      </c>
      <c r="AK58" s="363">
        <v>0.37</v>
      </c>
      <c r="AL58" s="364">
        <v>0.2</v>
      </c>
      <c r="AM58" s="363">
        <v>0.35</v>
      </c>
      <c r="AN58" s="364">
        <v>0.45</v>
      </c>
      <c r="AO58" s="365">
        <v>0.25</v>
      </c>
      <c r="AQ58" s="171">
        <v>1.2</v>
      </c>
      <c r="AR58" s="362">
        <v>0.24</v>
      </c>
      <c r="AS58" s="363">
        <v>0.26</v>
      </c>
      <c r="AT58" s="364">
        <v>0.36</v>
      </c>
      <c r="AU58" s="363">
        <v>0.3</v>
      </c>
      <c r="AV58" s="364">
        <v>0.22</v>
      </c>
      <c r="AW58" s="363">
        <v>0.33</v>
      </c>
      <c r="AX58" s="364">
        <v>0.4</v>
      </c>
      <c r="AY58" s="365">
        <v>0.27</v>
      </c>
      <c r="BA58" s="171">
        <v>1.2</v>
      </c>
      <c r="BB58" s="362">
        <v>0.2</v>
      </c>
      <c r="BC58" s="363">
        <v>0.24</v>
      </c>
      <c r="BD58" s="364">
        <v>0.37</v>
      </c>
      <c r="BE58" s="363">
        <v>0.28999999999999998</v>
      </c>
      <c r="BF58" s="364">
        <v>0.23</v>
      </c>
      <c r="BG58" s="363">
        <v>0.39</v>
      </c>
      <c r="BH58" s="364">
        <v>0.48</v>
      </c>
      <c r="BI58" s="365">
        <v>0.28999999999999998</v>
      </c>
      <c r="BK58" s="171">
        <v>1.2</v>
      </c>
      <c r="BL58" s="362">
        <v>0.22</v>
      </c>
      <c r="BM58" s="363">
        <v>0.28000000000000003</v>
      </c>
      <c r="BN58" s="364">
        <v>0.41</v>
      </c>
      <c r="BO58" s="363">
        <v>0.34</v>
      </c>
      <c r="BP58" s="364">
        <v>0.23</v>
      </c>
      <c r="BQ58" s="363">
        <v>0.31</v>
      </c>
      <c r="BR58" s="364">
        <v>0.38</v>
      </c>
      <c r="BS58" s="365">
        <v>0.27</v>
      </c>
      <c r="BU58" s="171">
        <v>1.2</v>
      </c>
      <c r="BV58" s="362">
        <v>0.23</v>
      </c>
      <c r="BW58" s="363">
        <v>0.28000000000000003</v>
      </c>
      <c r="BX58" s="364">
        <v>0.37</v>
      </c>
      <c r="BY58" s="363">
        <v>0.31</v>
      </c>
      <c r="BZ58" s="364">
        <v>0.23</v>
      </c>
      <c r="CA58" s="363">
        <v>0.33</v>
      </c>
      <c r="CB58" s="364">
        <v>0.39</v>
      </c>
      <c r="CC58" s="365">
        <v>0.26</v>
      </c>
    </row>
    <row r="59" spans="1:81">
      <c r="A59" s="117"/>
      <c r="B59" s="187">
        <f t="shared" si="0"/>
        <v>2940</v>
      </c>
      <c r="C59" s="183">
        <v>1.4</v>
      </c>
      <c r="D59" s="362">
        <v>0.17</v>
      </c>
      <c r="E59" s="363">
        <v>0.21</v>
      </c>
      <c r="F59" s="364">
        <v>0.32</v>
      </c>
      <c r="G59" s="363">
        <v>0.3</v>
      </c>
      <c r="H59" s="364">
        <v>0.22</v>
      </c>
      <c r="I59" s="363">
        <v>0.32</v>
      </c>
      <c r="J59" s="364">
        <v>0.37</v>
      </c>
      <c r="K59" s="365">
        <v>0.22</v>
      </c>
      <c r="M59" s="171">
        <v>1.4</v>
      </c>
      <c r="N59" s="362">
        <v>0.21</v>
      </c>
      <c r="O59" s="363">
        <v>0.24</v>
      </c>
      <c r="P59" s="364">
        <v>0.32</v>
      </c>
      <c r="Q59" s="363">
        <v>0.28000000000000003</v>
      </c>
      <c r="R59" s="364">
        <v>0.21</v>
      </c>
      <c r="S59" s="363">
        <v>0.3</v>
      </c>
      <c r="T59" s="364">
        <v>0.36</v>
      </c>
      <c r="U59" s="365">
        <v>0.24</v>
      </c>
      <c r="W59" s="171">
        <v>1.4</v>
      </c>
      <c r="X59" s="362">
        <v>0.17</v>
      </c>
      <c r="Y59" s="363">
        <v>0.22</v>
      </c>
      <c r="Z59" s="364">
        <v>0.35</v>
      </c>
      <c r="AA59" s="363">
        <v>0.31</v>
      </c>
      <c r="AB59" s="364">
        <v>0.2</v>
      </c>
      <c r="AC59" s="363">
        <v>0.32</v>
      </c>
      <c r="AD59" s="364">
        <v>0.41</v>
      </c>
      <c r="AE59" s="365">
        <v>0.23</v>
      </c>
      <c r="AG59" s="171">
        <v>1.4</v>
      </c>
      <c r="AH59" s="362">
        <v>0.16</v>
      </c>
      <c r="AI59" s="363">
        <v>0.23</v>
      </c>
      <c r="AJ59" s="364">
        <v>0.39</v>
      </c>
      <c r="AK59" s="363">
        <v>0.34</v>
      </c>
      <c r="AL59" s="364">
        <v>0.17</v>
      </c>
      <c r="AM59" s="363">
        <v>0.33</v>
      </c>
      <c r="AN59" s="364">
        <v>0.38</v>
      </c>
      <c r="AO59" s="365">
        <v>0.21</v>
      </c>
      <c r="AQ59" s="171">
        <v>1.4</v>
      </c>
      <c r="AR59" s="362">
        <v>0.21</v>
      </c>
      <c r="AS59" s="363">
        <v>0.23</v>
      </c>
      <c r="AT59" s="364">
        <v>0.32</v>
      </c>
      <c r="AU59" s="363">
        <v>0.27</v>
      </c>
      <c r="AV59" s="364">
        <v>0.2</v>
      </c>
      <c r="AW59" s="363">
        <v>0.28999999999999998</v>
      </c>
      <c r="AX59" s="364">
        <v>0.34</v>
      </c>
      <c r="AY59" s="365">
        <v>0.24</v>
      </c>
      <c r="BA59" s="171">
        <v>1.4</v>
      </c>
      <c r="BB59" s="362">
        <v>0.18</v>
      </c>
      <c r="BC59" s="363">
        <v>0.22</v>
      </c>
      <c r="BD59" s="364">
        <v>0.32</v>
      </c>
      <c r="BE59" s="363">
        <v>0.26</v>
      </c>
      <c r="BF59" s="364">
        <v>0.19</v>
      </c>
      <c r="BG59" s="363">
        <v>0.34</v>
      </c>
      <c r="BH59" s="364">
        <v>0.42</v>
      </c>
      <c r="BI59" s="365">
        <v>0.26</v>
      </c>
      <c r="BK59" s="171">
        <v>1.4</v>
      </c>
      <c r="BL59" s="362">
        <v>0.19</v>
      </c>
      <c r="BM59" s="363">
        <v>0.23</v>
      </c>
      <c r="BN59" s="364">
        <v>0.36</v>
      </c>
      <c r="BO59" s="363">
        <v>0.3</v>
      </c>
      <c r="BP59" s="364">
        <v>0.21</v>
      </c>
      <c r="BQ59" s="363">
        <v>0.28000000000000003</v>
      </c>
      <c r="BR59" s="364">
        <v>0.33</v>
      </c>
      <c r="BS59" s="365">
        <v>0.24</v>
      </c>
      <c r="BU59" s="171">
        <v>1.4</v>
      </c>
      <c r="BV59" s="362">
        <v>0.21</v>
      </c>
      <c r="BW59" s="363">
        <v>0.23</v>
      </c>
      <c r="BX59" s="364">
        <v>0.32</v>
      </c>
      <c r="BY59" s="363">
        <v>0.28999999999999998</v>
      </c>
      <c r="BZ59" s="364">
        <v>0.2</v>
      </c>
      <c r="CA59" s="363">
        <v>0.28999999999999998</v>
      </c>
      <c r="CB59" s="364">
        <v>0.34</v>
      </c>
      <c r="CC59" s="365">
        <v>0.24</v>
      </c>
    </row>
    <row r="60" spans="1:81">
      <c r="A60" s="117"/>
      <c r="B60" s="187">
        <f t="shared" si="0"/>
        <v>3360</v>
      </c>
      <c r="C60" s="183">
        <v>1.6</v>
      </c>
      <c r="D60" s="362">
        <v>0.15</v>
      </c>
      <c r="E60" s="363">
        <v>0.18</v>
      </c>
      <c r="F60" s="364">
        <v>0.28000000000000003</v>
      </c>
      <c r="G60" s="363">
        <v>0.26</v>
      </c>
      <c r="H60" s="364">
        <v>0.18</v>
      </c>
      <c r="I60" s="363">
        <v>0.28999999999999998</v>
      </c>
      <c r="J60" s="364">
        <v>0.34</v>
      </c>
      <c r="K60" s="365">
        <v>0.21</v>
      </c>
      <c r="M60" s="171">
        <v>1.6</v>
      </c>
      <c r="N60" s="362">
        <v>0.19</v>
      </c>
      <c r="O60" s="363">
        <v>0.23</v>
      </c>
      <c r="P60" s="364">
        <v>0.28000000000000003</v>
      </c>
      <c r="Q60" s="363">
        <v>0.25</v>
      </c>
      <c r="R60" s="364">
        <v>0.19</v>
      </c>
      <c r="S60" s="363">
        <v>0.27</v>
      </c>
      <c r="T60" s="364">
        <v>0.31</v>
      </c>
      <c r="U60" s="365">
        <v>0.22</v>
      </c>
      <c r="W60" s="171">
        <v>1.6</v>
      </c>
      <c r="X60" s="362">
        <v>0.17</v>
      </c>
      <c r="Y60" s="363">
        <v>0.2</v>
      </c>
      <c r="Z60" s="364">
        <v>0.33</v>
      </c>
      <c r="AA60" s="363">
        <v>0.27</v>
      </c>
      <c r="AB60" s="364">
        <v>0.16</v>
      </c>
      <c r="AC60" s="363">
        <v>0.31</v>
      </c>
      <c r="AD60" s="364">
        <v>0.35</v>
      </c>
      <c r="AE60" s="365">
        <v>0.21</v>
      </c>
      <c r="AG60" s="171">
        <v>1.6</v>
      </c>
      <c r="AH60" s="362">
        <v>0.16</v>
      </c>
      <c r="AI60" s="363">
        <v>0.2</v>
      </c>
      <c r="AJ60" s="364">
        <v>0.38</v>
      </c>
      <c r="AK60" s="363">
        <v>0.3</v>
      </c>
      <c r="AL60" s="364">
        <v>0.16</v>
      </c>
      <c r="AM60" s="363">
        <v>0.28999999999999998</v>
      </c>
      <c r="AN60" s="364">
        <v>0.33</v>
      </c>
      <c r="AO60" s="365">
        <v>0.2</v>
      </c>
      <c r="AQ60" s="171">
        <v>1.6</v>
      </c>
      <c r="AR60" s="362">
        <v>0.2</v>
      </c>
      <c r="AS60" s="363">
        <v>0.22</v>
      </c>
      <c r="AT60" s="364">
        <v>0.28999999999999998</v>
      </c>
      <c r="AU60" s="363">
        <v>0.23</v>
      </c>
      <c r="AV60" s="364">
        <v>0.18</v>
      </c>
      <c r="AW60" s="363">
        <v>0.27</v>
      </c>
      <c r="AX60" s="364">
        <v>0.3</v>
      </c>
      <c r="AY60" s="365">
        <v>0.21</v>
      </c>
      <c r="BA60" s="171">
        <v>1.6</v>
      </c>
      <c r="BB60" s="362">
        <v>0.16</v>
      </c>
      <c r="BC60" s="363">
        <v>0.19</v>
      </c>
      <c r="BD60" s="364">
        <v>0.28000000000000003</v>
      </c>
      <c r="BE60" s="363">
        <v>0.24</v>
      </c>
      <c r="BF60" s="364">
        <v>0.18</v>
      </c>
      <c r="BG60" s="363">
        <v>0.31</v>
      </c>
      <c r="BH60" s="364">
        <v>0.38</v>
      </c>
      <c r="BI60" s="365">
        <v>0.21</v>
      </c>
      <c r="BK60" s="171">
        <v>1.6</v>
      </c>
      <c r="BL60" s="362">
        <v>0.18</v>
      </c>
      <c r="BM60" s="363">
        <v>0.21</v>
      </c>
      <c r="BN60" s="364">
        <v>0.33</v>
      </c>
      <c r="BO60" s="363">
        <v>0.27</v>
      </c>
      <c r="BP60" s="364">
        <v>0.2</v>
      </c>
      <c r="BQ60" s="363">
        <v>0.26</v>
      </c>
      <c r="BR60" s="364">
        <v>0.31</v>
      </c>
      <c r="BS60" s="365">
        <v>0.21</v>
      </c>
      <c r="BU60" s="171">
        <v>1.6</v>
      </c>
      <c r="BV60" s="362">
        <v>0.2</v>
      </c>
      <c r="BW60" s="363">
        <v>0.21</v>
      </c>
      <c r="BX60" s="364">
        <v>0.3</v>
      </c>
      <c r="BY60" s="363">
        <v>0.25</v>
      </c>
      <c r="BZ60" s="364">
        <v>0.18</v>
      </c>
      <c r="CA60" s="363">
        <v>0.25</v>
      </c>
      <c r="CB60" s="364">
        <v>0.31</v>
      </c>
      <c r="CC60" s="365">
        <v>0.22</v>
      </c>
    </row>
    <row r="61" spans="1:81">
      <c r="A61" s="117"/>
      <c r="B61" s="187">
        <f t="shared" si="0"/>
        <v>3780</v>
      </c>
      <c r="C61" s="183">
        <v>1.8</v>
      </c>
      <c r="D61" s="362">
        <v>0.13</v>
      </c>
      <c r="E61" s="363">
        <v>0.18</v>
      </c>
      <c r="F61" s="364">
        <v>0.27</v>
      </c>
      <c r="G61" s="363">
        <v>0.22</v>
      </c>
      <c r="H61" s="364">
        <v>0.17</v>
      </c>
      <c r="I61" s="363">
        <v>0.28000000000000003</v>
      </c>
      <c r="J61" s="364">
        <v>0.3</v>
      </c>
      <c r="K61" s="365">
        <v>0.18</v>
      </c>
      <c r="M61" s="171">
        <v>1.8</v>
      </c>
      <c r="N61" s="362">
        <v>0.17</v>
      </c>
      <c r="O61" s="363">
        <v>0.2</v>
      </c>
      <c r="P61" s="364">
        <v>0.24</v>
      </c>
      <c r="Q61" s="363">
        <v>0.22</v>
      </c>
      <c r="R61" s="364">
        <v>0.17</v>
      </c>
      <c r="S61" s="363">
        <v>0.26</v>
      </c>
      <c r="T61" s="364">
        <v>0.28000000000000003</v>
      </c>
      <c r="U61" s="365">
        <v>0.2</v>
      </c>
      <c r="W61" s="171">
        <v>1.8</v>
      </c>
      <c r="X61" s="362">
        <v>0.15</v>
      </c>
      <c r="Y61" s="363">
        <v>0.19</v>
      </c>
      <c r="Z61" s="364">
        <v>0.3</v>
      </c>
      <c r="AA61" s="363">
        <v>0.24</v>
      </c>
      <c r="AB61" s="364">
        <v>0.16</v>
      </c>
      <c r="AC61" s="363">
        <v>0.28000000000000003</v>
      </c>
      <c r="AD61" s="364">
        <v>0.33</v>
      </c>
      <c r="AE61" s="365">
        <v>0.19</v>
      </c>
      <c r="AG61" s="171">
        <v>1.8</v>
      </c>
      <c r="AH61" s="362">
        <v>0.14000000000000001</v>
      </c>
      <c r="AI61" s="363">
        <v>0.18</v>
      </c>
      <c r="AJ61" s="364">
        <v>0.32</v>
      </c>
      <c r="AK61" s="363">
        <v>0.27</v>
      </c>
      <c r="AL61" s="364">
        <v>0.14000000000000001</v>
      </c>
      <c r="AM61" s="363">
        <v>0.25</v>
      </c>
      <c r="AN61" s="364">
        <v>0.32</v>
      </c>
      <c r="AO61" s="365">
        <v>0.17</v>
      </c>
      <c r="AQ61" s="171">
        <v>1.8</v>
      </c>
      <c r="AR61" s="362">
        <v>0.18</v>
      </c>
      <c r="AS61" s="363">
        <v>0.2</v>
      </c>
      <c r="AT61" s="364">
        <v>0.25</v>
      </c>
      <c r="AU61" s="363">
        <v>0.21</v>
      </c>
      <c r="AV61" s="364">
        <v>0.17</v>
      </c>
      <c r="AW61" s="363">
        <v>0.23</v>
      </c>
      <c r="AX61" s="364">
        <v>0.27</v>
      </c>
      <c r="AY61" s="365">
        <v>0.2</v>
      </c>
      <c r="BA61" s="171">
        <v>1.8</v>
      </c>
      <c r="BB61" s="362">
        <v>0.15</v>
      </c>
      <c r="BC61" s="363">
        <v>0.18</v>
      </c>
      <c r="BD61" s="364">
        <v>0.26</v>
      </c>
      <c r="BE61" s="363">
        <v>0.22</v>
      </c>
      <c r="BF61" s="364">
        <v>0.17</v>
      </c>
      <c r="BG61" s="363">
        <v>0.28000000000000003</v>
      </c>
      <c r="BH61" s="364">
        <v>0.34</v>
      </c>
      <c r="BI61" s="365">
        <v>0.2</v>
      </c>
      <c r="BK61" s="171">
        <v>1.8</v>
      </c>
      <c r="BL61" s="362">
        <v>0.17</v>
      </c>
      <c r="BM61" s="363">
        <v>0.2</v>
      </c>
      <c r="BN61" s="364">
        <v>0.28000000000000003</v>
      </c>
      <c r="BO61" s="363">
        <v>0.24</v>
      </c>
      <c r="BP61" s="364">
        <v>0.18</v>
      </c>
      <c r="BQ61" s="363">
        <v>0.24</v>
      </c>
      <c r="BR61" s="364">
        <v>0.27</v>
      </c>
      <c r="BS61" s="365">
        <v>0.19</v>
      </c>
      <c r="BU61" s="171">
        <v>1.8</v>
      </c>
      <c r="BV61" s="362">
        <v>0.19</v>
      </c>
      <c r="BW61" s="363">
        <v>0.2</v>
      </c>
      <c r="BX61" s="364">
        <v>0.25</v>
      </c>
      <c r="BY61" s="363">
        <v>0.22</v>
      </c>
      <c r="BZ61" s="364">
        <v>0.17</v>
      </c>
      <c r="CA61" s="363">
        <v>0.23</v>
      </c>
      <c r="CB61" s="364">
        <v>0.28000000000000003</v>
      </c>
      <c r="CC61" s="365">
        <v>0.2</v>
      </c>
    </row>
    <row r="62" spans="1:81">
      <c r="A62" s="117"/>
      <c r="B62" s="187">
        <f t="shared" si="0"/>
        <v>4200</v>
      </c>
      <c r="C62" s="185">
        <v>2</v>
      </c>
      <c r="D62" s="158">
        <v>0.12</v>
      </c>
      <c r="E62" s="163">
        <v>0.17</v>
      </c>
      <c r="F62" s="159">
        <v>0.23</v>
      </c>
      <c r="G62" s="163">
        <v>0.21</v>
      </c>
      <c r="H62" s="159">
        <v>0.16</v>
      </c>
      <c r="I62" s="163">
        <v>0.24</v>
      </c>
      <c r="J62" s="159">
        <v>0.28000000000000003</v>
      </c>
      <c r="K62" s="165">
        <v>0.17</v>
      </c>
      <c r="M62" s="173">
        <v>2</v>
      </c>
      <c r="N62" s="158">
        <v>0.17</v>
      </c>
      <c r="O62" s="163">
        <v>0.19</v>
      </c>
      <c r="P62" s="159">
        <v>0.22</v>
      </c>
      <c r="Q62" s="163">
        <v>0.21</v>
      </c>
      <c r="R62" s="159">
        <v>0.16</v>
      </c>
      <c r="S62" s="163">
        <v>0.22</v>
      </c>
      <c r="T62" s="159">
        <v>0.27</v>
      </c>
      <c r="U62" s="165">
        <v>0.19</v>
      </c>
      <c r="W62" s="173">
        <v>2</v>
      </c>
      <c r="X62" s="158">
        <v>0.15</v>
      </c>
      <c r="Y62" s="163">
        <v>0.18</v>
      </c>
      <c r="Z62" s="159">
        <v>0.25</v>
      </c>
      <c r="AA62" s="163">
        <v>0.24</v>
      </c>
      <c r="AB62" s="159">
        <v>0.15</v>
      </c>
      <c r="AC62" s="163">
        <v>0.24</v>
      </c>
      <c r="AD62" s="159">
        <v>0.27</v>
      </c>
      <c r="AE62" s="165">
        <v>0.17</v>
      </c>
      <c r="AG62" s="173">
        <v>2</v>
      </c>
      <c r="AH62" s="158">
        <v>0.13</v>
      </c>
      <c r="AI62" s="163">
        <v>0.17</v>
      </c>
      <c r="AJ62" s="159">
        <v>0.28000000000000003</v>
      </c>
      <c r="AK62" s="163">
        <v>0.23</v>
      </c>
      <c r="AL62" s="159">
        <v>0.14000000000000001</v>
      </c>
      <c r="AM62" s="163">
        <v>0.24</v>
      </c>
      <c r="AN62" s="159">
        <v>0.26</v>
      </c>
      <c r="AO62" s="165">
        <v>0.16</v>
      </c>
      <c r="AQ62" s="173">
        <v>2</v>
      </c>
      <c r="AR62" s="158">
        <v>0.17</v>
      </c>
      <c r="AS62" s="163">
        <v>0.17</v>
      </c>
      <c r="AT62" s="159">
        <v>0.24</v>
      </c>
      <c r="AU62" s="163">
        <v>0.21</v>
      </c>
      <c r="AV62" s="159">
        <v>0.16</v>
      </c>
      <c r="AW62" s="163">
        <v>0.21</v>
      </c>
      <c r="AX62" s="159">
        <v>0.25</v>
      </c>
      <c r="AY62" s="165">
        <v>0.19</v>
      </c>
      <c r="BA62" s="173">
        <v>2</v>
      </c>
      <c r="BB62" s="158">
        <v>0.14000000000000001</v>
      </c>
      <c r="BC62" s="163">
        <v>0.17</v>
      </c>
      <c r="BD62" s="159">
        <v>0.24</v>
      </c>
      <c r="BE62" s="163">
        <v>0.21</v>
      </c>
      <c r="BF62" s="159">
        <v>0.17</v>
      </c>
      <c r="BG62" s="163">
        <v>0.26</v>
      </c>
      <c r="BH62" s="159">
        <v>0.31</v>
      </c>
      <c r="BI62" s="165">
        <v>0.17</v>
      </c>
      <c r="BK62" s="173">
        <v>2</v>
      </c>
      <c r="BL62" s="158">
        <v>0.16</v>
      </c>
      <c r="BM62" s="163">
        <v>0.19</v>
      </c>
      <c r="BN62" s="159">
        <v>0.27</v>
      </c>
      <c r="BO62" s="163">
        <v>0.23</v>
      </c>
      <c r="BP62" s="159">
        <v>0.18</v>
      </c>
      <c r="BQ62" s="163">
        <v>0.21</v>
      </c>
      <c r="BR62" s="159">
        <v>0.25</v>
      </c>
      <c r="BS62" s="165">
        <v>0.18</v>
      </c>
      <c r="BU62" s="173">
        <v>2</v>
      </c>
      <c r="BV62" s="158">
        <v>0.16</v>
      </c>
      <c r="BW62" s="163">
        <v>0.18</v>
      </c>
      <c r="BX62" s="159">
        <v>0.23</v>
      </c>
      <c r="BY62" s="163">
        <v>0.21</v>
      </c>
      <c r="BZ62" s="159">
        <v>0.16</v>
      </c>
      <c r="CA62" s="163">
        <v>0.22</v>
      </c>
      <c r="CB62" s="159">
        <v>0.24</v>
      </c>
      <c r="CC62" s="165">
        <v>0.19</v>
      </c>
    </row>
    <row r="63" spans="1:81">
      <c r="A63" s="117"/>
      <c r="B63" s="117"/>
      <c r="C63" s="123" t="s">
        <v>68</v>
      </c>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row>
    <row r="64" spans="1:81">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row>
    <row r="65" spans="1:81">
      <c r="A65" s="117"/>
      <c r="B65" s="188">
        <v>2100</v>
      </c>
      <c r="C65" s="186" t="s">
        <v>189</v>
      </c>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row>
    <row r="66" spans="1:81">
      <c r="A66" s="117"/>
      <c r="B66" s="180" t="s">
        <v>192</v>
      </c>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row>
    <row r="67" spans="1:81">
      <c r="A67" s="117"/>
      <c r="B67" s="180"/>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row>
    <row r="68" spans="1:81">
      <c r="A68" s="117"/>
      <c r="B68" s="180"/>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row>
    <row r="69" spans="1:81">
      <c r="A69" s="117"/>
      <c r="B69" s="180"/>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row>
    <row r="70" spans="1:81" ht="15.75">
      <c r="A70" s="117"/>
      <c r="B70" s="190" t="s">
        <v>198</v>
      </c>
      <c r="C70" s="189" t="s">
        <v>191</v>
      </c>
      <c r="D70" s="117"/>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row>
    <row r="71" spans="1:81">
      <c r="A71" s="117"/>
      <c r="C71" s="180" t="s">
        <v>203</v>
      </c>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row>
    <row r="72" spans="1:81">
      <c r="A72" s="117"/>
      <c r="D72" s="126"/>
      <c r="E72" s="126"/>
      <c r="F72" s="126"/>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row>
    <row r="73" spans="1:81">
      <c r="A73" s="117"/>
      <c r="C73" s="3" t="s">
        <v>173</v>
      </c>
      <c r="L73" s="117"/>
      <c r="M73" s="3" t="s">
        <v>174</v>
      </c>
      <c r="V73" s="117"/>
      <c r="W73" s="3" t="s">
        <v>175</v>
      </c>
      <c r="AF73" s="117"/>
      <c r="AG73" s="3" t="s">
        <v>176</v>
      </c>
      <c r="AP73" s="117"/>
      <c r="AQ73" s="3" t="s">
        <v>177</v>
      </c>
      <c r="AZ73" s="117"/>
      <c r="BA73" s="3" t="s">
        <v>178</v>
      </c>
      <c r="BJ73" s="117"/>
      <c r="BK73" s="3" t="s">
        <v>179</v>
      </c>
      <c r="BT73" s="117"/>
      <c r="BU73" s="3" t="s">
        <v>180</v>
      </c>
    </row>
    <row r="74" spans="1:81">
      <c r="A74" s="117"/>
      <c r="C74" s="155"/>
      <c r="D74" s="153" t="s">
        <v>9</v>
      </c>
      <c r="E74" s="148" t="s">
        <v>1</v>
      </c>
      <c r="F74" s="148" t="s">
        <v>10</v>
      </c>
      <c r="G74" s="148" t="s">
        <v>2</v>
      </c>
      <c r="H74" s="148" t="s">
        <v>11</v>
      </c>
      <c r="I74" s="148" t="s">
        <v>7</v>
      </c>
      <c r="J74" s="148" t="s">
        <v>8</v>
      </c>
      <c r="K74" s="149" t="s">
        <v>12</v>
      </c>
      <c r="L74" s="117"/>
      <c r="M74" s="155"/>
      <c r="N74" s="153" t="s">
        <v>9</v>
      </c>
      <c r="O74" s="148" t="s">
        <v>1</v>
      </c>
      <c r="P74" s="148" t="s">
        <v>10</v>
      </c>
      <c r="Q74" s="148" t="s">
        <v>2</v>
      </c>
      <c r="R74" s="148" t="s">
        <v>11</v>
      </c>
      <c r="S74" s="148" t="s">
        <v>7</v>
      </c>
      <c r="T74" s="148" t="s">
        <v>8</v>
      </c>
      <c r="U74" s="149" t="s">
        <v>12</v>
      </c>
      <c r="W74" s="155"/>
      <c r="X74" s="153" t="s">
        <v>9</v>
      </c>
      <c r="Y74" s="148" t="s">
        <v>1</v>
      </c>
      <c r="Z74" s="148" t="s">
        <v>10</v>
      </c>
      <c r="AA74" s="148" t="s">
        <v>2</v>
      </c>
      <c r="AB74" s="148" t="s">
        <v>11</v>
      </c>
      <c r="AC74" s="148" t="s">
        <v>7</v>
      </c>
      <c r="AD74" s="148" t="s">
        <v>8</v>
      </c>
      <c r="AE74" s="149" t="s">
        <v>12</v>
      </c>
      <c r="AG74" s="155"/>
      <c r="AH74" s="153" t="s">
        <v>9</v>
      </c>
      <c r="AI74" s="148" t="s">
        <v>1</v>
      </c>
      <c r="AJ74" s="148" t="s">
        <v>10</v>
      </c>
      <c r="AK74" s="148" t="s">
        <v>2</v>
      </c>
      <c r="AL74" s="148" t="s">
        <v>11</v>
      </c>
      <c r="AM74" s="148" t="s">
        <v>7</v>
      </c>
      <c r="AN74" s="148" t="s">
        <v>8</v>
      </c>
      <c r="AO74" s="149" t="s">
        <v>12</v>
      </c>
      <c r="AQ74" s="155"/>
      <c r="AR74" s="153" t="s">
        <v>9</v>
      </c>
      <c r="AS74" s="148" t="s">
        <v>1</v>
      </c>
      <c r="AT74" s="148" t="s">
        <v>10</v>
      </c>
      <c r="AU74" s="148" t="s">
        <v>2</v>
      </c>
      <c r="AV74" s="148" t="s">
        <v>11</v>
      </c>
      <c r="AW74" s="148" t="s">
        <v>7</v>
      </c>
      <c r="AX74" s="148" t="s">
        <v>8</v>
      </c>
      <c r="AY74" s="149" t="s">
        <v>12</v>
      </c>
      <c r="BA74" s="155"/>
      <c r="BB74" s="153" t="s">
        <v>9</v>
      </c>
      <c r="BC74" s="148" t="s">
        <v>1</v>
      </c>
      <c r="BD74" s="148" t="s">
        <v>10</v>
      </c>
      <c r="BE74" s="148" t="s">
        <v>2</v>
      </c>
      <c r="BF74" s="148" t="s">
        <v>11</v>
      </c>
      <c r="BG74" s="148" t="s">
        <v>7</v>
      </c>
      <c r="BH74" s="148" t="s">
        <v>8</v>
      </c>
      <c r="BI74" s="149" t="s">
        <v>12</v>
      </c>
      <c r="BK74" s="155"/>
      <c r="BL74" s="153" t="s">
        <v>9</v>
      </c>
      <c r="BM74" s="148" t="s">
        <v>1</v>
      </c>
      <c r="BN74" s="148" t="s">
        <v>10</v>
      </c>
      <c r="BO74" s="148" t="s">
        <v>2</v>
      </c>
      <c r="BP74" s="148" t="s">
        <v>11</v>
      </c>
      <c r="BQ74" s="148" t="s">
        <v>7</v>
      </c>
      <c r="BR74" s="148" t="s">
        <v>8</v>
      </c>
      <c r="BS74" s="149" t="s">
        <v>12</v>
      </c>
      <c r="BU74" s="155"/>
      <c r="BV74" s="153" t="s">
        <v>9</v>
      </c>
      <c r="BW74" s="148" t="s">
        <v>1</v>
      </c>
      <c r="BX74" s="148" t="s">
        <v>10</v>
      </c>
      <c r="BY74" s="148" t="s">
        <v>2</v>
      </c>
      <c r="BZ74" s="148" t="s">
        <v>11</v>
      </c>
      <c r="CA74" s="148" t="s">
        <v>7</v>
      </c>
      <c r="CB74" s="148" t="s">
        <v>8</v>
      </c>
      <c r="CC74" s="149" t="s">
        <v>12</v>
      </c>
    </row>
    <row r="75" spans="1:81">
      <c r="A75" s="117"/>
      <c r="C75" s="156" t="s">
        <v>3</v>
      </c>
      <c r="D75" s="154">
        <v>0</v>
      </c>
      <c r="E75" s="151">
        <v>45</v>
      </c>
      <c r="F75" s="150">
        <v>90</v>
      </c>
      <c r="G75" s="151">
        <v>135</v>
      </c>
      <c r="H75" s="150">
        <v>180</v>
      </c>
      <c r="I75" s="151">
        <v>225</v>
      </c>
      <c r="J75" s="150">
        <v>270</v>
      </c>
      <c r="K75" s="152">
        <v>315</v>
      </c>
      <c r="L75" s="117"/>
      <c r="M75" s="156" t="s">
        <v>3</v>
      </c>
      <c r="N75" s="154">
        <v>0</v>
      </c>
      <c r="O75" s="151">
        <v>45</v>
      </c>
      <c r="P75" s="150">
        <v>90</v>
      </c>
      <c r="Q75" s="151">
        <v>135</v>
      </c>
      <c r="R75" s="150">
        <v>180</v>
      </c>
      <c r="S75" s="151">
        <v>225</v>
      </c>
      <c r="T75" s="150">
        <v>270</v>
      </c>
      <c r="U75" s="152">
        <v>315</v>
      </c>
      <c r="W75" s="156" t="s">
        <v>3</v>
      </c>
      <c r="X75" s="154">
        <v>0</v>
      </c>
      <c r="Y75" s="151">
        <v>45</v>
      </c>
      <c r="Z75" s="150">
        <v>90</v>
      </c>
      <c r="AA75" s="151">
        <v>135</v>
      </c>
      <c r="AB75" s="150">
        <v>180</v>
      </c>
      <c r="AC75" s="151">
        <v>225</v>
      </c>
      <c r="AD75" s="150">
        <v>270</v>
      </c>
      <c r="AE75" s="152">
        <v>315</v>
      </c>
      <c r="AG75" s="156" t="s">
        <v>3</v>
      </c>
      <c r="AH75" s="154">
        <v>0</v>
      </c>
      <c r="AI75" s="151">
        <v>45</v>
      </c>
      <c r="AJ75" s="150">
        <v>90</v>
      </c>
      <c r="AK75" s="151">
        <v>135</v>
      </c>
      <c r="AL75" s="150">
        <v>180</v>
      </c>
      <c r="AM75" s="151">
        <v>225</v>
      </c>
      <c r="AN75" s="150">
        <v>270</v>
      </c>
      <c r="AO75" s="152">
        <v>315</v>
      </c>
      <c r="AQ75" s="156" t="s">
        <v>3</v>
      </c>
      <c r="AR75" s="154">
        <v>0</v>
      </c>
      <c r="AS75" s="151">
        <v>45</v>
      </c>
      <c r="AT75" s="150">
        <v>90</v>
      </c>
      <c r="AU75" s="151">
        <v>135</v>
      </c>
      <c r="AV75" s="150">
        <v>180</v>
      </c>
      <c r="AW75" s="151">
        <v>225</v>
      </c>
      <c r="AX75" s="150">
        <v>270</v>
      </c>
      <c r="AY75" s="152">
        <v>315</v>
      </c>
      <c r="BA75" s="156" t="s">
        <v>3</v>
      </c>
      <c r="BB75" s="154">
        <v>0</v>
      </c>
      <c r="BC75" s="151">
        <v>45</v>
      </c>
      <c r="BD75" s="150">
        <v>90</v>
      </c>
      <c r="BE75" s="151">
        <v>135</v>
      </c>
      <c r="BF75" s="150">
        <v>180</v>
      </c>
      <c r="BG75" s="151">
        <v>225</v>
      </c>
      <c r="BH75" s="150">
        <v>270</v>
      </c>
      <c r="BI75" s="152">
        <v>315</v>
      </c>
      <c r="BK75" s="156" t="s">
        <v>3</v>
      </c>
      <c r="BL75" s="154">
        <v>0</v>
      </c>
      <c r="BM75" s="151">
        <v>45</v>
      </c>
      <c r="BN75" s="150">
        <v>90</v>
      </c>
      <c r="BO75" s="151">
        <v>135</v>
      </c>
      <c r="BP75" s="150">
        <v>180</v>
      </c>
      <c r="BQ75" s="151">
        <v>225</v>
      </c>
      <c r="BR75" s="150">
        <v>270</v>
      </c>
      <c r="BS75" s="152">
        <v>315</v>
      </c>
      <c r="BU75" s="156" t="s">
        <v>3</v>
      </c>
      <c r="BV75" s="154">
        <v>0</v>
      </c>
      <c r="BW75" s="151">
        <v>45</v>
      </c>
      <c r="BX75" s="150">
        <v>90</v>
      </c>
      <c r="BY75" s="151">
        <v>135</v>
      </c>
      <c r="BZ75" s="150">
        <v>180</v>
      </c>
      <c r="CA75" s="151">
        <v>225</v>
      </c>
      <c r="CB75" s="150">
        <v>270</v>
      </c>
      <c r="CC75" s="152">
        <v>315</v>
      </c>
    </row>
    <row r="76" spans="1:81">
      <c r="A76" s="117"/>
      <c r="C76" s="174">
        <v>0</v>
      </c>
      <c r="D76" s="160"/>
      <c r="E76" s="178"/>
      <c r="F76" s="161"/>
      <c r="G76" s="178"/>
      <c r="H76" s="161"/>
      <c r="I76" s="178"/>
      <c r="J76" s="161"/>
      <c r="K76" s="179"/>
      <c r="L76" s="117"/>
      <c r="M76" s="174">
        <v>0</v>
      </c>
      <c r="N76" s="160">
        <v>1.86</v>
      </c>
      <c r="O76" s="178">
        <v>1.44</v>
      </c>
      <c r="P76" s="161">
        <v>0.86</v>
      </c>
      <c r="Q76" s="178">
        <v>0.4</v>
      </c>
      <c r="R76" s="161">
        <v>0.37</v>
      </c>
      <c r="S76" s="178">
        <v>0.41</v>
      </c>
      <c r="T76" s="161">
        <v>0.91</v>
      </c>
      <c r="U76" s="179">
        <v>1.48</v>
      </c>
      <c r="V76" s="117"/>
      <c r="W76" s="174">
        <v>0</v>
      </c>
      <c r="X76" s="160">
        <v>1.92</v>
      </c>
      <c r="Y76" s="178">
        <v>1.49</v>
      </c>
      <c r="Z76" s="161">
        <v>0.88</v>
      </c>
      <c r="AA76" s="178">
        <v>0.32</v>
      </c>
      <c r="AB76" s="161">
        <v>0.25</v>
      </c>
      <c r="AC76" s="178">
        <v>0.33</v>
      </c>
      <c r="AD76" s="161">
        <v>0.95</v>
      </c>
      <c r="AE76" s="179">
        <v>1.56</v>
      </c>
      <c r="AF76" s="117"/>
      <c r="AG76" s="174">
        <v>0</v>
      </c>
      <c r="AH76" s="160">
        <v>1.97</v>
      </c>
      <c r="AI76" s="178">
        <v>1.51</v>
      </c>
      <c r="AJ76" s="161">
        <v>0.83</v>
      </c>
      <c r="AK76" s="178">
        <v>0.39</v>
      </c>
      <c r="AL76" s="161">
        <v>0.35</v>
      </c>
      <c r="AM76" s="178">
        <v>0.39</v>
      </c>
      <c r="AN76" s="161">
        <v>0.85</v>
      </c>
      <c r="AO76" s="179">
        <v>1.53</v>
      </c>
      <c r="AP76" s="117"/>
      <c r="AQ76" s="174">
        <v>0</v>
      </c>
      <c r="AR76" s="160">
        <v>2.0099999999999998</v>
      </c>
      <c r="AS76" s="178">
        <v>1.48</v>
      </c>
      <c r="AT76" s="161">
        <v>0.77</v>
      </c>
      <c r="AU76" s="178">
        <v>0.39</v>
      </c>
      <c r="AV76" s="161">
        <v>0.37</v>
      </c>
      <c r="AW76" s="178">
        <v>0.39</v>
      </c>
      <c r="AX76" s="161">
        <v>0.85</v>
      </c>
      <c r="AY76" s="179">
        <v>1.58</v>
      </c>
      <c r="AZ76" s="117"/>
      <c r="BA76" s="174">
        <v>0</v>
      </c>
      <c r="BB76" s="160">
        <v>1.9</v>
      </c>
      <c r="BC76" s="178">
        <v>1.43</v>
      </c>
      <c r="BD76" s="161">
        <v>0.8</v>
      </c>
      <c r="BE76" s="178">
        <v>0.45</v>
      </c>
      <c r="BF76" s="161">
        <v>0.43</v>
      </c>
      <c r="BG76" s="178">
        <v>0.45</v>
      </c>
      <c r="BH76" s="161">
        <v>0.88</v>
      </c>
      <c r="BI76" s="179">
        <v>1.53</v>
      </c>
      <c r="BJ76" s="117"/>
      <c r="BK76" s="174">
        <v>0</v>
      </c>
      <c r="BL76" s="160">
        <v>2.08</v>
      </c>
      <c r="BM76" s="178">
        <v>1.63</v>
      </c>
      <c r="BN76" s="161">
        <v>0.83</v>
      </c>
      <c r="BO76" s="178">
        <v>0.38</v>
      </c>
      <c r="BP76" s="161">
        <v>0.35</v>
      </c>
      <c r="BQ76" s="178">
        <v>0.38</v>
      </c>
      <c r="BR76" s="161">
        <v>0.75</v>
      </c>
      <c r="BS76" s="179">
        <v>1.5</v>
      </c>
      <c r="BT76" s="117"/>
      <c r="BU76" s="174">
        <v>0</v>
      </c>
      <c r="BV76" s="160">
        <v>1.93</v>
      </c>
      <c r="BW76" s="178">
        <v>1.48</v>
      </c>
      <c r="BX76" s="161">
        <v>0.81</v>
      </c>
      <c r="BY76" s="178">
        <v>0.47</v>
      </c>
      <c r="BZ76" s="161">
        <v>0.45</v>
      </c>
      <c r="CA76" s="178">
        <v>0.47</v>
      </c>
      <c r="CB76" s="161">
        <v>0.81</v>
      </c>
      <c r="CC76" s="179">
        <v>1.46</v>
      </c>
    </row>
    <row r="77" spans="1:81">
      <c r="A77" s="117"/>
      <c r="C77" s="175">
        <v>0.05</v>
      </c>
      <c r="D77" s="166"/>
      <c r="E77" s="167"/>
      <c r="F77" s="168"/>
      <c r="G77" s="167"/>
      <c r="H77" s="168"/>
      <c r="I77" s="167"/>
      <c r="J77" s="168"/>
      <c r="K77" s="169"/>
      <c r="L77" s="117"/>
      <c r="M77" s="175">
        <v>0.05</v>
      </c>
      <c r="N77" s="362">
        <v>1.8</v>
      </c>
      <c r="O77" s="363">
        <v>1.37</v>
      </c>
      <c r="P77" s="364">
        <v>0.8</v>
      </c>
      <c r="Q77" s="363">
        <v>0.34</v>
      </c>
      <c r="R77" s="364">
        <v>0.31</v>
      </c>
      <c r="S77" s="363">
        <v>0.36</v>
      </c>
      <c r="T77" s="364">
        <v>0.84</v>
      </c>
      <c r="U77" s="365">
        <v>1.42</v>
      </c>
      <c r="V77" s="117"/>
      <c r="W77" s="175">
        <v>0.05</v>
      </c>
      <c r="X77" s="362">
        <v>1.9</v>
      </c>
      <c r="Y77" s="363">
        <v>1.44</v>
      </c>
      <c r="Z77" s="364">
        <v>0.82</v>
      </c>
      <c r="AA77" s="363">
        <v>0.28000000000000003</v>
      </c>
      <c r="AB77" s="364">
        <v>0.22</v>
      </c>
      <c r="AC77" s="363">
        <v>0.28999999999999998</v>
      </c>
      <c r="AD77" s="364">
        <v>0.91</v>
      </c>
      <c r="AE77" s="365">
        <v>1.52</v>
      </c>
      <c r="AF77" s="117"/>
      <c r="AG77" s="175">
        <v>0.05</v>
      </c>
      <c r="AH77" s="362">
        <v>1.93</v>
      </c>
      <c r="AI77" s="363">
        <v>1.45</v>
      </c>
      <c r="AJ77" s="364">
        <v>0.76</v>
      </c>
      <c r="AK77" s="363">
        <v>0.33</v>
      </c>
      <c r="AL77" s="364">
        <v>0.28999999999999998</v>
      </c>
      <c r="AM77" s="363">
        <v>0.33</v>
      </c>
      <c r="AN77" s="364">
        <v>0.79</v>
      </c>
      <c r="AO77" s="365">
        <v>1.47</v>
      </c>
      <c r="AP77" s="117"/>
      <c r="AQ77" s="175">
        <v>0.05</v>
      </c>
      <c r="AR77" s="362">
        <v>1.95</v>
      </c>
      <c r="AS77" s="363">
        <v>1.42</v>
      </c>
      <c r="AT77" s="364">
        <v>0.7</v>
      </c>
      <c r="AU77" s="363">
        <v>0.33</v>
      </c>
      <c r="AV77" s="364">
        <v>0.31</v>
      </c>
      <c r="AW77" s="363">
        <v>0.33</v>
      </c>
      <c r="AX77" s="364">
        <v>0.78</v>
      </c>
      <c r="AY77" s="365">
        <v>1.51</v>
      </c>
      <c r="AZ77" s="117"/>
      <c r="BA77" s="175">
        <v>0.05</v>
      </c>
      <c r="BB77" s="362">
        <v>1.84</v>
      </c>
      <c r="BC77" s="363">
        <v>1.35</v>
      </c>
      <c r="BD77" s="364">
        <v>0.73</v>
      </c>
      <c r="BE77" s="363">
        <v>0.38</v>
      </c>
      <c r="BF77" s="364">
        <v>0.36</v>
      </c>
      <c r="BG77" s="363">
        <v>0.38</v>
      </c>
      <c r="BH77" s="364">
        <v>0.81</v>
      </c>
      <c r="BI77" s="365">
        <v>1.45</v>
      </c>
      <c r="BJ77" s="117"/>
      <c r="BK77" s="175">
        <v>0.05</v>
      </c>
      <c r="BL77" s="362">
        <v>2.0099999999999998</v>
      </c>
      <c r="BM77" s="363">
        <v>1.56</v>
      </c>
      <c r="BN77" s="364">
        <v>0.77</v>
      </c>
      <c r="BO77" s="363">
        <v>0.32</v>
      </c>
      <c r="BP77" s="364">
        <v>0.28999999999999998</v>
      </c>
      <c r="BQ77" s="363">
        <v>0.32</v>
      </c>
      <c r="BR77" s="364">
        <v>0.69</v>
      </c>
      <c r="BS77" s="365">
        <v>1.44</v>
      </c>
      <c r="BT77" s="117"/>
      <c r="BU77" s="175">
        <v>0.05</v>
      </c>
      <c r="BV77" s="362">
        <v>1.87</v>
      </c>
      <c r="BW77" s="363">
        <v>1.41</v>
      </c>
      <c r="BX77" s="364">
        <v>0.73</v>
      </c>
      <c r="BY77" s="363">
        <v>0.39</v>
      </c>
      <c r="BZ77" s="364">
        <v>0.38</v>
      </c>
      <c r="CA77" s="363">
        <v>0.39</v>
      </c>
      <c r="CB77" s="364">
        <v>0.73</v>
      </c>
      <c r="CC77" s="365">
        <v>1.39</v>
      </c>
    </row>
    <row r="78" spans="1:81">
      <c r="A78" s="117"/>
      <c r="C78" s="175">
        <v>0.1</v>
      </c>
      <c r="D78" s="166"/>
      <c r="E78" s="167"/>
      <c r="F78" s="168"/>
      <c r="G78" s="167"/>
      <c r="H78" s="168"/>
      <c r="I78" s="167"/>
      <c r="J78" s="168"/>
      <c r="K78" s="169"/>
      <c r="L78" s="117"/>
      <c r="M78" s="175">
        <v>0.1</v>
      </c>
      <c r="N78" s="362">
        <v>1.73</v>
      </c>
      <c r="O78" s="363">
        <v>1.33</v>
      </c>
      <c r="P78" s="364">
        <v>0.76</v>
      </c>
      <c r="Q78" s="363">
        <v>0.32</v>
      </c>
      <c r="R78" s="364">
        <v>0.28999999999999998</v>
      </c>
      <c r="S78" s="363">
        <v>0.34</v>
      </c>
      <c r="T78" s="364">
        <v>0.81</v>
      </c>
      <c r="U78" s="365">
        <v>1.34</v>
      </c>
      <c r="V78" s="117"/>
      <c r="W78" s="175">
        <v>0.1</v>
      </c>
      <c r="X78" s="362">
        <v>1.76</v>
      </c>
      <c r="Y78" s="363">
        <v>1.37</v>
      </c>
      <c r="Z78" s="364">
        <v>0.78</v>
      </c>
      <c r="AA78" s="363">
        <v>0.27</v>
      </c>
      <c r="AB78" s="364">
        <v>0.21</v>
      </c>
      <c r="AC78" s="363">
        <v>0.28000000000000003</v>
      </c>
      <c r="AD78" s="364">
        <v>0.87</v>
      </c>
      <c r="AE78" s="365">
        <v>1.44</v>
      </c>
      <c r="AF78" s="117"/>
      <c r="AG78" s="175">
        <v>0.1</v>
      </c>
      <c r="AH78" s="362">
        <v>1.91</v>
      </c>
      <c r="AI78" s="363">
        <v>1.4</v>
      </c>
      <c r="AJ78" s="364">
        <v>0.74</v>
      </c>
      <c r="AK78" s="363">
        <v>0.31</v>
      </c>
      <c r="AL78" s="364">
        <v>0.28000000000000003</v>
      </c>
      <c r="AM78" s="363">
        <v>0.31</v>
      </c>
      <c r="AN78" s="364">
        <v>0.75</v>
      </c>
      <c r="AO78" s="365">
        <v>1.42</v>
      </c>
      <c r="AP78" s="117"/>
      <c r="AQ78" s="175">
        <v>0.1</v>
      </c>
      <c r="AR78" s="362">
        <v>1.95</v>
      </c>
      <c r="AS78" s="363">
        <v>1.36</v>
      </c>
      <c r="AT78" s="364">
        <v>0.66</v>
      </c>
      <c r="AU78" s="363">
        <v>0.31</v>
      </c>
      <c r="AV78" s="364">
        <v>0.3</v>
      </c>
      <c r="AW78" s="363">
        <v>0.32</v>
      </c>
      <c r="AX78" s="364">
        <v>0.75</v>
      </c>
      <c r="AY78" s="365">
        <v>1.47</v>
      </c>
      <c r="AZ78" s="117"/>
      <c r="BA78" s="175">
        <v>0.1</v>
      </c>
      <c r="BB78" s="362">
        <v>1.82</v>
      </c>
      <c r="BC78" s="363">
        <v>1.3</v>
      </c>
      <c r="BD78" s="364">
        <v>0.7</v>
      </c>
      <c r="BE78" s="363">
        <v>0.36</v>
      </c>
      <c r="BF78" s="364">
        <v>0.34</v>
      </c>
      <c r="BG78" s="363">
        <v>0.36</v>
      </c>
      <c r="BH78" s="364">
        <v>0.76</v>
      </c>
      <c r="BI78" s="365">
        <v>1.42</v>
      </c>
      <c r="BJ78" s="117"/>
      <c r="BK78" s="175">
        <v>0.1</v>
      </c>
      <c r="BL78" s="362">
        <v>2.0099999999999998</v>
      </c>
      <c r="BM78" s="363">
        <v>1.53</v>
      </c>
      <c r="BN78" s="364">
        <v>0.73</v>
      </c>
      <c r="BO78" s="363">
        <v>0.3</v>
      </c>
      <c r="BP78" s="364">
        <v>0.28000000000000003</v>
      </c>
      <c r="BQ78" s="363">
        <v>0.3</v>
      </c>
      <c r="BR78" s="364">
        <v>0.66</v>
      </c>
      <c r="BS78" s="365">
        <v>1.41</v>
      </c>
      <c r="BT78" s="117"/>
      <c r="BU78" s="175">
        <v>0.1</v>
      </c>
      <c r="BV78" s="362">
        <v>1.85</v>
      </c>
      <c r="BW78" s="363">
        <v>1.36</v>
      </c>
      <c r="BX78" s="364">
        <v>0.7</v>
      </c>
      <c r="BY78" s="363">
        <v>0.37</v>
      </c>
      <c r="BZ78" s="364">
        <v>0.35</v>
      </c>
      <c r="CA78" s="363">
        <v>0.37</v>
      </c>
      <c r="CB78" s="364">
        <v>0.7</v>
      </c>
      <c r="CC78" s="365">
        <v>1.34</v>
      </c>
    </row>
    <row r="79" spans="1:81">
      <c r="A79" s="117"/>
      <c r="C79" s="175">
        <v>0.2</v>
      </c>
      <c r="D79" s="166"/>
      <c r="E79" s="167"/>
      <c r="F79" s="168"/>
      <c r="G79" s="167"/>
      <c r="H79" s="168"/>
      <c r="I79" s="167"/>
      <c r="J79" s="168"/>
      <c r="K79" s="169"/>
      <c r="L79" s="117"/>
      <c r="M79" s="175">
        <v>0.2</v>
      </c>
      <c r="N79" s="362">
        <v>1.51</v>
      </c>
      <c r="O79" s="363">
        <v>1.18</v>
      </c>
      <c r="P79" s="364">
        <v>0.68</v>
      </c>
      <c r="Q79" s="363">
        <v>0.28999999999999998</v>
      </c>
      <c r="R79" s="364">
        <v>0.27</v>
      </c>
      <c r="S79" s="363">
        <v>0.3</v>
      </c>
      <c r="T79" s="364">
        <v>0.73</v>
      </c>
      <c r="U79" s="365">
        <v>1.2</v>
      </c>
      <c r="V79" s="117"/>
      <c r="W79" s="175">
        <v>0.2</v>
      </c>
      <c r="X79" s="362">
        <v>1.57</v>
      </c>
      <c r="Y79" s="363">
        <v>1.22</v>
      </c>
      <c r="Z79" s="364">
        <v>0.7</v>
      </c>
      <c r="AA79" s="363">
        <v>0.24</v>
      </c>
      <c r="AB79" s="364">
        <v>0.2</v>
      </c>
      <c r="AC79" s="363">
        <v>0.25</v>
      </c>
      <c r="AD79" s="364">
        <v>0.78</v>
      </c>
      <c r="AE79" s="365">
        <v>1.3</v>
      </c>
      <c r="AF79" s="117"/>
      <c r="AG79" s="175">
        <v>0.2</v>
      </c>
      <c r="AH79" s="362">
        <v>1.62</v>
      </c>
      <c r="AI79" s="363">
        <v>1.28</v>
      </c>
      <c r="AJ79" s="364">
        <v>0.67</v>
      </c>
      <c r="AK79" s="363">
        <v>0.28000000000000003</v>
      </c>
      <c r="AL79" s="364">
        <v>0.25</v>
      </c>
      <c r="AM79" s="363">
        <v>0.28000000000000003</v>
      </c>
      <c r="AN79" s="364">
        <v>0.68</v>
      </c>
      <c r="AO79" s="365">
        <v>1.28</v>
      </c>
      <c r="AP79" s="117"/>
      <c r="AQ79" s="175">
        <v>0.2</v>
      </c>
      <c r="AR79" s="362">
        <v>1.63</v>
      </c>
      <c r="AS79" s="363">
        <v>1.21</v>
      </c>
      <c r="AT79" s="364">
        <v>0.59</v>
      </c>
      <c r="AU79" s="363">
        <v>0.28000000000000003</v>
      </c>
      <c r="AV79" s="364">
        <v>0.27</v>
      </c>
      <c r="AW79" s="363">
        <v>0.28000000000000003</v>
      </c>
      <c r="AX79" s="364">
        <v>0.67</v>
      </c>
      <c r="AY79" s="365">
        <v>1.32</v>
      </c>
      <c r="AZ79" s="117"/>
      <c r="BA79" s="175">
        <v>0.2</v>
      </c>
      <c r="BB79" s="362">
        <v>1.56</v>
      </c>
      <c r="BC79" s="363">
        <v>1.17</v>
      </c>
      <c r="BD79" s="364">
        <v>0.62</v>
      </c>
      <c r="BE79" s="363">
        <v>0.32</v>
      </c>
      <c r="BF79" s="364">
        <v>0.3</v>
      </c>
      <c r="BG79" s="363">
        <v>0.32</v>
      </c>
      <c r="BH79" s="364">
        <v>0.7</v>
      </c>
      <c r="BI79" s="365">
        <v>1.3</v>
      </c>
      <c r="BJ79" s="117"/>
      <c r="BK79" s="175">
        <v>0.2</v>
      </c>
      <c r="BL79" s="362">
        <v>1.89</v>
      </c>
      <c r="BM79" s="363">
        <v>1.43</v>
      </c>
      <c r="BN79" s="364">
        <v>0.68</v>
      </c>
      <c r="BO79" s="363">
        <v>0.27</v>
      </c>
      <c r="BP79" s="364">
        <v>0.25</v>
      </c>
      <c r="BQ79" s="363">
        <v>0.27</v>
      </c>
      <c r="BR79" s="364">
        <v>0.6</v>
      </c>
      <c r="BS79" s="365">
        <v>1.28</v>
      </c>
      <c r="BT79" s="117"/>
      <c r="BU79" s="175">
        <v>0.2</v>
      </c>
      <c r="BV79" s="362">
        <v>1.56</v>
      </c>
      <c r="BW79" s="363">
        <v>1.22</v>
      </c>
      <c r="BX79" s="364">
        <v>0.63</v>
      </c>
      <c r="BY79" s="363">
        <v>0.33</v>
      </c>
      <c r="BZ79" s="364">
        <v>0.32</v>
      </c>
      <c r="CA79" s="363">
        <v>0.33</v>
      </c>
      <c r="CB79" s="364">
        <v>0.63</v>
      </c>
      <c r="CC79" s="365">
        <v>1.2</v>
      </c>
    </row>
    <row r="80" spans="1:81">
      <c r="A80" s="117"/>
      <c r="C80" s="175">
        <v>0.4</v>
      </c>
      <c r="D80" s="166"/>
      <c r="E80" s="167"/>
      <c r="F80" s="168"/>
      <c r="G80" s="167"/>
      <c r="H80" s="168"/>
      <c r="I80" s="167"/>
      <c r="J80" s="168"/>
      <c r="K80" s="169"/>
      <c r="L80" s="117"/>
      <c r="M80" s="175">
        <v>0.4</v>
      </c>
      <c r="N80" s="362">
        <v>1.25</v>
      </c>
      <c r="O80" s="363">
        <v>0.95</v>
      </c>
      <c r="P80" s="364">
        <v>0.54</v>
      </c>
      <c r="Q80" s="363">
        <v>0.24</v>
      </c>
      <c r="R80" s="364">
        <v>0.23</v>
      </c>
      <c r="S80" s="363">
        <v>0.25</v>
      </c>
      <c r="T80" s="364">
        <v>0.61</v>
      </c>
      <c r="U80" s="365">
        <v>0.99</v>
      </c>
      <c r="V80" s="117"/>
      <c r="W80" s="175">
        <v>0.4</v>
      </c>
      <c r="X80" s="362">
        <v>1.25</v>
      </c>
      <c r="Y80" s="363">
        <v>1</v>
      </c>
      <c r="Z80" s="364">
        <v>0.6</v>
      </c>
      <c r="AA80" s="363">
        <v>0.2</v>
      </c>
      <c r="AB80" s="364">
        <v>0.18</v>
      </c>
      <c r="AC80" s="363">
        <v>0.21</v>
      </c>
      <c r="AD80" s="364">
        <v>0.67</v>
      </c>
      <c r="AE80" s="365">
        <v>1.08</v>
      </c>
      <c r="AF80" s="117"/>
      <c r="AG80" s="175">
        <v>0.4</v>
      </c>
      <c r="AH80" s="362">
        <v>1.48</v>
      </c>
      <c r="AI80" s="363">
        <v>1.0900000000000001</v>
      </c>
      <c r="AJ80" s="364">
        <v>0.56000000000000005</v>
      </c>
      <c r="AK80" s="363">
        <v>0.24</v>
      </c>
      <c r="AL80" s="364">
        <v>0.22</v>
      </c>
      <c r="AM80" s="363">
        <v>0.24</v>
      </c>
      <c r="AN80" s="364">
        <v>0.57999999999999996</v>
      </c>
      <c r="AO80" s="365">
        <v>1.1000000000000001</v>
      </c>
      <c r="AP80" s="117"/>
      <c r="AQ80" s="175">
        <v>0.4</v>
      </c>
      <c r="AR80" s="362">
        <v>1.49</v>
      </c>
      <c r="AS80" s="363">
        <v>1</v>
      </c>
      <c r="AT80" s="364">
        <v>0.49</v>
      </c>
      <c r="AU80" s="363">
        <v>0.24</v>
      </c>
      <c r="AV80" s="364">
        <v>0.23</v>
      </c>
      <c r="AW80" s="363">
        <v>0.24</v>
      </c>
      <c r="AX80" s="364">
        <v>0.55000000000000004</v>
      </c>
      <c r="AY80" s="365">
        <v>1.1000000000000001</v>
      </c>
      <c r="AZ80" s="117"/>
      <c r="BA80" s="175">
        <v>0.4</v>
      </c>
      <c r="BB80" s="362">
        <v>1.43</v>
      </c>
      <c r="BC80" s="363">
        <v>1.01</v>
      </c>
      <c r="BD80" s="364">
        <v>0.53</v>
      </c>
      <c r="BE80" s="363">
        <v>0.27</v>
      </c>
      <c r="BF80" s="364">
        <v>0.26</v>
      </c>
      <c r="BG80" s="363">
        <v>0.27</v>
      </c>
      <c r="BH80" s="364">
        <v>0.6</v>
      </c>
      <c r="BI80" s="365">
        <v>1.1000000000000001</v>
      </c>
      <c r="BJ80" s="117"/>
      <c r="BK80" s="175">
        <v>0.4</v>
      </c>
      <c r="BL80" s="362">
        <v>1.62</v>
      </c>
      <c r="BM80" s="363">
        <v>1.24</v>
      </c>
      <c r="BN80" s="364">
        <v>0.57999999999999996</v>
      </c>
      <c r="BO80" s="363">
        <v>0.23</v>
      </c>
      <c r="BP80" s="364">
        <v>0.21</v>
      </c>
      <c r="BQ80" s="363">
        <v>0.23</v>
      </c>
      <c r="BR80" s="364">
        <v>0.5</v>
      </c>
      <c r="BS80" s="365">
        <v>1.1299999999999999</v>
      </c>
      <c r="BT80" s="117"/>
      <c r="BU80" s="175">
        <v>0.4</v>
      </c>
      <c r="BV80" s="362">
        <v>1.41</v>
      </c>
      <c r="BW80" s="363">
        <v>1.02</v>
      </c>
      <c r="BX80" s="364">
        <v>0.51</v>
      </c>
      <c r="BY80" s="363">
        <v>0.28000000000000003</v>
      </c>
      <c r="BZ80" s="364">
        <v>0.27</v>
      </c>
      <c r="CA80" s="363">
        <v>0.28000000000000003</v>
      </c>
      <c r="CB80" s="364">
        <v>0.51</v>
      </c>
      <c r="CC80" s="365">
        <v>0.99</v>
      </c>
    </row>
    <row r="81" spans="1:81">
      <c r="A81" s="117"/>
      <c r="C81" s="175">
        <v>0.6</v>
      </c>
      <c r="D81" s="166"/>
      <c r="E81" s="167"/>
      <c r="F81" s="168"/>
      <c r="G81" s="167"/>
      <c r="H81" s="168"/>
      <c r="I81" s="167"/>
      <c r="J81" s="168"/>
      <c r="K81" s="169"/>
      <c r="L81" s="117"/>
      <c r="M81" s="175">
        <v>0.6</v>
      </c>
      <c r="N81" s="362">
        <v>1.04</v>
      </c>
      <c r="O81" s="363">
        <v>0.78</v>
      </c>
      <c r="P81" s="364">
        <v>0.48</v>
      </c>
      <c r="Q81" s="363">
        <v>0.21</v>
      </c>
      <c r="R81" s="364">
        <v>0.2</v>
      </c>
      <c r="S81" s="363">
        <v>0.22</v>
      </c>
      <c r="T81" s="364">
        <v>0.51</v>
      </c>
      <c r="U81" s="365">
        <v>0.83</v>
      </c>
      <c r="V81" s="117"/>
      <c r="W81" s="175">
        <v>0.6</v>
      </c>
      <c r="X81" s="362">
        <v>0.94</v>
      </c>
      <c r="Y81" s="363">
        <v>0.77</v>
      </c>
      <c r="Z81" s="364">
        <v>0.48</v>
      </c>
      <c r="AA81" s="363">
        <v>0.18</v>
      </c>
      <c r="AB81" s="364">
        <v>0.17</v>
      </c>
      <c r="AC81" s="363">
        <v>0.18</v>
      </c>
      <c r="AD81" s="364">
        <v>0.54</v>
      </c>
      <c r="AE81" s="365">
        <v>0.87</v>
      </c>
      <c r="AF81" s="117"/>
      <c r="AG81" s="175">
        <v>0.6</v>
      </c>
      <c r="AH81" s="362">
        <v>1.22</v>
      </c>
      <c r="AI81" s="363">
        <v>0.9</v>
      </c>
      <c r="AJ81" s="364">
        <v>0.49</v>
      </c>
      <c r="AK81" s="363">
        <v>0.21</v>
      </c>
      <c r="AL81" s="364">
        <v>0.19</v>
      </c>
      <c r="AM81" s="363">
        <v>0.21</v>
      </c>
      <c r="AN81" s="364">
        <v>0.49</v>
      </c>
      <c r="AO81" s="365">
        <v>0.9</v>
      </c>
      <c r="AP81" s="117"/>
      <c r="AQ81" s="175">
        <v>0.6</v>
      </c>
      <c r="AR81" s="362">
        <v>1.21</v>
      </c>
      <c r="AS81" s="363">
        <v>0.83</v>
      </c>
      <c r="AT81" s="364">
        <v>0.4</v>
      </c>
      <c r="AU81" s="363">
        <v>0.21</v>
      </c>
      <c r="AV81" s="364">
        <v>0.21</v>
      </c>
      <c r="AW81" s="363">
        <v>0.21</v>
      </c>
      <c r="AX81" s="364">
        <v>0.47</v>
      </c>
      <c r="AY81" s="365">
        <v>0.9</v>
      </c>
      <c r="AZ81" s="117"/>
      <c r="BA81" s="175">
        <v>0.6</v>
      </c>
      <c r="BB81" s="362">
        <v>1.22</v>
      </c>
      <c r="BC81" s="363">
        <v>0.86</v>
      </c>
      <c r="BD81" s="364">
        <v>0.45</v>
      </c>
      <c r="BE81" s="363">
        <v>0.23</v>
      </c>
      <c r="BF81" s="364">
        <v>0.23</v>
      </c>
      <c r="BG81" s="363">
        <v>0.23</v>
      </c>
      <c r="BH81" s="364">
        <v>0.52</v>
      </c>
      <c r="BI81" s="365">
        <v>0.95</v>
      </c>
      <c r="BJ81" s="117"/>
      <c r="BK81" s="175">
        <v>0.6</v>
      </c>
      <c r="BL81" s="362">
        <v>1.49</v>
      </c>
      <c r="BM81" s="363">
        <v>1.0900000000000001</v>
      </c>
      <c r="BN81" s="364">
        <v>0.5</v>
      </c>
      <c r="BO81" s="363">
        <v>0.2</v>
      </c>
      <c r="BP81" s="364">
        <v>0.19</v>
      </c>
      <c r="BQ81" s="363">
        <v>0.2</v>
      </c>
      <c r="BR81" s="364">
        <v>0.44</v>
      </c>
      <c r="BS81" s="365">
        <v>0.96</v>
      </c>
      <c r="BT81" s="117"/>
      <c r="BU81" s="175">
        <v>0.6</v>
      </c>
      <c r="BV81" s="362">
        <v>1.18</v>
      </c>
      <c r="BW81" s="363">
        <v>0.83</v>
      </c>
      <c r="BX81" s="364">
        <v>0.44</v>
      </c>
      <c r="BY81" s="363">
        <v>0.24</v>
      </c>
      <c r="BZ81" s="364">
        <v>0.24</v>
      </c>
      <c r="CA81" s="363">
        <v>0.24</v>
      </c>
      <c r="CB81" s="364">
        <v>0.44</v>
      </c>
      <c r="CC81" s="365">
        <v>0.82</v>
      </c>
    </row>
    <row r="82" spans="1:81">
      <c r="A82" s="117"/>
      <c r="C82" s="175">
        <v>0.8</v>
      </c>
      <c r="D82" s="166"/>
      <c r="E82" s="167"/>
      <c r="F82" s="168"/>
      <c r="G82" s="167"/>
      <c r="H82" s="168"/>
      <c r="I82" s="167"/>
      <c r="J82" s="168"/>
      <c r="K82" s="169"/>
      <c r="L82" s="117"/>
      <c r="M82" s="175">
        <v>0.8</v>
      </c>
      <c r="N82" s="362">
        <v>0.78</v>
      </c>
      <c r="O82" s="363">
        <v>0.62</v>
      </c>
      <c r="P82" s="364">
        <v>0.39</v>
      </c>
      <c r="Q82" s="363">
        <v>0.18</v>
      </c>
      <c r="R82" s="364">
        <v>0.19</v>
      </c>
      <c r="S82" s="363">
        <v>0.2</v>
      </c>
      <c r="T82" s="364">
        <v>0.44</v>
      </c>
      <c r="U82" s="365">
        <v>0.68</v>
      </c>
      <c r="V82" s="117"/>
      <c r="W82" s="175">
        <v>0.8</v>
      </c>
      <c r="X82" s="362">
        <v>0.63</v>
      </c>
      <c r="Y82" s="363">
        <v>0.61</v>
      </c>
      <c r="Z82" s="364">
        <v>0.43</v>
      </c>
      <c r="AA82" s="363">
        <v>0.16</v>
      </c>
      <c r="AB82" s="364">
        <v>0.15</v>
      </c>
      <c r="AC82" s="363">
        <v>0.17</v>
      </c>
      <c r="AD82" s="364">
        <v>0.46</v>
      </c>
      <c r="AE82" s="365">
        <v>0.7</v>
      </c>
      <c r="AF82" s="117"/>
      <c r="AG82" s="175">
        <v>0.8</v>
      </c>
      <c r="AH82" s="362">
        <v>1.06</v>
      </c>
      <c r="AI82" s="363">
        <v>0.74</v>
      </c>
      <c r="AJ82" s="364">
        <v>0.43</v>
      </c>
      <c r="AK82" s="363">
        <v>0.19</v>
      </c>
      <c r="AL82" s="364">
        <v>0.18</v>
      </c>
      <c r="AM82" s="363">
        <v>0.19</v>
      </c>
      <c r="AN82" s="364">
        <v>0.44</v>
      </c>
      <c r="AO82" s="365">
        <v>0.75</v>
      </c>
      <c r="AP82" s="117"/>
      <c r="AQ82" s="175">
        <v>0.8</v>
      </c>
      <c r="AR82" s="362">
        <v>0.98</v>
      </c>
      <c r="AS82" s="363">
        <v>0.68</v>
      </c>
      <c r="AT82" s="364">
        <v>0.35</v>
      </c>
      <c r="AU82" s="363">
        <v>0.19</v>
      </c>
      <c r="AV82" s="364">
        <v>0.19</v>
      </c>
      <c r="AW82" s="363">
        <v>0.19</v>
      </c>
      <c r="AX82" s="364">
        <v>0.42</v>
      </c>
      <c r="AY82" s="365">
        <v>0.73</v>
      </c>
      <c r="AZ82" s="117"/>
      <c r="BA82" s="175">
        <v>0.8</v>
      </c>
      <c r="BB82" s="362">
        <v>1.08</v>
      </c>
      <c r="BC82" s="363">
        <v>0.73</v>
      </c>
      <c r="BD82" s="364">
        <v>0.38</v>
      </c>
      <c r="BE82" s="363">
        <v>0.21</v>
      </c>
      <c r="BF82" s="364">
        <v>0.21</v>
      </c>
      <c r="BG82" s="363">
        <v>0.22</v>
      </c>
      <c r="BH82" s="364">
        <v>0.46</v>
      </c>
      <c r="BI82" s="365">
        <v>0.79</v>
      </c>
      <c r="BJ82" s="117"/>
      <c r="BK82" s="175">
        <v>0.8</v>
      </c>
      <c r="BL82" s="362">
        <v>1.27</v>
      </c>
      <c r="BM82" s="363">
        <v>0.94</v>
      </c>
      <c r="BN82" s="364">
        <v>0.44</v>
      </c>
      <c r="BO82" s="363">
        <v>0.18</v>
      </c>
      <c r="BP82" s="364">
        <v>0.17</v>
      </c>
      <c r="BQ82" s="363">
        <v>0.18</v>
      </c>
      <c r="BR82" s="364">
        <v>0.39</v>
      </c>
      <c r="BS82" s="365">
        <v>0.83</v>
      </c>
      <c r="BT82" s="117"/>
      <c r="BU82" s="175">
        <v>0.8</v>
      </c>
      <c r="BV82" s="362">
        <v>1</v>
      </c>
      <c r="BW82" s="363">
        <v>0.68</v>
      </c>
      <c r="BX82" s="364">
        <v>0.37</v>
      </c>
      <c r="BY82" s="363">
        <v>0.21</v>
      </c>
      <c r="BZ82" s="364">
        <v>0.22</v>
      </c>
      <c r="CA82" s="363">
        <v>0.21</v>
      </c>
      <c r="CB82" s="364">
        <v>0.36</v>
      </c>
      <c r="CC82" s="365">
        <v>0.67</v>
      </c>
    </row>
    <row r="83" spans="1:81">
      <c r="A83" s="117"/>
      <c r="C83" s="176">
        <v>1</v>
      </c>
      <c r="D83" s="147"/>
      <c r="E83" s="162"/>
      <c r="F83" s="157"/>
      <c r="G83" s="162"/>
      <c r="H83" s="157"/>
      <c r="I83" s="162"/>
      <c r="J83" s="157"/>
      <c r="K83" s="164"/>
      <c r="L83" s="117"/>
      <c r="M83" s="176">
        <v>1</v>
      </c>
      <c r="N83" s="147">
        <v>0.54</v>
      </c>
      <c r="O83" s="162">
        <v>0.53</v>
      </c>
      <c r="P83" s="157">
        <v>0.32</v>
      </c>
      <c r="Q83" s="162">
        <v>0.17</v>
      </c>
      <c r="R83" s="157">
        <v>0.18</v>
      </c>
      <c r="S83" s="162">
        <v>0.17</v>
      </c>
      <c r="T83" s="157">
        <v>0.37</v>
      </c>
      <c r="U83" s="164">
        <v>0.56000000000000005</v>
      </c>
      <c r="V83" s="117"/>
      <c r="W83" s="176">
        <v>1</v>
      </c>
      <c r="X83" s="147">
        <v>0.42</v>
      </c>
      <c r="Y83" s="162">
        <v>0.52</v>
      </c>
      <c r="Z83" s="157">
        <v>0.35</v>
      </c>
      <c r="AA83" s="162">
        <v>0.14000000000000001</v>
      </c>
      <c r="AB83" s="157">
        <v>0.14000000000000001</v>
      </c>
      <c r="AC83" s="162">
        <v>0.16</v>
      </c>
      <c r="AD83" s="157">
        <v>0.41</v>
      </c>
      <c r="AE83" s="164">
        <v>0.56000000000000005</v>
      </c>
      <c r="AF83" s="117"/>
      <c r="AG83" s="176">
        <v>1</v>
      </c>
      <c r="AH83" s="147">
        <v>0.85</v>
      </c>
      <c r="AI83" s="162">
        <v>0.66</v>
      </c>
      <c r="AJ83" s="157">
        <v>0.37</v>
      </c>
      <c r="AK83" s="162">
        <v>0.17</v>
      </c>
      <c r="AL83" s="157">
        <v>0.16</v>
      </c>
      <c r="AM83" s="162">
        <v>0.17</v>
      </c>
      <c r="AN83" s="157">
        <v>0.37</v>
      </c>
      <c r="AO83" s="164">
        <v>0.64</v>
      </c>
      <c r="AP83" s="117"/>
      <c r="AQ83" s="176">
        <v>1</v>
      </c>
      <c r="AR83" s="147">
        <v>0.8</v>
      </c>
      <c r="AS83" s="162">
        <v>0.52</v>
      </c>
      <c r="AT83" s="157">
        <v>0.28000000000000003</v>
      </c>
      <c r="AU83" s="162">
        <v>0.17</v>
      </c>
      <c r="AV83" s="157">
        <v>0.18</v>
      </c>
      <c r="AW83" s="162">
        <v>0.17</v>
      </c>
      <c r="AX83" s="157">
        <v>0.36</v>
      </c>
      <c r="AY83" s="164">
        <v>0.63</v>
      </c>
      <c r="AZ83" s="117"/>
      <c r="BA83" s="176">
        <v>1</v>
      </c>
      <c r="BB83" s="147">
        <v>0.86</v>
      </c>
      <c r="BC83" s="162">
        <v>0.57999999999999996</v>
      </c>
      <c r="BD83" s="157">
        <v>0.34</v>
      </c>
      <c r="BE83" s="162">
        <v>0.19</v>
      </c>
      <c r="BF83" s="157">
        <v>0.19</v>
      </c>
      <c r="BG83" s="162">
        <v>0.19</v>
      </c>
      <c r="BH83" s="157">
        <v>0.39</v>
      </c>
      <c r="BI83" s="164">
        <v>0.69</v>
      </c>
      <c r="BJ83" s="117"/>
      <c r="BK83" s="176">
        <v>1</v>
      </c>
      <c r="BL83" s="147">
        <v>1.1599999999999999</v>
      </c>
      <c r="BM83" s="162">
        <v>0.83</v>
      </c>
      <c r="BN83" s="157">
        <v>0.41</v>
      </c>
      <c r="BO83" s="162">
        <v>0.16</v>
      </c>
      <c r="BP83" s="157">
        <v>0.16</v>
      </c>
      <c r="BQ83" s="162">
        <v>0.16</v>
      </c>
      <c r="BR83" s="157">
        <v>0.34</v>
      </c>
      <c r="BS83" s="164">
        <v>0.71</v>
      </c>
      <c r="BT83" s="117"/>
      <c r="BU83" s="176">
        <v>1</v>
      </c>
      <c r="BV83" s="147">
        <v>0.79</v>
      </c>
      <c r="BW83" s="162">
        <v>0.59</v>
      </c>
      <c r="BX83" s="157">
        <v>0.32</v>
      </c>
      <c r="BY83" s="162">
        <v>0.2</v>
      </c>
      <c r="BZ83" s="157">
        <v>0.2</v>
      </c>
      <c r="CA83" s="162">
        <v>0.19</v>
      </c>
      <c r="CB83" s="157">
        <v>0.3</v>
      </c>
      <c r="CC83" s="164">
        <v>0.57999999999999996</v>
      </c>
    </row>
    <row r="84" spans="1:81">
      <c r="A84" s="117"/>
      <c r="C84" s="175">
        <v>1.2</v>
      </c>
      <c r="D84" s="166"/>
      <c r="E84" s="167"/>
      <c r="F84" s="168"/>
      <c r="G84" s="167"/>
      <c r="H84" s="168"/>
      <c r="I84" s="167"/>
      <c r="J84" s="168"/>
      <c r="K84" s="169"/>
      <c r="L84" s="117"/>
      <c r="M84" s="175">
        <v>1.2</v>
      </c>
      <c r="N84" s="362">
        <v>0.33</v>
      </c>
      <c r="O84" s="363">
        <v>0.42</v>
      </c>
      <c r="P84" s="364">
        <v>0.28000000000000003</v>
      </c>
      <c r="Q84" s="363">
        <v>0.15</v>
      </c>
      <c r="R84" s="364">
        <v>0.17</v>
      </c>
      <c r="S84" s="363">
        <v>0.16</v>
      </c>
      <c r="T84" s="364">
        <v>0.35</v>
      </c>
      <c r="U84" s="365">
        <v>0.46</v>
      </c>
      <c r="V84" s="117"/>
      <c r="W84" s="175">
        <v>1.2</v>
      </c>
      <c r="X84" s="362">
        <v>0.28999999999999998</v>
      </c>
      <c r="Y84" s="363">
        <v>0.4</v>
      </c>
      <c r="Z84" s="364">
        <v>0.31</v>
      </c>
      <c r="AA84" s="363">
        <v>0.13</v>
      </c>
      <c r="AB84" s="364">
        <v>0.14000000000000001</v>
      </c>
      <c r="AC84" s="363">
        <v>0.14000000000000001</v>
      </c>
      <c r="AD84" s="364">
        <v>0.34</v>
      </c>
      <c r="AE84" s="365">
        <v>0.48</v>
      </c>
      <c r="AF84" s="117"/>
      <c r="AG84" s="175">
        <v>1.2</v>
      </c>
      <c r="AH84" s="362">
        <v>0.61</v>
      </c>
      <c r="AI84" s="363">
        <v>0.51</v>
      </c>
      <c r="AJ84" s="364">
        <v>0.33</v>
      </c>
      <c r="AK84" s="363">
        <v>0.15</v>
      </c>
      <c r="AL84" s="364">
        <v>0.16</v>
      </c>
      <c r="AM84" s="363">
        <v>0.16</v>
      </c>
      <c r="AN84" s="364">
        <v>0.34</v>
      </c>
      <c r="AO84" s="365">
        <v>0.56000000000000005</v>
      </c>
      <c r="AP84" s="117"/>
      <c r="AQ84" s="175">
        <v>1.2</v>
      </c>
      <c r="AR84" s="362">
        <v>0.54</v>
      </c>
      <c r="AS84" s="363">
        <v>0.46</v>
      </c>
      <c r="AT84" s="364">
        <v>0.25</v>
      </c>
      <c r="AU84" s="363">
        <v>0.16</v>
      </c>
      <c r="AV84" s="364">
        <v>0.17</v>
      </c>
      <c r="AW84" s="363">
        <v>0.16</v>
      </c>
      <c r="AX84" s="364">
        <v>0.28999999999999998</v>
      </c>
      <c r="AY84" s="365">
        <v>0.5</v>
      </c>
      <c r="AZ84" s="117"/>
      <c r="BA84" s="175">
        <v>1.2</v>
      </c>
      <c r="BB84" s="362">
        <v>0.7</v>
      </c>
      <c r="BC84" s="363">
        <v>0.54</v>
      </c>
      <c r="BD84" s="364">
        <v>0.28999999999999998</v>
      </c>
      <c r="BE84" s="363">
        <v>0.18</v>
      </c>
      <c r="BF84" s="364">
        <v>0.17</v>
      </c>
      <c r="BG84" s="363">
        <v>0.18</v>
      </c>
      <c r="BH84" s="364">
        <v>0.36</v>
      </c>
      <c r="BI84" s="365">
        <v>0.57999999999999996</v>
      </c>
      <c r="BJ84" s="117"/>
      <c r="BK84" s="175">
        <v>1.2</v>
      </c>
      <c r="BL84" s="362">
        <v>0.91</v>
      </c>
      <c r="BM84" s="363">
        <v>0.7</v>
      </c>
      <c r="BN84" s="364">
        <v>0.34</v>
      </c>
      <c r="BO84" s="363">
        <v>0.15</v>
      </c>
      <c r="BP84" s="364">
        <v>0.15</v>
      </c>
      <c r="BQ84" s="363">
        <v>0.15</v>
      </c>
      <c r="BR84" s="364">
        <v>0.3</v>
      </c>
      <c r="BS84" s="365">
        <v>0.63</v>
      </c>
      <c r="BT84" s="117"/>
      <c r="BU84" s="175">
        <v>1.2</v>
      </c>
      <c r="BV84" s="362">
        <v>0.54</v>
      </c>
      <c r="BW84" s="363">
        <v>0.46</v>
      </c>
      <c r="BX84" s="364">
        <v>0.28000000000000003</v>
      </c>
      <c r="BY84" s="363">
        <v>0.18</v>
      </c>
      <c r="BZ84" s="364">
        <v>0.19</v>
      </c>
      <c r="CA84" s="363">
        <v>0.18</v>
      </c>
      <c r="CB84" s="364">
        <v>0.27</v>
      </c>
      <c r="CC84" s="365">
        <v>0.47</v>
      </c>
    </row>
    <row r="85" spans="1:81">
      <c r="A85" s="117"/>
      <c r="C85" s="175">
        <v>1.4</v>
      </c>
      <c r="D85" s="166"/>
      <c r="E85" s="167"/>
      <c r="F85" s="168"/>
      <c r="G85" s="167"/>
      <c r="H85" s="168"/>
      <c r="I85" s="167"/>
      <c r="J85" s="168"/>
      <c r="K85" s="169"/>
      <c r="L85" s="117"/>
      <c r="M85" s="175">
        <v>1.4</v>
      </c>
      <c r="N85" s="362">
        <v>0.28000000000000003</v>
      </c>
      <c r="O85" s="363">
        <v>0.36</v>
      </c>
      <c r="P85" s="364">
        <v>0.23</v>
      </c>
      <c r="Q85" s="363">
        <v>0.14000000000000001</v>
      </c>
      <c r="R85" s="364">
        <v>0.16</v>
      </c>
      <c r="S85" s="363">
        <v>0.15</v>
      </c>
      <c r="T85" s="364">
        <v>0.31</v>
      </c>
      <c r="U85" s="365">
        <v>0.38</v>
      </c>
      <c r="V85" s="117"/>
      <c r="W85" s="175">
        <v>1.4</v>
      </c>
      <c r="X85" s="362">
        <v>0.23</v>
      </c>
      <c r="Y85" s="363">
        <v>0.36</v>
      </c>
      <c r="Z85" s="364">
        <v>0.25</v>
      </c>
      <c r="AA85" s="363">
        <v>0.12</v>
      </c>
      <c r="AB85" s="364">
        <v>0.13</v>
      </c>
      <c r="AC85" s="363">
        <v>0.13</v>
      </c>
      <c r="AD85" s="364">
        <v>0.3</v>
      </c>
      <c r="AE85" s="365">
        <v>0.41</v>
      </c>
      <c r="AF85" s="117"/>
      <c r="AG85" s="175">
        <v>1.4</v>
      </c>
      <c r="AH85" s="362">
        <v>0.47</v>
      </c>
      <c r="AI85" s="363">
        <v>0.47</v>
      </c>
      <c r="AJ85" s="364">
        <v>0.3</v>
      </c>
      <c r="AK85" s="363">
        <v>0.14000000000000001</v>
      </c>
      <c r="AL85" s="364">
        <v>0.15</v>
      </c>
      <c r="AM85" s="363">
        <v>0.15</v>
      </c>
      <c r="AN85" s="364">
        <v>0.3</v>
      </c>
      <c r="AO85" s="365">
        <v>0.47</v>
      </c>
      <c r="AP85" s="117"/>
      <c r="AQ85" s="175">
        <v>1.4</v>
      </c>
      <c r="AR85" s="362">
        <v>0.4</v>
      </c>
      <c r="AS85" s="363">
        <v>0.34</v>
      </c>
      <c r="AT85" s="364">
        <v>0.21</v>
      </c>
      <c r="AU85" s="363">
        <v>0.15</v>
      </c>
      <c r="AV85" s="364">
        <v>0.16</v>
      </c>
      <c r="AW85" s="363">
        <v>0.15</v>
      </c>
      <c r="AX85" s="364">
        <v>0.28000000000000003</v>
      </c>
      <c r="AY85" s="365">
        <v>0.43</v>
      </c>
      <c r="AZ85" s="117"/>
      <c r="BA85" s="175">
        <v>1.4</v>
      </c>
      <c r="BB85" s="362">
        <v>0.53</v>
      </c>
      <c r="BC85" s="363">
        <v>0.41</v>
      </c>
      <c r="BD85" s="364">
        <v>0.26</v>
      </c>
      <c r="BE85" s="363">
        <v>0.16</v>
      </c>
      <c r="BF85" s="364">
        <v>0.17</v>
      </c>
      <c r="BG85" s="363">
        <v>0.17</v>
      </c>
      <c r="BH85" s="364">
        <v>0.32</v>
      </c>
      <c r="BI85" s="365">
        <v>0.52</v>
      </c>
      <c r="BJ85" s="117"/>
      <c r="BK85" s="175">
        <v>1.4</v>
      </c>
      <c r="BL85" s="362">
        <v>0.83</v>
      </c>
      <c r="BM85" s="363">
        <v>0.68</v>
      </c>
      <c r="BN85" s="364">
        <v>0.33</v>
      </c>
      <c r="BO85" s="363">
        <v>0.14000000000000001</v>
      </c>
      <c r="BP85" s="364">
        <v>0.14000000000000001</v>
      </c>
      <c r="BQ85" s="363">
        <v>0.14000000000000001</v>
      </c>
      <c r="BR85" s="364">
        <v>0.27</v>
      </c>
      <c r="BS85" s="365">
        <v>0.48</v>
      </c>
      <c r="BT85" s="117"/>
      <c r="BU85" s="175">
        <v>1.4</v>
      </c>
      <c r="BV85" s="362">
        <v>0.44</v>
      </c>
      <c r="BW85" s="363">
        <v>0.42</v>
      </c>
      <c r="BX85" s="364">
        <v>0.25</v>
      </c>
      <c r="BY85" s="363">
        <v>0.17</v>
      </c>
      <c r="BZ85" s="364">
        <v>0.18</v>
      </c>
      <c r="CA85" s="363">
        <v>0.17</v>
      </c>
      <c r="CB85" s="364">
        <v>0.24</v>
      </c>
      <c r="CC85" s="365">
        <v>0.38</v>
      </c>
    </row>
    <row r="86" spans="1:81">
      <c r="A86" s="117"/>
      <c r="C86" s="175">
        <v>1.6</v>
      </c>
      <c r="D86" s="166"/>
      <c r="E86" s="167"/>
      <c r="F86" s="168"/>
      <c r="G86" s="167"/>
      <c r="H86" s="168"/>
      <c r="I86" s="167"/>
      <c r="J86" s="168"/>
      <c r="K86" s="169"/>
      <c r="L86" s="117"/>
      <c r="M86" s="175">
        <v>1.6</v>
      </c>
      <c r="N86" s="362">
        <v>0.22</v>
      </c>
      <c r="O86" s="363">
        <v>0.28999999999999998</v>
      </c>
      <c r="P86" s="364">
        <v>0.22</v>
      </c>
      <c r="Q86" s="363">
        <v>0.14000000000000001</v>
      </c>
      <c r="R86" s="364">
        <v>0.15</v>
      </c>
      <c r="S86" s="363">
        <v>0.14000000000000001</v>
      </c>
      <c r="T86" s="364">
        <v>0.26</v>
      </c>
      <c r="U86" s="365">
        <v>0.34</v>
      </c>
      <c r="V86" s="117"/>
      <c r="W86" s="175">
        <v>1.6</v>
      </c>
      <c r="X86" s="362">
        <v>0.17</v>
      </c>
      <c r="Y86" s="363">
        <v>0.31</v>
      </c>
      <c r="Z86" s="364">
        <v>0.24</v>
      </c>
      <c r="AA86" s="363">
        <v>0.11</v>
      </c>
      <c r="AB86" s="364">
        <v>0.12</v>
      </c>
      <c r="AC86" s="363">
        <v>0.12</v>
      </c>
      <c r="AD86" s="364">
        <v>0.28999999999999998</v>
      </c>
      <c r="AE86" s="365">
        <v>0.34</v>
      </c>
      <c r="AF86" s="117"/>
      <c r="AG86" s="175">
        <v>1.6</v>
      </c>
      <c r="AH86" s="362">
        <v>0.34</v>
      </c>
      <c r="AI86" s="363">
        <v>0.41</v>
      </c>
      <c r="AJ86" s="364">
        <v>0.28000000000000003</v>
      </c>
      <c r="AK86" s="363">
        <v>0.14000000000000001</v>
      </c>
      <c r="AL86" s="364">
        <v>0.14000000000000001</v>
      </c>
      <c r="AM86" s="363">
        <v>0.14000000000000001</v>
      </c>
      <c r="AN86" s="364">
        <v>0.26</v>
      </c>
      <c r="AO86" s="365">
        <v>0.41</v>
      </c>
      <c r="AP86" s="117"/>
      <c r="AQ86" s="175">
        <v>1.6</v>
      </c>
      <c r="AR86" s="362">
        <v>0.28000000000000003</v>
      </c>
      <c r="AS86" s="363">
        <v>0.3</v>
      </c>
      <c r="AT86" s="364">
        <v>0.19</v>
      </c>
      <c r="AU86" s="363">
        <v>0.14000000000000001</v>
      </c>
      <c r="AV86" s="364">
        <v>0.14000000000000001</v>
      </c>
      <c r="AW86" s="363">
        <v>0.13</v>
      </c>
      <c r="AX86" s="364">
        <v>0.23</v>
      </c>
      <c r="AY86" s="365">
        <v>0.36</v>
      </c>
      <c r="AZ86" s="117"/>
      <c r="BA86" s="175">
        <v>1.6</v>
      </c>
      <c r="BB86" s="362">
        <v>0.44</v>
      </c>
      <c r="BC86" s="363">
        <v>0.37</v>
      </c>
      <c r="BD86" s="364">
        <v>0.22</v>
      </c>
      <c r="BE86" s="363">
        <v>0.15</v>
      </c>
      <c r="BF86" s="364">
        <v>0.16</v>
      </c>
      <c r="BG86" s="363">
        <v>0.15</v>
      </c>
      <c r="BH86" s="364">
        <v>0.28000000000000003</v>
      </c>
      <c r="BI86" s="365">
        <v>0.44</v>
      </c>
      <c r="BJ86" s="117"/>
      <c r="BK86" s="175">
        <v>1.6</v>
      </c>
      <c r="BL86" s="362">
        <v>0.64</v>
      </c>
      <c r="BM86" s="363">
        <v>0.49</v>
      </c>
      <c r="BN86" s="364">
        <v>0.3</v>
      </c>
      <c r="BO86" s="363">
        <v>0.13</v>
      </c>
      <c r="BP86" s="364">
        <v>0.13</v>
      </c>
      <c r="BQ86" s="363">
        <v>0.12</v>
      </c>
      <c r="BR86" s="364">
        <v>0.25</v>
      </c>
      <c r="BS86" s="365">
        <v>0.45</v>
      </c>
      <c r="BT86" s="117"/>
      <c r="BU86" s="175">
        <v>1.6</v>
      </c>
      <c r="BV86" s="362">
        <v>0.31</v>
      </c>
      <c r="BW86" s="363">
        <v>0.31</v>
      </c>
      <c r="BX86" s="364">
        <v>0.21</v>
      </c>
      <c r="BY86" s="363">
        <v>0.16</v>
      </c>
      <c r="BZ86" s="364">
        <v>0.17</v>
      </c>
      <c r="CA86" s="363">
        <v>0.15</v>
      </c>
      <c r="CB86" s="364">
        <v>0.22</v>
      </c>
      <c r="CC86" s="365">
        <v>0.32</v>
      </c>
    </row>
    <row r="87" spans="1:81">
      <c r="A87" s="117"/>
      <c r="C87" s="175">
        <v>1.8</v>
      </c>
      <c r="D87" s="166"/>
      <c r="E87" s="167"/>
      <c r="F87" s="168"/>
      <c r="G87" s="167"/>
      <c r="H87" s="168"/>
      <c r="I87" s="167"/>
      <c r="J87" s="168"/>
      <c r="K87" s="169"/>
      <c r="L87" s="117"/>
      <c r="M87" s="175">
        <v>1.8</v>
      </c>
      <c r="N87" s="362">
        <v>0.19</v>
      </c>
      <c r="O87" s="363">
        <v>0.25</v>
      </c>
      <c r="P87" s="364">
        <v>0.19</v>
      </c>
      <c r="Q87" s="363">
        <v>0.13</v>
      </c>
      <c r="R87" s="364">
        <v>0.14000000000000001</v>
      </c>
      <c r="S87" s="363">
        <v>0.13</v>
      </c>
      <c r="T87" s="364">
        <v>0.23</v>
      </c>
      <c r="U87" s="365">
        <v>0.28000000000000003</v>
      </c>
      <c r="V87" s="117"/>
      <c r="W87" s="175">
        <v>1.8</v>
      </c>
      <c r="X87" s="362">
        <v>0.15</v>
      </c>
      <c r="Y87" s="363">
        <v>0.22</v>
      </c>
      <c r="Z87" s="364">
        <v>0.19</v>
      </c>
      <c r="AA87" s="363">
        <v>0.11</v>
      </c>
      <c r="AB87" s="364">
        <v>0.12</v>
      </c>
      <c r="AC87" s="363">
        <v>0.11</v>
      </c>
      <c r="AD87" s="364">
        <v>0.24</v>
      </c>
      <c r="AE87" s="365">
        <v>0.31</v>
      </c>
      <c r="AF87" s="117"/>
      <c r="AG87" s="175">
        <v>1.8</v>
      </c>
      <c r="AH87" s="362">
        <v>0.26</v>
      </c>
      <c r="AI87" s="363">
        <v>0.35</v>
      </c>
      <c r="AJ87" s="364">
        <v>0.25</v>
      </c>
      <c r="AK87" s="363">
        <v>0.13</v>
      </c>
      <c r="AL87" s="364">
        <v>0.14000000000000001</v>
      </c>
      <c r="AM87" s="363">
        <v>0.13</v>
      </c>
      <c r="AN87" s="364">
        <v>0.24</v>
      </c>
      <c r="AO87" s="365">
        <v>0.35</v>
      </c>
      <c r="AP87" s="117"/>
      <c r="AQ87" s="175">
        <v>1.8</v>
      </c>
      <c r="AR87" s="362">
        <v>0.22</v>
      </c>
      <c r="AS87" s="363">
        <v>0.25</v>
      </c>
      <c r="AT87" s="364">
        <v>0.16</v>
      </c>
      <c r="AU87" s="363">
        <v>0.13</v>
      </c>
      <c r="AV87" s="364">
        <v>0.14000000000000001</v>
      </c>
      <c r="AW87" s="363">
        <v>0.13</v>
      </c>
      <c r="AX87" s="364">
        <v>0.2</v>
      </c>
      <c r="AY87" s="365">
        <v>0.32</v>
      </c>
      <c r="AZ87" s="117"/>
      <c r="BA87" s="175">
        <v>1.8</v>
      </c>
      <c r="BB87" s="362">
        <v>0.32</v>
      </c>
      <c r="BC87" s="363">
        <v>0.3</v>
      </c>
      <c r="BD87" s="364">
        <v>0.21</v>
      </c>
      <c r="BE87" s="363">
        <v>0.14000000000000001</v>
      </c>
      <c r="BF87" s="364">
        <v>0.15</v>
      </c>
      <c r="BG87" s="363">
        <v>0.14000000000000001</v>
      </c>
      <c r="BH87" s="364">
        <v>0.27</v>
      </c>
      <c r="BI87" s="365">
        <v>0.4</v>
      </c>
      <c r="BJ87" s="117"/>
      <c r="BK87" s="175">
        <v>1.8</v>
      </c>
      <c r="BL87" s="362">
        <v>0.52</v>
      </c>
      <c r="BM87" s="363">
        <v>0.47</v>
      </c>
      <c r="BN87" s="364">
        <v>0.24</v>
      </c>
      <c r="BO87" s="363">
        <v>0.12</v>
      </c>
      <c r="BP87" s="364">
        <v>0.13</v>
      </c>
      <c r="BQ87" s="363">
        <v>0.12</v>
      </c>
      <c r="BR87" s="364">
        <v>0.23</v>
      </c>
      <c r="BS87" s="365">
        <v>0.39</v>
      </c>
      <c r="BT87" s="117"/>
      <c r="BU87" s="175">
        <v>1.8</v>
      </c>
      <c r="BV87" s="362">
        <v>0.23</v>
      </c>
      <c r="BW87" s="363">
        <v>0.28000000000000003</v>
      </c>
      <c r="BX87" s="364">
        <v>0.19</v>
      </c>
      <c r="BY87" s="363">
        <v>0.14000000000000001</v>
      </c>
      <c r="BZ87" s="364">
        <v>0.16</v>
      </c>
      <c r="CA87" s="363">
        <v>0.14000000000000001</v>
      </c>
      <c r="CB87" s="364">
        <v>0.19</v>
      </c>
      <c r="CC87" s="365">
        <v>0.28999999999999998</v>
      </c>
    </row>
    <row r="88" spans="1:81">
      <c r="A88" s="117"/>
      <c r="C88" s="177">
        <v>2</v>
      </c>
      <c r="D88" s="158"/>
      <c r="E88" s="163"/>
      <c r="F88" s="159"/>
      <c r="G88" s="163"/>
      <c r="H88" s="159"/>
      <c r="I88" s="163"/>
      <c r="J88" s="159"/>
      <c r="K88" s="165"/>
      <c r="L88" s="117"/>
      <c r="M88" s="177">
        <v>2</v>
      </c>
      <c r="N88" s="158">
        <v>0.15</v>
      </c>
      <c r="O88" s="163">
        <v>0.19</v>
      </c>
      <c r="P88" s="159">
        <v>0.17</v>
      </c>
      <c r="Q88" s="163">
        <v>0.12</v>
      </c>
      <c r="R88" s="159">
        <v>0.14000000000000001</v>
      </c>
      <c r="S88" s="163">
        <v>0.13</v>
      </c>
      <c r="T88" s="159">
        <v>0.22</v>
      </c>
      <c r="U88" s="165">
        <v>0.27</v>
      </c>
      <c r="V88" s="117"/>
      <c r="W88" s="177">
        <v>2</v>
      </c>
      <c r="X88" s="158">
        <v>0.13</v>
      </c>
      <c r="Y88" s="163">
        <v>0.22</v>
      </c>
      <c r="Z88" s="159">
        <v>0.18</v>
      </c>
      <c r="AA88" s="163">
        <v>0.1</v>
      </c>
      <c r="AB88" s="159">
        <v>0.12</v>
      </c>
      <c r="AC88" s="163">
        <v>0.11</v>
      </c>
      <c r="AD88" s="159">
        <v>0.22</v>
      </c>
      <c r="AE88" s="165">
        <v>0.27</v>
      </c>
      <c r="AF88" s="117"/>
      <c r="AG88" s="177">
        <v>2</v>
      </c>
      <c r="AH88" s="158">
        <v>0.24</v>
      </c>
      <c r="AI88" s="163">
        <v>0.32</v>
      </c>
      <c r="AJ88" s="159">
        <v>0.22</v>
      </c>
      <c r="AK88" s="163">
        <v>0.12</v>
      </c>
      <c r="AL88" s="159">
        <v>0.13</v>
      </c>
      <c r="AM88" s="163">
        <v>0.12</v>
      </c>
      <c r="AN88" s="159">
        <v>0.22</v>
      </c>
      <c r="AO88" s="165">
        <v>0.28999999999999998</v>
      </c>
      <c r="AP88" s="117"/>
      <c r="AQ88" s="177">
        <v>2</v>
      </c>
      <c r="AR88" s="158">
        <v>0.18</v>
      </c>
      <c r="AS88" s="163">
        <v>0.19</v>
      </c>
      <c r="AT88" s="159">
        <v>0.15</v>
      </c>
      <c r="AU88" s="163">
        <v>0.12</v>
      </c>
      <c r="AV88" s="159">
        <v>0.14000000000000001</v>
      </c>
      <c r="AW88" s="163">
        <v>0.12</v>
      </c>
      <c r="AX88" s="159">
        <v>0.19</v>
      </c>
      <c r="AY88" s="165">
        <v>0.24</v>
      </c>
      <c r="AZ88" s="117"/>
      <c r="BA88" s="177">
        <v>2</v>
      </c>
      <c r="BB88" s="158">
        <v>0.25</v>
      </c>
      <c r="BC88" s="163">
        <v>0.27</v>
      </c>
      <c r="BD88" s="159">
        <v>0.2</v>
      </c>
      <c r="BE88" s="163">
        <v>0.13</v>
      </c>
      <c r="BF88" s="159">
        <v>0.14000000000000001</v>
      </c>
      <c r="BG88" s="163">
        <v>0.14000000000000001</v>
      </c>
      <c r="BH88" s="159">
        <v>0.24</v>
      </c>
      <c r="BI88" s="165">
        <v>0.32</v>
      </c>
      <c r="BJ88" s="117"/>
      <c r="BK88" s="177">
        <v>2</v>
      </c>
      <c r="BL88" s="158">
        <v>0.39</v>
      </c>
      <c r="BM88" s="163">
        <v>0.39</v>
      </c>
      <c r="BN88" s="159">
        <v>0.24</v>
      </c>
      <c r="BO88" s="163">
        <v>0.11</v>
      </c>
      <c r="BP88" s="159">
        <v>0.12</v>
      </c>
      <c r="BQ88" s="163">
        <v>0.12</v>
      </c>
      <c r="BR88" s="159">
        <v>0.2</v>
      </c>
      <c r="BS88" s="165">
        <v>0.33</v>
      </c>
      <c r="BT88" s="117"/>
      <c r="BU88" s="177">
        <v>2</v>
      </c>
      <c r="BV88" s="158">
        <v>0.19</v>
      </c>
      <c r="BW88" s="163">
        <v>0.25</v>
      </c>
      <c r="BX88" s="159">
        <v>0.16</v>
      </c>
      <c r="BY88" s="163">
        <v>0.14000000000000001</v>
      </c>
      <c r="BZ88" s="159">
        <v>0.15</v>
      </c>
      <c r="CA88" s="163">
        <v>0.14000000000000001</v>
      </c>
      <c r="CB88" s="159">
        <v>0.17</v>
      </c>
      <c r="CC88" s="165">
        <v>0.23</v>
      </c>
    </row>
    <row r="89" spans="1:81">
      <c r="A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J89" s="117"/>
      <c r="BT89" s="117"/>
      <c r="BU89" s="117"/>
      <c r="BV89" s="117"/>
      <c r="BW89" s="117"/>
      <c r="BX89" s="117"/>
      <c r="BY89" s="117"/>
      <c r="BZ89" s="117"/>
      <c r="CA89" s="117"/>
      <c r="CB89" s="117"/>
      <c r="CC89" s="117"/>
    </row>
    <row r="90" spans="1:81">
      <c r="A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J90" s="117"/>
      <c r="BT90" s="117"/>
      <c r="BU90" s="117"/>
      <c r="BV90" s="117"/>
      <c r="BW90" s="117"/>
      <c r="BX90" s="117"/>
      <c r="BY90" s="117"/>
      <c r="BZ90" s="117"/>
      <c r="CA90" s="117"/>
      <c r="CB90" s="117"/>
      <c r="CC90" s="117"/>
    </row>
    <row r="91" spans="1:81">
      <c r="A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J91" s="117"/>
      <c r="BT91" s="117"/>
      <c r="BU91" s="117"/>
      <c r="BV91" s="117"/>
      <c r="BW91" s="117"/>
      <c r="BX91" s="117"/>
      <c r="BY91" s="117"/>
      <c r="BZ91" s="117"/>
      <c r="CA91" s="117"/>
      <c r="CB91" s="117"/>
      <c r="CC91" s="117"/>
    </row>
    <row r="92" spans="1:81">
      <c r="A92" s="117"/>
    </row>
    <row r="93" spans="1:81">
      <c r="A93" s="117"/>
    </row>
  </sheetData>
  <sheetProtection password="EFF1" sheet="1" objects="1" scenarios="1" selectLockedCells="1" selectUnlockedCells="1"/>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180</vt:i4>
      </vt:variant>
    </vt:vector>
  </HeadingPairs>
  <TitlesOfParts>
    <vt:vector size="185" baseType="lpstr">
      <vt:lpstr>Help</vt:lpstr>
      <vt:lpstr>Screenshots</vt:lpstr>
      <vt:lpstr>Calculator</vt:lpstr>
      <vt:lpstr>Worksheet</vt:lpstr>
      <vt:lpstr>Tables</vt:lpstr>
      <vt:lpstr>ActiveA</vt:lpstr>
      <vt:lpstr>ActiveB</vt:lpstr>
      <vt:lpstr>ActiveDisplayed</vt:lpstr>
      <vt:lpstr>ActiveHidden</vt:lpstr>
      <vt:lpstr>AdviceIssuesOnly</vt:lpstr>
      <vt:lpstr>AirMovement</vt:lpstr>
      <vt:lpstr>AllInputsOK</vt:lpstr>
      <vt:lpstr>AllowanceCuA</vt:lpstr>
      <vt:lpstr>AllowanceCuB</vt:lpstr>
      <vt:lpstr>AllowedCond</vt:lpstr>
      <vt:lpstr>AllowedSHG</vt:lpstr>
      <vt:lpstr>AreaA</vt:lpstr>
      <vt:lpstr>AreaAll</vt:lpstr>
      <vt:lpstr>AreaApercent</vt:lpstr>
      <vt:lpstr>AreaB</vt:lpstr>
      <vt:lpstr>AreaBpercent</vt:lpstr>
      <vt:lpstr>AreaUsed</vt:lpstr>
      <vt:lpstr>BC_AirMove</vt:lpstr>
      <vt:lpstr>BC_Apply</vt:lpstr>
      <vt:lpstr>BC_DataColumn</vt:lpstr>
      <vt:lpstr>BC_DataTable</vt:lpstr>
      <vt:lpstr>Worksheet!BC_FanEvap</vt:lpstr>
      <vt:lpstr>BC_Floor_ConcDn</vt:lpstr>
      <vt:lpstr>BC_Floor_ConcUp</vt:lpstr>
      <vt:lpstr>BC_Floor_Enclose</vt:lpstr>
      <vt:lpstr>BC_Floor_EncloseHt</vt:lpstr>
      <vt:lpstr>BC_Floor_TimberDn</vt:lpstr>
      <vt:lpstr>BC_Floor_TimberUp</vt:lpstr>
      <vt:lpstr>BC_Floor_Type</vt:lpstr>
      <vt:lpstr>BC_FloorR</vt:lpstr>
      <vt:lpstr>BC_Glaz_F_A</vt:lpstr>
      <vt:lpstr>BC_InsRange1</vt:lpstr>
      <vt:lpstr>BC_InsRange2</vt:lpstr>
      <vt:lpstr>BC_InsRange3</vt:lpstr>
      <vt:lpstr>BC_InsRange4</vt:lpstr>
      <vt:lpstr>BC_InsRange5</vt:lpstr>
      <vt:lpstr>BC_InsRange6</vt:lpstr>
      <vt:lpstr>BC_InsRange7</vt:lpstr>
      <vt:lpstr>BC_InsRange8</vt:lpstr>
      <vt:lpstr>BC_InsValue1</vt:lpstr>
      <vt:lpstr>BC_InsValue2</vt:lpstr>
      <vt:lpstr>BC_InsValue3</vt:lpstr>
      <vt:lpstr>BC_InsValue4</vt:lpstr>
      <vt:lpstr>BC_InsValue5</vt:lpstr>
      <vt:lpstr>BC_InsValue6</vt:lpstr>
      <vt:lpstr>BC_InsValue7</vt:lpstr>
      <vt:lpstr>BC_InsValue8</vt:lpstr>
      <vt:lpstr>BC_PenRange</vt:lpstr>
      <vt:lpstr>BC_PenRange_AltExist</vt:lpstr>
      <vt:lpstr>BC_PenRange1</vt:lpstr>
      <vt:lpstr>BC_PenRange2</vt:lpstr>
      <vt:lpstr>BC_PenRange3</vt:lpstr>
      <vt:lpstr>BC_PenRange4</vt:lpstr>
      <vt:lpstr>BC_PenRange5</vt:lpstr>
      <vt:lpstr>BC_PenRange6</vt:lpstr>
      <vt:lpstr>BC_PenRange7</vt:lpstr>
      <vt:lpstr>BC_PenRange8</vt:lpstr>
      <vt:lpstr>BC_RLight_Percent</vt:lpstr>
      <vt:lpstr>BC_RLight_Shaft</vt:lpstr>
      <vt:lpstr>BC_RLight_SHGC</vt:lpstr>
      <vt:lpstr>BC_RLight_U</vt:lpstr>
      <vt:lpstr>BC_RoofAbs</vt:lpstr>
      <vt:lpstr>BC_RoofAlter</vt:lpstr>
      <vt:lpstr>BC_RoofCeiling</vt:lpstr>
      <vt:lpstr>BC_RoofConst</vt:lpstr>
      <vt:lpstr>BC_RoofConst_Dn</vt:lpstr>
      <vt:lpstr>BC_RoofConst_Up</vt:lpstr>
      <vt:lpstr>BC_RoofCover</vt:lpstr>
      <vt:lpstr>BC_RoofR</vt:lpstr>
      <vt:lpstr>BC_RoofValues</vt:lpstr>
      <vt:lpstr>BC_RoofVent</vt:lpstr>
      <vt:lpstr>BC_SHG_Constants</vt:lpstr>
      <vt:lpstr>BC_Storeys</vt:lpstr>
      <vt:lpstr>BC_WallAlt</vt:lpstr>
      <vt:lpstr>BC_WallAlt_BV</vt:lpstr>
      <vt:lpstr>BC_WallAlt_BV_Match</vt:lpstr>
      <vt:lpstr>BC_WallAlt_C</vt:lpstr>
      <vt:lpstr>BC_WallAlt_C_Match</vt:lpstr>
      <vt:lpstr>BC_WallAlt_FC</vt:lpstr>
      <vt:lpstr>BC_WallAlt_FC_Match</vt:lpstr>
      <vt:lpstr>BC_WallAlt_RBV</vt:lpstr>
      <vt:lpstr>BC_WallAlt_RBV_Match</vt:lpstr>
      <vt:lpstr>BC_WallAlt_WB</vt:lpstr>
      <vt:lpstr>BC_WallAlt_WB_Match</vt:lpstr>
      <vt:lpstr>BC_WallConst</vt:lpstr>
      <vt:lpstr>BC_WallR</vt:lpstr>
      <vt:lpstr>BC_WallShade</vt:lpstr>
      <vt:lpstr>BC_WallValues</vt:lpstr>
      <vt:lpstr>BC_WAZones</vt:lpstr>
      <vt:lpstr>BC_WAZones_Glaz</vt:lpstr>
      <vt:lpstr>BC_Y</vt:lpstr>
      <vt:lpstr>Worksheet!BC_YN</vt:lpstr>
      <vt:lpstr>Building</vt:lpstr>
      <vt:lpstr>ConductanceAccess</vt:lpstr>
      <vt:lpstr>ConstantsA</vt:lpstr>
      <vt:lpstr>ConstantsB</vt:lpstr>
      <vt:lpstr>ConstantsGround</vt:lpstr>
      <vt:lpstr>ConstantsSource</vt:lpstr>
      <vt:lpstr>ConstantsSuspended</vt:lpstr>
      <vt:lpstr>CshgcA</vt:lpstr>
      <vt:lpstr>CshgcB</vt:lpstr>
      <vt:lpstr>CshgcWeighted</vt:lpstr>
      <vt:lpstr>CuA</vt:lpstr>
      <vt:lpstr>CuB</vt:lpstr>
      <vt:lpstr>CuWeighted</vt:lpstr>
      <vt:lpstr>DifferenceA</vt:lpstr>
      <vt:lpstr>DifferenceB</vt:lpstr>
      <vt:lpstr>Directions</vt:lpstr>
      <vt:lpstr>DudPerformance</vt:lpstr>
      <vt:lpstr>DudShading</vt:lpstr>
      <vt:lpstr>DudSize</vt:lpstr>
      <vt:lpstr>DudTableInputs</vt:lpstr>
      <vt:lpstr>EmptyA</vt:lpstr>
      <vt:lpstr>ExposuresSummer</vt:lpstr>
      <vt:lpstr>ExposuresWinter</vt:lpstr>
      <vt:lpstr>FailedCondA</vt:lpstr>
      <vt:lpstr>FailedConductance</vt:lpstr>
      <vt:lpstr>FailedSHG</vt:lpstr>
      <vt:lpstr>FailedSHGA</vt:lpstr>
      <vt:lpstr>FailedSHGB</vt:lpstr>
      <vt:lpstr>First3Inputs</vt:lpstr>
      <vt:lpstr>GlazingAreaA</vt:lpstr>
      <vt:lpstr>GlazingAreaAll</vt:lpstr>
      <vt:lpstr>Help</vt:lpstr>
      <vt:lpstr>InputIssues</vt:lpstr>
      <vt:lpstr>InputsAlert</vt:lpstr>
      <vt:lpstr>InterpolatedA</vt:lpstr>
      <vt:lpstr>InterpolatedB</vt:lpstr>
      <vt:lpstr>LastActive</vt:lpstr>
      <vt:lpstr>MultipleAir</vt:lpstr>
      <vt:lpstr>New_external_weatherboard_cladding__Existing_frame_and_p_board_internal_lining</vt:lpstr>
      <vt:lpstr>NoGlazing</vt:lpstr>
      <vt:lpstr>NoSector</vt:lpstr>
      <vt:lpstr>NoWallConcession</vt:lpstr>
      <vt:lpstr>NoZoneTableActive</vt:lpstr>
      <vt:lpstr>Orientations</vt:lpstr>
      <vt:lpstr>OrphanData</vt:lpstr>
      <vt:lpstr>OrphanVent</vt:lpstr>
      <vt:lpstr>Calculator!Print_Area</vt:lpstr>
      <vt:lpstr>Help!Print_Area</vt:lpstr>
      <vt:lpstr>Screenshots!Print_Area</vt:lpstr>
      <vt:lpstr>Worksheet!Print_Area</vt:lpstr>
      <vt:lpstr>Calculator!Print_Titles</vt:lpstr>
      <vt:lpstr>Help!Print_Titles</vt:lpstr>
      <vt:lpstr>Screenshots!Print_Titles</vt:lpstr>
      <vt:lpstr>Projections</vt:lpstr>
      <vt:lpstr>Rows</vt:lpstr>
      <vt:lpstr>RowsActive</vt:lpstr>
      <vt:lpstr>RowsAvailable</vt:lpstr>
      <vt:lpstr>RowsDisplayed</vt:lpstr>
      <vt:lpstr>RowsOK</vt:lpstr>
      <vt:lpstr>RowsPreferred</vt:lpstr>
      <vt:lpstr>RowsSkipped</vt:lpstr>
      <vt:lpstr>RowsWithData</vt:lpstr>
      <vt:lpstr>ScreenShot1</vt:lpstr>
      <vt:lpstr>ScreenShot2</vt:lpstr>
      <vt:lpstr>ScreenShot3</vt:lpstr>
      <vt:lpstr>SectorFacedA</vt:lpstr>
      <vt:lpstr>SectorsInA</vt:lpstr>
      <vt:lpstr>SectorsListed</vt:lpstr>
      <vt:lpstr>ShowPassCond</vt:lpstr>
      <vt:lpstr>ShowPassSHG</vt:lpstr>
      <vt:lpstr>SSDisplay</vt:lpstr>
      <vt:lpstr>SSEditing</vt:lpstr>
      <vt:lpstr>SSErrors</vt:lpstr>
      <vt:lpstr>Storey</vt:lpstr>
      <vt:lpstr>SuffixAir</vt:lpstr>
      <vt:lpstr>TableEntries</vt:lpstr>
      <vt:lpstr>TableInputs</vt:lpstr>
      <vt:lpstr>TopInputsOK</vt:lpstr>
      <vt:lpstr>UpperInputsAlerts</vt:lpstr>
      <vt:lpstr>UpperInputsFlagged</vt:lpstr>
      <vt:lpstr>UpperInputsIssues</vt:lpstr>
      <vt:lpstr>UserConstantsGround</vt:lpstr>
      <vt:lpstr>UserConstantsSuspended</vt:lpstr>
      <vt:lpstr>VentilationA</vt:lpstr>
      <vt:lpstr>VentPending</vt:lpstr>
      <vt:lpstr>VisibleFailures</vt:lpstr>
      <vt:lpstr>WallConcession</vt:lpstr>
      <vt:lpstr>Zone</vt:lpstr>
    </vt:vector>
  </TitlesOfParts>
  <Company>Australian Building Codes Board (ABCB)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Glazing Calculator for BCA 2010 Housing Provisions</dc:title>
  <dc:subject>Glazing Calculator for BCA 2010 Housing Provisions</dc:subject>
  <dc:creator>Australian Building Codes Board</dc:creator>
  <cp:keywords>energy,glazing,calculator,housing</cp:keywords>
  <dc:description>WA Alterations &amp; Additions Protocol reporting worksheet</dc:description>
  <cp:lastModifiedBy>Sarah Prus</cp:lastModifiedBy>
  <cp:lastPrinted>2014-10-20T09:26:41Z</cp:lastPrinted>
  <dcterms:created xsi:type="dcterms:W3CDTF">2004-11-09T01:00:42Z</dcterms:created>
  <dcterms:modified xsi:type="dcterms:W3CDTF">2015-05-19T03:14:33Z</dcterms:modified>
  <cp:category>energy,glazing,calculator,housing</cp:category>
</cp:coreProperties>
</file>