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workbookProtection workbookPassword="EFF1" lockStructure="1"/>
  <bookViews>
    <workbookView xWindow="10905" yWindow="15" windowWidth="17775" windowHeight="15600" activeTab="3"/>
  </bookViews>
  <sheets>
    <sheet name="Help" sheetId="5" r:id="rId1"/>
    <sheet name="Screenshots" sheetId="7" r:id="rId2"/>
    <sheet name="Calculator" sheetId="4" r:id="rId3"/>
    <sheet name="Worksheet" sheetId="9" r:id="rId4"/>
    <sheet name="Tables" sheetId="8" state="hidden" r:id="rId5"/>
  </sheets>
  <definedNames>
    <definedName name="_xlnm._FilterDatabase" localSheetId="2" hidden="1">Calculator!$B$36:$B$116</definedName>
    <definedName name="ActiveA">Calculator!$F$168</definedName>
    <definedName name="ActiveB">Calculator!$F$169</definedName>
    <definedName name="ActiveDisplayed">Calculator!$F$180</definedName>
    <definedName name="ActiveHidden">Calculator!$F$181</definedName>
    <definedName name="AdviceIssuesOnly">Calculator!$AR$29</definedName>
    <definedName name="AirMovement">Calculator!$B$30</definedName>
    <definedName name="AllInputsOK">Calculator!$AR$32</definedName>
    <definedName name="AllowanceCuA">Calculator!$S$30</definedName>
    <definedName name="AllowanceCuB">Calculator!$T$30</definedName>
    <definedName name="AllowedCond">Calculator!$AB$30</definedName>
    <definedName name="AllowedSHG">Calculator!$AC$30</definedName>
    <definedName name="AreaA">Calculator!$F$28</definedName>
    <definedName name="AreaAll">Calculator!$F$30</definedName>
    <definedName name="AreaApercent">Calculator!$AC$23</definedName>
    <definedName name="AreaB">Calculator!$F$29</definedName>
    <definedName name="AreaBpercent">Calculator!$AE$23</definedName>
    <definedName name="AreaUsed">Calculator!$P$37:$P$116</definedName>
    <definedName name="BC_AirMove">Worksheet!$BJ$28:$BL$32</definedName>
    <definedName name="BC_AirMoveSelect">Worksheet!$BI$84:$BI$85</definedName>
    <definedName name="BC_AirMoveSelect_6">Worksheet!$BI$85</definedName>
    <definedName name="BC_Apply">Worksheet!$AC$54:$AC$55</definedName>
    <definedName name="BC_DataColumn">Worksheet!$BT$26:$BT$45</definedName>
    <definedName name="BC_DataTable">Worksheet!$BW$26:$BZ$45</definedName>
    <definedName name="BC_FanEvap" localSheetId="3">Worksheet!$BJ$26:$BL$26</definedName>
    <definedName name="BC_Glaz_F_A">Worksheet!$BS$101:$BS$104</definedName>
    <definedName name="BC_SHG_Constants">Worksheet!$BT$101:$CA$104</definedName>
    <definedName name="BC_WAZones">Worksheet!$BI$28:$BI$32</definedName>
    <definedName name="BC_WAZones_Glaz">Worksheet!$BT$100:$CA$100</definedName>
    <definedName name="BC_YN" localSheetId="3">Worksheet!$AC$50:$AC$51</definedName>
    <definedName name="Building">Calculator!$B$26</definedName>
    <definedName name="ConductanceAccess">Calculator!$BM$35</definedName>
    <definedName name="ConstantsA">Tables!$D$17:$K$18,Tables!$D$19:$K$20</definedName>
    <definedName name="ConstantsB">Tables!$D$25:$K$26,Tables!$D$27:$K$28</definedName>
    <definedName name="ConstantsGround">Tables!$N$17:$U$20</definedName>
    <definedName name="ConstantsSource">Calculator!$R$24</definedName>
    <definedName name="ConstantsSuspended">Tables!$N$25:$U$28</definedName>
    <definedName name="CshgcA">Calculator!$AC$26</definedName>
    <definedName name="CshgcB">Calculator!$AE$26</definedName>
    <definedName name="CshgcWeighted">Calculator!$AC$29</definedName>
    <definedName name="CuA">Calculator!$AB$26</definedName>
    <definedName name="CuB">Calculator!$AD$26</definedName>
    <definedName name="CuWeighted">Calculator!$AB$29</definedName>
    <definedName name="DifferenceA">Calculator!$AB$28</definedName>
    <definedName name="DifferenceB">Calculator!$AD$28</definedName>
    <definedName name="Directions">Tables!$D$48:$K$48</definedName>
    <definedName name="DudPerformance">Calculator!$AJ$32</definedName>
    <definedName name="DudShading">Calculator!$AM$32</definedName>
    <definedName name="DudSize">Calculator!$AG$32</definedName>
    <definedName name="DudTableInputs">Calculator!$AP$32</definedName>
    <definedName name="EmptyA">Calculator!$F$163</definedName>
    <definedName name="ExposuresSummer">Tables!$D$50:$K$62,Tables!$N$50:$U$62,Tables!$X$50:$AE$62,Tables!$AH$50:$AO$62,Tables!$AR$50:$AY$62,Tables!$BB$50:$BI$62,Tables!$BL$50:$BS$62,Tables!$BV$50:$CC$62</definedName>
    <definedName name="ExposuresWinter">Tables!$D$76:$K$88,Tables!$N$76:$U$88,Tables!$X$76:$AE$88,Tables!$AH$76:$AO$88,Tables!$AR$76:$AY$88,Tables!$BB$76:$BI$88,Tables!$BL$76:$BS$88,Tables!$BV$76:$CC$88</definedName>
    <definedName name="FailedCondA">Calculator!$BO$29</definedName>
    <definedName name="FailedConductance">Calculator!$BO$29</definedName>
    <definedName name="FailedSHG">Calculator!$BP$29</definedName>
    <definedName name="FailedSHGA">Calculator!$BP$29</definedName>
    <definedName name="FailedSHGB">Calculator!$BV$32</definedName>
    <definedName name="First3Inputs">Calculator!$F$160</definedName>
    <definedName name="GlazingAreaA">Calculator!$AC$32</definedName>
    <definedName name="GlazingAreaAll">Calculator!$AC$32</definedName>
    <definedName name="Help">Help!$D$7</definedName>
    <definedName name="InputIssues">Calculator!$AR$35</definedName>
    <definedName name="InputsAlert">Calculator!$N$32</definedName>
    <definedName name="InterpolatedA">Calculator!$AC$28</definedName>
    <definedName name="InterpolatedB">Calculator!$AE$28</definedName>
    <definedName name="LastActive">Calculator!$X$35</definedName>
    <definedName name="MultipleAir">Calculator!$AB$27</definedName>
    <definedName name="New_external_weatherboard_cladding__Existing_frame_and_p_board_internal_lining">Worksheet!#REF!</definedName>
    <definedName name="NoGlazing">Calculator!$F$150</definedName>
    <definedName name="NoSector">Calculator!$AF$35</definedName>
    <definedName name="NoWallConcession">Calculator!$E$193</definedName>
    <definedName name="NoZoneTableActive">Calculator!$F$156</definedName>
    <definedName name="Orientations">Tables!$D$38:$K$38</definedName>
    <definedName name="OrientationsA">OFFSET(Calculator!$F$175,0,0,1,IF(UpperInputsFlagged=0,8,0))</definedName>
    <definedName name="OrphanData">Calculator!$AW$32</definedName>
    <definedName name="OrphanVent">Calculator!$F$167</definedName>
    <definedName name="_xlnm.Print_Area" localSheetId="2">Calculator!$B$23:$U$120</definedName>
    <definedName name="_xlnm.Print_Area" localSheetId="0">Help!$C$9:$E$99</definedName>
    <definedName name="_xlnm.Print_Area" localSheetId="1">Screenshots!$C$5:$E$32</definedName>
    <definedName name="_xlnm.Print_Area" localSheetId="3">Worksheet!$B$10:$X$102</definedName>
    <definedName name="_xlnm.Print_Titles" localSheetId="2">Calculator!$34:$36</definedName>
    <definedName name="_xlnm.Print_Titles" localSheetId="0">Help!$9:$10</definedName>
    <definedName name="_xlnm.Print_Titles" localSheetId="1">Screenshots!$5:$5</definedName>
    <definedName name="Projections">Tables!$C$50:$C$62</definedName>
    <definedName name="Rows">Calculator!$X$37:$X$116</definedName>
    <definedName name="RowsActive">Calculator!$AC$35</definedName>
    <definedName name="RowsAvailable">Calculator!$F$178</definedName>
    <definedName name="RowsDisplayed">Calculator!$F$179</definedName>
    <definedName name="RowsOK">Calculator!$AP$35</definedName>
    <definedName name="RowsPreferred">Calculator!$F$32</definedName>
    <definedName name="RowsSkipped">Calculator!$AE$35</definedName>
    <definedName name="RowsWithData">Calculator!$AD$35</definedName>
    <definedName name="ScreenShot1">Screenshots!$C$9:$C$44</definedName>
    <definedName name="ScreenShot2">Screenshots!$C$68:$C$103</definedName>
    <definedName name="ScreenShot3">Screenshots!$C$127:$C$163</definedName>
    <definedName name="SectorFacedA">Calculator!$F$37:$F$116</definedName>
    <definedName name="SectorsInA">Calculator!$F$185</definedName>
    <definedName name="SectorsListed">Calculator!$F$37:$F$116</definedName>
    <definedName name="ShadingC">#REF!,#REF!,#REF!,#REF!,#REF!,#REF!,#REF!,#REF!</definedName>
    <definedName name="ShadingH">#REF!,#REF!,#REF!,#REF!,#REF!,#REF!,#REF!,#REF!</definedName>
    <definedName name="ShowPassCond">Calculator!$BO$30</definedName>
    <definedName name="ShowPassSHG">Calculator!$BP$30</definedName>
    <definedName name="SSDisplay">Screenshots!$A$5:$R$63</definedName>
    <definedName name="SSEditing">Screenshots!$A$64:$R$122</definedName>
    <definedName name="SSErrors">Screenshots!$A$123:$R$180</definedName>
    <definedName name="Storey">Calculator!$B$28</definedName>
    <definedName name="SuffixAir">Calculator!$AC$27</definedName>
    <definedName name="TableEntries">Calculator!$AB$35</definedName>
    <definedName name="TableInputs">Calculator!$F$37:$M$116</definedName>
    <definedName name="TopInputsOK">Calculator!$F$172</definedName>
    <definedName name="UpperInputsAlerts">Calculator!$M$150</definedName>
    <definedName name="UpperInputsFlagged">Calculator!$Q$150</definedName>
    <definedName name="UpperInputsIssues">Calculator!$N$150</definedName>
    <definedName name="UserConstantsGround">Tables!$X$17:$AE$20</definedName>
    <definedName name="UserConstantsSuspended">Tables!$X$25:$AE$28</definedName>
    <definedName name="ValidExposures">OFFSET(Calculator!$F$182,0,0,1,IF(Zone=1,1,3))</definedName>
    <definedName name="VentilationA">Calculator!$B$30</definedName>
    <definedName name="VentPending">Calculator!$F$166</definedName>
    <definedName name="VisibleFailures">Calculator!$AW$35</definedName>
    <definedName name="WallConcession">Calculator!$H$29</definedName>
    <definedName name="WallConcessions">OFFSET(Calculator!$E$193,0,0,1+Calculator!$D$192,1)</definedName>
    <definedName name="Zone">Calculator!$O$26</definedName>
  </definedNames>
  <calcPr calcId="145621"/>
  <webPublishing targetScreenSize="1024x768" codePage="1252"/>
</workbook>
</file>

<file path=xl/calcChain.xml><?xml version="1.0" encoding="utf-8"?>
<calcChain xmlns="http://schemas.openxmlformats.org/spreadsheetml/2006/main">
  <c r="BI40" i="9" l="1"/>
  <c r="BX70" i="9" l="1"/>
  <c r="BW70" i="9"/>
  <c r="BX64" i="9"/>
  <c r="BX63" i="9"/>
  <c r="BZ63" i="9"/>
  <c r="BV58" i="9"/>
  <c r="BV57" i="9"/>
  <c r="BV56" i="9"/>
  <c r="BV55" i="9"/>
  <c r="BZ50" i="9"/>
  <c r="BZ49" i="9"/>
  <c r="BY50" i="9"/>
  <c r="BY49" i="9"/>
  <c r="BR50" i="9"/>
  <c r="BX50" i="9" s="1"/>
  <c r="BR49" i="9"/>
  <c r="BX49" i="9" s="1"/>
  <c r="BR45" i="9"/>
  <c r="BR44" i="9"/>
  <c r="BR41" i="9"/>
  <c r="BR40" i="9"/>
  <c r="BR37" i="9"/>
  <c r="BR36" i="9"/>
  <c r="BR33" i="9"/>
  <c r="BR32" i="9"/>
  <c r="BR43" i="9"/>
  <c r="BR42" i="9"/>
  <c r="BR39" i="9"/>
  <c r="BR38" i="9"/>
  <c r="BR35" i="9"/>
  <c r="BR34" i="9"/>
  <c r="BR31" i="9"/>
  <c r="BR30" i="9"/>
  <c r="BR29" i="9"/>
  <c r="BR27" i="9"/>
  <c r="BS41" i="9"/>
  <c r="BS40" i="9"/>
  <c r="BS39" i="9"/>
  <c r="BS38" i="9"/>
  <c r="BS33" i="9"/>
  <c r="BS32" i="9"/>
  <c r="BS31" i="9"/>
  <c r="BS30" i="9"/>
  <c r="BS45" i="9"/>
  <c r="BS44" i="9"/>
  <c r="BS43" i="9"/>
  <c r="BS42" i="9"/>
  <c r="BS37" i="9"/>
  <c r="BS36" i="9"/>
  <c r="BS35" i="9"/>
  <c r="BS34" i="9"/>
  <c r="BS29" i="9"/>
  <c r="BS28" i="9"/>
  <c r="BS27" i="9"/>
  <c r="BS26" i="9"/>
  <c r="BY80" i="9"/>
  <c r="BU80" i="9"/>
  <c r="BU67" i="9"/>
  <c r="BU66" i="9"/>
  <c r="BX88" i="9"/>
  <c r="BW88" i="9"/>
  <c r="BX87" i="9"/>
  <c r="BW87" i="9"/>
  <c r="BT45" i="9"/>
  <c r="BT44" i="9"/>
  <c r="BT43" i="9"/>
  <c r="BT42" i="9"/>
  <c r="BT41" i="9"/>
  <c r="BT40" i="9"/>
  <c r="BT39" i="9"/>
  <c r="BT38" i="9"/>
  <c r="BT37" i="9"/>
  <c r="BT36" i="9"/>
  <c r="BT35" i="9"/>
  <c r="BT34" i="9"/>
  <c r="BT33" i="9"/>
  <c r="BT32" i="9"/>
  <c r="BT31" i="9"/>
  <c r="BT30" i="9"/>
  <c r="BT29" i="9"/>
  <c r="BT28" i="9"/>
  <c r="BT27" i="9"/>
  <c r="BW49" i="9" s="1"/>
  <c r="BU87" i="9" s="1"/>
  <c r="BT26" i="9"/>
  <c r="BI84" i="9"/>
  <c r="BW50" i="9" l="1"/>
  <c r="BU88" i="9" s="1"/>
  <c r="BV60" i="9"/>
  <c r="BV63" i="9" s="1"/>
  <c r="BV61" i="9"/>
  <c r="BV88" i="9" s="1"/>
  <c r="BU70" i="9"/>
  <c r="BY82" i="9" s="1"/>
  <c r="BU68" i="9"/>
  <c r="AF72" i="9"/>
  <c r="AG72" i="9"/>
  <c r="AH72" i="9"/>
  <c r="AF73" i="9"/>
  <c r="AG73" i="9"/>
  <c r="AH73" i="9"/>
  <c r="AF74" i="9"/>
  <c r="AG74" i="9"/>
  <c r="AH74" i="9"/>
  <c r="AF75" i="9"/>
  <c r="AG75" i="9"/>
  <c r="AH75" i="9"/>
  <c r="AF76" i="9"/>
  <c r="AG76" i="9"/>
  <c r="AH76" i="9"/>
  <c r="AF77" i="9"/>
  <c r="AG77" i="9"/>
  <c r="AH77" i="9"/>
  <c r="AF78" i="9"/>
  <c r="AG78" i="9"/>
  <c r="AH78" i="9"/>
  <c r="AF79" i="9"/>
  <c r="AG79" i="9"/>
  <c r="AH79" i="9"/>
  <c r="AF80" i="9"/>
  <c r="AG80" i="9"/>
  <c r="AH80" i="9"/>
  <c r="AH71" i="9"/>
  <c r="AG71" i="9"/>
  <c r="AF71" i="9"/>
  <c r="AF30" i="9"/>
  <c r="AG30" i="9"/>
  <c r="AH30" i="9"/>
  <c r="AF31" i="9"/>
  <c r="AG31" i="9"/>
  <c r="AH31" i="9"/>
  <c r="AF32" i="9"/>
  <c r="AG32" i="9"/>
  <c r="AH32" i="9"/>
  <c r="AF33" i="9"/>
  <c r="AG33" i="9"/>
  <c r="AH33" i="9"/>
  <c r="AF34" i="9"/>
  <c r="AG34" i="9"/>
  <c r="AH34" i="9"/>
  <c r="AF35" i="9"/>
  <c r="AG35" i="9"/>
  <c r="AH35" i="9"/>
  <c r="AF36" i="9"/>
  <c r="AG36" i="9"/>
  <c r="AH36" i="9"/>
  <c r="AF37" i="9"/>
  <c r="AG37" i="9"/>
  <c r="AH37" i="9"/>
  <c r="AF38" i="9"/>
  <c r="AG38" i="9"/>
  <c r="AH38" i="9"/>
  <c r="AF39" i="9"/>
  <c r="AG39" i="9"/>
  <c r="AH39" i="9"/>
  <c r="AF40" i="9"/>
  <c r="AG40" i="9"/>
  <c r="AH40" i="9"/>
  <c r="AF41" i="9"/>
  <c r="AG41" i="9"/>
  <c r="AH41" i="9"/>
  <c r="AF42" i="9"/>
  <c r="AG42" i="9"/>
  <c r="AH42" i="9"/>
  <c r="AF43" i="9"/>
  <c r="AG43" i="9"/>
  <c r="AH43" i="9"/>
  <c r="AF44" i="9"/>
  <c r="AG44" i="9"/>
  <c r="AH44" i="9"/>
  <c r="AF45" i="9"/>
  <c r="AG45" i="9"/>
  <c r="AH45" i="9"/>
  <c r="AF46" i="9"/>
  <c r="AG46" i="9"/>
  <c r="AH46" i="9"/>
  <c r="AF47" i="9"/>
  <c r="AG47" i="9"/>
  <c r="AH47" i="9"/>
  <c r="AF48" i="9"/>
  <c r="AG48" i="9"/>
  <c r="AH48" i="9"/>
  <c r="AF49" i="9"/>
  <c r="AG49" i="9"/>
  <c r="AH49" i="9"/>
  <c r="AF50" i="9"/>
  <c r="AG50" i="9"/>
  <c r="AH50" i="9"/>
  <c r="AF51" i="9"/>
  <c r="AG51" i="9"/>
  <c r="AH51" i="9"/>
  <c r="AF52" i="9"/>
  <c r="AG52" i="9"/>
  <c r="AH52" i="9"/>
  <c r="AF53" i="9"/>
  <c r="AG53" i="9"/>
  <c r="AH53" i="9"/>
  <c r="AF54" i="9"/>
  <c r="AG54" i="9"/>
  <c r="AH54" i="9"/>
  <c r="AF55" i="9"/>
  <c r="AG55" i="9"/>
  <c r="AH55" i="9"/>
  <c r="AF56" i="9"/>
  <c r="AG56" i="9"/>
  <c r="AH56" i="9"/>
  <c r="AF57" i="9"/>
  <c r="AG57" i="9"/>
  <c r="AH57" i="9"/>
  <c r="AF58" i="9"/>
  <c r="AG58" i="9"/>
  <c r="AH58" i="9"/>
  <c r="AF59" i="9"/>
  <c r="AG59" i="9"/>
  <c r="AH59" i="9"/>
  <c r="AF60" i="9"/>
  <c r="AG60" i="9"/>
  <c r="AH60" i="9"/>
  <c r="AF61" i="9"/>
  <c r="AG61" i="9"/>
  <c r="AH61" i="9"/>
  <c r="AF62" i="9"/>
  <c r="AG62" i="9"/>
  <c r="AH62" i="9"/>
  <c r="AF63" i="9"/>
  <c r="AG63" i="9"/>
  <c r="AH63" i="9"/>
  <c r="AF64" i="9"/>
  <c r="AG64" i="9"/>
  <c r="AH64" i="9"/>
  <c r="AF65" i="9"/>
  <c r="AG65" i="9"/>
  <c r="AH65" i="9"/>
  <c r="AF66" i="9"/>
  <c r="AG66" i="9"/>
  <c r="AH66" i="9"/>
  <c r="AF67" i="9"/>
  <c r="AG67" i="9"/>
  <c r="AH67" i="9"/>
  <c r="AF68" i="9"/>
  <c r="AG68" i="9"/>
  <c r="AH68" i="9"/>
  <c r="AH29" i="9"/>
  <c r="AG29" i="9"/>
  <c r="AF29" i="9"/>
  <c r="X10" i="9"/>
  <c r="BV87" i="9" l="1"/>
  <c r="BV64" i="9"/>
  <c r="BV70" i="9"/>
  <c r="BZ82" i="9" s="1"/>
  <c r="AW95" i="9"/>
  <c r="AX95" i="9"/>
  <c r="AY95" i="9"/>
  <c r="AZ95" i="9"/>
  <c r="BA95" i="9"/>
  <c r="BB95" i="9"/>
  <c r="BC95" i="9"/>
  <c r="BD95" i="9"/>
  <c r="BE95" i="9"/>
  <c r="BF95" i="9"/>
  <c r="BG95" i="9"/>
  <c r="AV95" i="9"/>
  <c r="Q11" i="9"/>
  <c r="B11" i="9"/>
  <c r="BI85" i="9"/>
  <c r="F11" i="9"/>
  <c r="BI89" i="9"/>
  <c r="BI88" i="9"/>
  <c r="BI87" i="9"/>
  <c r="AE80" i="9" l="1"/>
  <c r="AV105" i="9" l="1"/>
  <c r="AO29" i="9" l="1"/>
  <c r="AO30" i="9"/>
  <c r="AO31" i="9"/>
  <c r="AO32" i="9"/>
  <c r="AO33" i="9"/>
  <c r="AO34" i="9"/>
  <c r="AO35" i="9"/>
  <c r="AO36" i="9"/>
  <c r="AO37" i="9"/>
  <c r="AO38" i="9"/>
  <c r="AO39" i="9"/>
  <c r="AO40" i="9"/>
  <c r="AO41" i="9"/>
  <c r="AO42" i="9"/>
  <c r="AO43" i="9"/>
  <c r="AO44" i="9"/>
  <c r="AO45" i="9"/>
  <c r="AO46" i="9"/>
  <c r="AO47" i="9"/>
  <c r="AO48" i="9"/>
  <c r="AO49" i="9"/>
  <c r="AO50" i="9"/>
  <c r="AO51" i="9"/>
  <c r="AO52" i="9"/>
  <c r="AO53" i="9"/>
  <c r="AO54" i="9"/>
  <c r="AO55" i="9"/>
  <c r="AO56" i="9"/>
  <c r="AO57" i="9"/>
  <c r="AO58" i="9"/>
  <c r="AO59" i="9"/>
  <c r="AO60" i="9"/>
  <c r="AO61" i="9"/>
  <c r="AO62" i="9"/>
  <c r="AO63" i="9"/>
  <c r="AO64" i="9"/>
  <c r="AO65" i="9"/>
  <c r="AO66" i="9"/>
  <c r="AO67" i="9"/>
  <c r="AO68" i="9"/>
  <c r="AO71" i="9"/>
  <c r="AO72" i="9"/>
  <c r="AO73" i="9"/>
  <c r="AO74" i="9"/>
  <c r="AO75" i="9"/>
  <c r="AO76" i="9"/>
  <c r="AO77" i="9"/>
  <c r="AO78" i="9"/>
  <c r="AO79" i="9"/>
  <c r="AO80" i="9"/>
  <c r="AN29" i="9"/>
  <c r="AN30" i="9"/>
  <c r="AN31" i="9"/>
  <c r="AN32" i="9"/>
  <c r="AN33" i="9"/>
  <c r="AN34" i="9"/>
  <c r="AN35" i="9"/>
  <c r="AN36" i="9"/>
  <c r="AN37" i="9"/>
  <c r="AN38" i="9"/>
  <c r="AN39" i="9"/>
  <c r="AN40" i="9"/>
  <c r="AN41" i="9"/>
  <c r="AN42" i="9"/>
  <c r="AN43" i="9"/>
  <c r="AN44" i="9"/>
  <c r="AN45" i="9"/>
  <c r="AN46" i="9"/>
  <c r="AN47" i="9"/>
  <c r="AN48" i="9"/>
  <c r="AN49" i="9"/>
  <c r="AN50" i="9"/>
  <c r="AN51" i="9"/>
  <c r="AN52" i="9"/>
  <c r="AN53" i="9"/>
  <c r="AN54" i="9"/>
  <c r="AN55" i="9"/>
  <c r="AN56" i="9"/>
  <c r="AN57" i="9"/>
  <c r="AN58" i="9"/>
  <c r="AN59" i="9"/>
  <c r="AN60" i="9"/>
  <c r="AN61" i="9"/>
  <c r="AN62" i="9"/>
  <c r="AN63" i="9"/>
  <c r="AN64" i="9"/>
  <c r="AN65" i="9"/>
  <c r="AN66" i="9"/>
  <c r="AN67" i="9"/>
  <c r="AN68" i="9"/>
  <c r="AN71" i="9"/>
  <c r="AN72" i="9"/>
  <c r="AN73" i="9"/>
  <c r="AN74" i="9"/>
  <c r="AN75" i="9"/>
  <c r="AN76" i="9"/>
  <c r="AN77" i="9"/>
  <c r="AN78" i="9"/>
  <c r="AN79" i="9"/>
  <c r="AN80" i="9"/>
  <c r="AW85" i="9"/>
  <c r="AX85" i="9"/>
  <c r="AY85" i="9"/>
  <c r="AZ85" i="9"/>
  <c r="BA85" i="9"/>
  <c r="BB85" i="9"/>
  <c r="BC85" i="9"/>
  <c r="BD85" i="9"/>
  <c r="BE85" i="9"/>
  <c r="BF85" i="9"/>
  <c r="BG85" i="9"/>
  <c r="AW86" i="9"/>
  <c r="AX86" i="9"/>
  <c r="AY86" i="9"/>
  <c r="AZ86" i="9"/>
  <c r="BA86" i="9"/>
  <c r="BB86" i="9"/>
  <c r="BC86" i="9"/>
  <c r="BD86" i="9"/>
  <c r="BE86" i="9"/>
  <c r="BF86" i="9"/>
  <c r="BG86" i="9"/>
  <c r="AV86" i="9"/>
  <c r="AV85" i="9"/>
  <c r="BG29" i="9"/>
  <c r="AP30" i="9"/>
  <c r="AP31" i="9"/>
  <c r="AP32" i="9"/>
  <c r="AP33" i="9"/>
  <c r="AP34" i="9"/>
  <c r="AP35" i="9"/>
  <c r="AP36" i="9"/>
  <c r="AP37" i="9"/>
  <c r="AP38" i="9"/>
  <c r="AP39" i="9"/>
  <c r="AP40" i="9"/>
  <c r="AP41" i="9"/>
  <c r="AP42" i="9"/>
  <c r="AP43" i="9"/>
  <c r="AP44" i="9"/>
  <c r="AP45" i="9"/>
  <c r="AP46" i="9"/>
  <c r="AP47" i="9"/>
  <c r="AP48" i="9"/>
  <c r="AP49" i="9"/>
  <c r="AP50" i="9"/>
  <c r="AP51" i="9"/>
  <c r="AP52" i="9"/>
  <c r="AP53" i="9"/>
  <c r="AP54" i="9"/>
  <c r="AP55" i="9"/>
  <c r="AP56" i="9"/>
  <c r="AP57" i="9"/>
  <c r="AP58" i="9"/>
  <c r="AP59" i="9"/>
  <c r="AP60" i="9"/>
  <c r="AP61" i="9"/>
  <c r="AP62" i="9"/>
  <c r="AP63" i="9"/>
  <c r="AP64" i="9"/>
  <c r="AP65" i="9"/>
  <c r="AP66" i="9"/>
  <c r="AP67" i="9"/>
  <c r="AP68" i="9"/>
  <c r="AP71" i="9"/>
  <c r="AP72" i="9"/>
  <c r="AP73" i="9"/>
  <c r="AP74" i="9"/>
  <c r="AP75" i="9"/>
  <c r="AP76" i="9"/>
  <c r="AP77" i="9"/>
  <c r="AP78" i="9"/>
  <c r="AP79" i="9"/>
  <c r="AP80" i="9"/>
  <c r="AP29" i="9"/>
  <c r="AM30" i="9"/>
  <c r="AM31" i="9"/>
  <c r="AM32" i="9"/>
  <c r="AM33" i="9"/>
  <c r="AM34" i="9"/>
  <c r="AM35" i="9"/>
  <c r="AM36" i="9"/>
  <c r="AM37" i="9"/>
  <c r="AM38" i="9"/>
  <c r="AM39" i="9"/>
  <c r="AM40" i="9"/>
  <c r="AM41" i="9"/>
  <c r="AM42" i="9"/>
  <c r="AM43" i="9"/>
  <c r="AM44" i="9"/>
  <c r="AM45" i="9"/>
  <c r="AM46" i="9"/>
  <c r="AM47" i="9"/>
  <c r="AM48" i="9"/>
  <c r="AM49" i="9"/>
  <c r="AM50" i="9"/>
  <c r="AM51" i="9"/>
  <c r="AM52" i="9"/>
  <c r="AM53" i="9"/>
  <c r="AM54" i="9"/>
  <c r="AM55" i="9"/>
  <c r="AM56" i="9"/>
  <c r="AM57" i="9"/>
  <c r="AM58" i="9"/>
  <c r="AM59" i="9"/>
  <c r="AM60" i="9"/>
  <c r="AM61" i="9"/>
  <c r="AM62" i="9"/>
  <c r="AM63" i="9"/>
  <c r="AM64" i="9"/>
  <c r="AM65" i="9"/>
  <c r="AM66" i="9"/>
  <c r="AM67" i="9"/>
  <c r="AM68" i="9"/>
  <c r="AM71" i="9"/>
  <c r="AM72" i="9"/>
  <c r="AM73" i="9"/>
  <c r="AM74" i="9"/>
  <c r="AM75" i="9"/>
  <c r="AM76" i="9"/>
  <c r="AM77" i="9"/>
  <c r="AM78" i="9"/>
  <c r="AM79" i="9"/>
  <c r="AM80" i="9"/>
  <c r="AM29" i="9"/>
  <c r="AL71" i="9"/>
  <c r="AL72" i="9"/>
  <c r="AL73" i="9"/>
  <c r="AL74" i="9"/>
  <c r="AL75" i="9"/>
  <c r="AL76" i="9"/>
  <c r="AL77" i="9"/>
  <c r="AL78" i="9"/>
  <c r="AL79" i="9"/>
  <c r="AL80" i="9"/>
  <c r="AK30" i="9"/>
  <c r="AK31" i="9"/>
  <c r="AK32" i="9"/>
  <c r="AK33" i="9"/>
  <c r="AK34" i="9"/>
  <c r="AK35" i="9"/>
  <c r="AK36" i="9"/>
  <c r="AK37" i="9"/>
  <c r="AK38" i="9"/>
  <c r="AK39" i="9"/>
  <c r="AK40" i="9"/>
  <c r="AK41" i="9"/>
  <c r="AK42" i="9"/>
  <c r="AK43" i="9"/>
  <c r="AK44" i="9"/>
  <c r="AK45" i="9"/>
  <c r="AK46" i="9"/>
  <c r="AK47" i="9"/>
  <c r="AK48" i="9"/>
  <c r="AK49" i="9"/>
  <c r="AK50" i="9"/>
  <c r="AK51" i="9"/>
  <c r="AK52" i="9"/>
  <c r="AK53" i="9"/>
  <c r="AK54" i="9"/>
  <c r="AK55" i="9"/>
  <c r="AK56" i="9"/>
  <c r="AK57" i="9"/>
  <c r="AK58" i="9"/>
  <c r="AK59" i="9"/>
  <c r="AK60" i="9"/>
  <c r="AK61" i="9"/>
  <c r="AK62" i="9"/>
  <c r="AK63" i="9"/>
  <c r="AK64" i="9"/>
  <c r="AK65" i="9"/>
  <c r="AK66" i="9"/>
  <c r="AK67" i="9"/>
  <c r="AK68" i="9"/>
  <c r="AK71" i="9"/>
  <c r="AK72" i="9"/>
  <c r="AK73" i="9"/>
  <c r="AK74" i="9"/>
  <c r="AK75" i="9"/>
  <c r="AK76" i="9"/>
  <c r="AK77" i="9"/>
  <c r="AK78" i="9"/>
  <c r="AK79" i="9"/>
  <c r="AK80" i="9"/>
  <c r="AK29" i="9"/>
  <c r="AJ71" i="9"/>
  <c r="AJ72" i="9"/>
  <c r="AJ73" i="9"/>
  <c r="AJ74" i="9"/>
  <c r="AJ75" i="9"/>
  <c r="AJ76" i="9"/>
  <c r="AJ77" i="9"/>
  <c r="AJ78" i="9"/>
  <c r="AJ79" i="9"/>
  <c r="AJ80" i="9"/>
  <c r="AI80" i="9"/>
  <c r="AI71" i="9"/>
  <c r="AI72" i="9"/>
  <c r="AI73" i="9"/>
  <c r="AI74" i="9"/>
  <c r="AI75" i="9"/>
  <c r="AI76" i="9"/>
  <c r="AI77" i="9"/>
  <c r="AI78" i="9"/>
  <c r="AI79" i="9"/>
  <c r="AF82" i="9"/>
  <c r="AE71" i="9"/>
  <c r="AE72" i="9"/>
  <c r="AE73" i="9"/>
  <c r="AE74" i="9"/>
  <c r="AE75" i="9"/>
  <c r="AE76" i="9"/>
  <c r="AE77" i="9"/>
  <c r="AE78" i="9"/>
  <c r="AE79" i="9"/>
  <c r="AL26" i="9"/>
  <c r="AI26" i="9"/>
  <c r="AF23" i="9"/>
  <c r="AE23" i="9"/>
  <c r="C30" i="9"/>
  <c r="C31" i="9"/>
  <c r="C32" i="9"/>
  <c r="C33" i="9"/>
  <c r="C34" i="9"/>
  <c r="C35" i="9"/>
  <c r="C36" i="9"/>
  <c r="C37" i="9"/>
  <c r="C38" i="9"/>
  <c r="C39" i="9"/>
  <c r="C40" i="9"/>
  <c r="C41" i="9"/>
  <c r="C42" i="9"/>
  <c r="C43" i="9"/>
  <c r="C44" i="9"/>
  <c r="C45" i="9"/>
  <c r="C46" i="9"/>
  <c r="C47" i="9"/>
  <c r="C48" i="9"/>
  <c r="C49" i="9"/>
  <c r="C50" i="9"/>
  <c r="C51" i="9"/>
  <c r="C52" i="9"/>
  <c r="C53" i="9"/>
  <c r="C54" i="9"/>
  <c r="C55" i="9"/>
  <c r="C56" i="9"/>
  <c r="C57" i="9"/>
  <c r="C58" i="9"/>
  <c r="C59" i="9"/>
  <c r="C60" i="9"/>
  <c r="C61" i="9"/>
  <c r="C62" i="9"/>
  <c r="C63" i="9"/>
  <c r="C64" i="9"/>
  <c r="C65" i="9"/>
  <c r="C66" i="9"/>
  <c r="C67" i="9"/>
  <c r="C68" i="9"/>
  <c r="AN82" i="9" l="1"/>
  <c r="AO82" i="9"/>
  <c r="BG87" i="9"/>
  <c r="BF87" i="9"/>
  <c r="BE87" i="9"/>
  <c r="BD87" i="9"/>
  <c r="BC87" i="9"/>
  <c r="BB87" i="9"/>
  <c r="BA87" i="9"/>
  <c r="AZ87" i="9"/>
  <c r="AY87" i="9"/>
  <c r="AX87" i="9"/>
  <c r="AW87" i="9"/>
  <c r="AV87" i="9"/>
  <c r="AK82" i="9"/>
  <c r="AM82" i="9"/>
  <c r="AG82" i="9"/>
  <c r="AP82" i="9"/>
  <c r="AS71" i="9"/>
  <c r="AS72" i="9"/>
  <c r="AS73" i="9"/>
  <c r="AS74" i="9"/>
  <c r="AS75" i="9"/>
  <c r="AS76" i="9"/>
  <c r="AS77" i="9"/>
  <c r="AS78" i="9"/>
  <c r="AS79" i="9"/>
  <c r="AS80" i="9"/>
  <c r="AR71" i="9"/>
  <c r="AT71" i="9" s="1"/>
  <c r="L71" i="9" s="1"/>
  <c r="AR72" i="9"/>
  <c r="AT72" i="9" s="1"/>
  <c r="AR73" i="9"/>
  <c r="AT73" i="9" s="1"/>
  <c r="AR74" i="9"/>
  <c r="AT74" i="9" s="1"/>
  <c r="AR75" i="9"/>
  <c r="AT75" i="9" s="1"/>
  <c r="AR76" i="9"/>
  <c r="AT76" i="9" s="1"/>
  <c r="AR77" i="9"/>
  <c r="AT77" i="9" s="1"/>
  <c r="L77" i="9" s="1"/>
  <c r="AR78" i="9"/>
  <c r="AT78" i="9" s="1"/>
  <c r="L78" i="9" s="1"/>
  <c r="AR79" i="9"/>
  <c r="AT79" i="9" s="1"/>
  <c r="AR80" i="9"/>
  <c r="AT80" i="9" s="1"/>
  <c r="AV106" i="9" l="1"/>
  <c r="AV21" i="9"/>
  <c r="AX30" i="9"/>
  <c r="AY30" i="9"/>
  <c r="AZ30" i="9"/>
  <c r="BA30" i="9"/>
  <c r="BB30" i="9"/>
  <c r="BC30" i="9"/>
  <c r="BD30" i="9"/>
  <c r="BE30" i="9"/>
  <c r="BF30" i="9"/>
  <c r="BG30" i="9"/>
  <c r="AV31" i="9"/>
  <c r="AW31" i="9"/>
  <c r="AY31" i="9"/>
  <c r="AZ31" i="9"/>
  <c r="BA31" i="9"/>
  <c r="BB31" i="9"/>
  <c r="BC31" i="9"/>
  <c r="BD31" i="9"/>
  <c r="BE31" i="9"/>
  <c r="BF31" i="9"/>
  <c r="BG31" i="9"/>
  <c r="AV32" i="9"/>
  <c r="AW32" i="9"/>
  <c r="AX32" i="9"/>
  <c r="AZ32" i="9"/>
  <c r="BA32" i="9"/>
  <c r="BB32" i="9"/>
  <c r="BC32" i="9"/>
  <c r="BD32" i="9"/>
  <c r="BE32" i="9"/>
  <c r="BF32" i="9"/>
  <c r="BG32" i="9"/>
  <c r="AV33" i="9"/>
  <c r="AW33" i="9"/>
  <c r="AX33" i="9"/>
  <c r="AY33" i="9"/>
  <c r="BA33" i="9"/>
  <c r="BB33" i="9"/>
  <c r="BC33" i="9"/>
  <c r="BD33" i="9"/>
  <c r="BE33" i="9"/>
  <c r="BF33" i="9"/>
  <c r="BG33" i="9"/>
  <c r="AV34" i="9"/>
  <c r="AX34" i="9"/>
  <c r="AY34" i="9"/>
  <c r="BB34" i="9"/>
  <c r="BC34" i="9"/>
  <c r="BD34" i="9"/>
  <c r="BE34" i="9"/>
  <c r="BF34" i="9"/>
  <c r="BG34" i="9"/>
  <c r="AV35" i="9"/>
  <c r="AW35" i="9"/>
  <c r="AX35" i="9"/>
  <c r="AY35" i="9"/>
  <c r="AZ35" i="9"/>
  <c r="BD35" i="9"/>
  <c r="BE35" i="9"/>
  <c r="BF35" i="9"/>
  <c r="BG35" i="9"/>
  <c r="AV36" i="9"/>
  <c r="AW36" i="9"/>
  <c r="AX36" i="9"/>
  <c r="AY36" i="9"/>
  <c r="AZ36" i="9"/>
  <c r="BA36" i="9"/>
  <c r="BD36" i="9"/>
  <c r="BE36" i="9"/>
  <c r="BF36" i="9"/>
  <c r="BG36" i="9"/>
  <c r="AV37" i="9"/>
  <c r="AW37" i="9"/>
  <c r="AX37" i="9"/>
  <c r="AY37" i="9"/>
  <c r="AZ37" i="9"/>
  <c r="BA37" i="9"/>
  <c r="BB37" i="9"/>
  <c r="BE37" i="9"/>
  <c r="BF37" i="9"/>
  <c r="BG37" i="9"/>
  <c r="AV38" i="9"/>
  <c r="AW38" i="9"/>
  <c r="AX38" i="9"/>
  <c r="AY38" i="9"/>
  <c r="AZ38" i="9"/>
  <c r="BA38" i="9"/>
  <c r="BB38" i="9"/>
  <c r="BC38" i="9"/>
  <c r="BD38" i="9"/>
  <c r="BF38" i="9"/>
  <c r="AV39" i="9"/>
  <c r="AW39" i="9"/>
  <c r="AX39" i="9"/>
  <c r="AY39" i="9"/>
  <c r="AZ39" i="9"/>
  <c r="BA39" i="9"/>
  <c r="BC39" i="9"/>
  <c r="BD39" i="9"/>
  <c r="BE39" i="9"/>
  <c r="BG39" i="9"/>
  <c r="AV40" i="9"/>
  <c r="AW40" i="9"/>
  <c r="AX40" i="9"/>
  <c r="AY40" i="9"/>
  <c r="AZ40" i="9"/>
  <c r="BA40" i="9"/>
  <c r="BB40" i="9"/>
  <c r="BC40" i="9"/>
  <c r="BD40" i="9"/>
  <c r="BE40" i="9"/>
  <c r="BF40" i="9"/>
  <c r="AV41" i="9"/>
  <c r="AW41" i="9"/>
  <c r="AX41" i="9"/>
  <c r="AY41" i="9"/>
  <c r="AZ41" i="9"/>
  <c r="BA41" i="9"/>
  <c r="BC41" i="9"/>
  <c r="BD41" i="9"/>
  <c r="BE41" i="9"/>
  <c r="BF41" i="9"/>
  <c r="BG41" i="9"/>
  <c r="AV42" i="9"/>
  <c r="AW42" i="9"/>
  <c r="AX42" i="9"/>
  <c r="AY42" i="9"/>
  <c r="AZ42" i="9"/>
  <c r="BA42" i="9"/>
  <c r="BB42" i="9"/>
  <c r="BC42" i="9"/>
  <c r="BD42" i="9"/>
  <c r="BE42" i="9"/>
  <c r="BF42" i="9"/>
  <c r="BG42" i="9"/>
  <c r="AV43" i="9"/>
  <c r="AW43" i="9"/>
  <c r="AX43" i="9"/>
  <c r="AY43" i="9"/>
  <c r="AZ43" i="9"/>
  <c r="BA43" i="9"/>
  <c r="BB43" i="9"/>
  <c r="BC43" i="9"/>
  <c r="BD43" i="9"/>
  <c r="BE43" i="9"/>
  <c r="BF43" i="9"/>
  <c r="BG43" i="9"/>
  <c r="AV44" i="9"/>
  <c r="AW44" i="9"/>
  <c r="AX44" i="9"/>
  <c r="AY44" i="9"/>
  <c r="AZ44" i="9"/>
  <c r="BA44" i="9"/>
  <c r="BB44" i="9"/>
  <c r="BC44" i="9"/>
  <c r="BD44" i="9"/>
  <c r="BE44" i="9"/>
  <c r="BF44" i="9"/>
  <c r="BG44" i="9"/>
  <c r="AV45" i="9"/>
  <c r="AW45" i="9"/>
  <c r="AX45" i="9"/>
  <c r="AY45" i="9"/>
  <c r="AZ45" i="9"/>
  <c r="BA45" i="9"/>
  <c r="BB45" i="9"/>
  <c r="BC45" i="9"/>
  <c r="BD45" i="9"/>
  <c r="BE45" i="9"/>
  <c r="BF45" i="9"/>
  <c r="BG45" i="9"/>
  <c r="AV46" i="9"/>
  <c r="AW46" i="9"/>
  <c r="AX46" i="9"/>
  <c r="AY46" i="9"/>
  <c r="AZ46" i="9"/>
  <c r="BA46" i="9"/>
  <c r="BB46" i="9"/>
  <c r="BC46" i="9"/>
  <c r="BD46" i="9"/>
  <c r="BE46" i="9"/>
  <c r="BF46" i="9"/>
  <c r="BG46" i="9"/>
  <c r="AV47" i="9"/>
  <c r="AW47" i="9"/>
  <c r="AX47" i="9"/>
  <c r="AY47" i="9"/>
  <c r="AZ47" i="9"/>
  <c r="BA47" i="9"/>
  <c r="BB47" i="9"/>
  <c r="BC47" i="9"/>
  <c r="BD47" i="9"/>
  <c r="BE47" i="9"/>
  <c r="BF47" i="9"/>
  <c r="BG47" i="9"/>
  <c r="AV48" i="9"/>
  <c r="AW48" i="9"/>
  <c r="AX48" i="9"/>
  <c r="AY48" i="9"/>
  <c r="AZ48" i="9"/>
  <c r="BA48" i="9"/>
  <c r="BB48" i="9"/>
  <c r="BC48" i="9"/>
  <c r="BD48" i="9"/>
  <c r="BE48" i="9"/>
  <c r="BF48" i="9"/>
  <c r="BG48" i="9"/>
  <c r="AV49" i="9"/>
  <c r="AW49" i="9"/>
  <c r="AX49" i="9"/>
  <c r="AY49" i="9"/>
  <c r="AZ49" i="9"/>
  <c r="BA49" i="9"/>
  <c r="BB49" i="9"/>
  <c r="BC49" i="9"/>
  <c r="BD49" i="9"/>
  <c r="BE49" i="9"/>
  <c r="BF49" i="9"/>
  <c r="BG49" i="9"/>
  <c r="AV50" i="9"/>
  <c r="AW50" i="9"/>
  <c r="AX50" i="9"/>
  <c r="AY50" i="9"/>
  <c r="AZ50" i="9"/>
  <c r="BA50" i="9"/>
  <c r="BB50" i="9"/>
  <c r="BC50" i="9"/>
  <c r="BD50" i="9"/>
  <c r="BE50" i="9"/>
  <c r="BF50" i="9"/>
  <c r="BG50" i="9"/>
  <c r="AV51" i="9"/>
  <c r="AW51" i="9"/>
  <c r="AX51" i="9"/>
  <c r="AY51" i="9"/>
  <c r="AZ51" i="9"/>
  <c r="BA51" i="9"/>
  <c r="BB51" i="9"/>
  <c r="BC51" i="9"/>
  <c r="BD51" i="9"/>
  <c r="BE51" i="9"/>
  <c r="BF51" i="9"/>
  <c r="BG51" i="9"/>
  <c r="AV52" i="9"/>
  <c r="AW52" i="9"/>
  <c r="AX52" i="9"/>
  <c r="AY52" i="9"/>
  <c r="AZ52" i="9"/>
  <c r="BA52" i="9"/>
  <c r="BB52" i="9"/>
  <c r="BC52" i="9"/>
  <c r="BD52" i="9"/>
  <c r="BE52" i="9"/>
  <c r="BF52" i="9"/>
  <c r="BG52" i="9"/>
  <c r="AV53" i="9"/>
  <c r="AW53" i="9"/>
  <c r="AX53" i="9"/>
  <c r="AY53" i="9"/>
  <c r="AZ53" i="9"/>
  <c r="BA53" i="9"/>
  <c r="BB53" i="9"/>
  <c r="BC53" i="9"/>
  <c r="BD53" i="9"/>
  <c r="BE53" i="9"/>
  <c r="BF53" i="9"/>
  <c r="BG53" i="9"/>
  <c r="AV54" i="9"/>
  <c r="AW54" i="9"/>
  <c r="AX54" i="9"/>
  <c r="AY54" i="9"/>
  <c r="AZ54" i="9"/>
  <c r="BA54" i="9"/>
  <c r="BB54" i="9"/>
  <c r="BC54" i="9"/>
  <c r="BD54" i="9"/>
  <c r="BE54" i="9"/>
  <c r="BF54" i="9"/>
  <c r="BG54" i="9"/>
  <c r="AV55" i="9"/>
  <c r="AW55" i="9"/>
  <c r="AX55" i="9"/>
  <c r="AY55" i="9"/>
  <c r="AZ55" i="9"/>
  <c r="BA55" i="9"/>
  <c r="BB55" i="9"/>
  <c r="BC55" i="9"/>
  <c r="BD55" i="9"/>
  <c r="BE55" i="9"/>
  <c r="BF55" i="9"/>
  <c r="BG55" i="9"/>
  <c r="AV56" i="9"/>
  <c r="AW56" i="9"/>
  <c r="AX56" i="9"/>
  <c r="AY56" i="9"/>
  <c r="AZ56" i="9"/>
  <c r="BA56" i="9"/>
  <c r="BB56" i="9"/>
  <c r="BC56" i="9"/>
  <c r="BD56" i="9"/>
  <c r="BE56" i="9"/>
  <c r="BF56" i="9"/>
  <c r="BG56" i="9"/>
  <c r="AV57" i="9"/>
  <c r="AW57" i="9"/>
  <c r="AX57" i="9"/>
  <c r="AY57" i="9"/>
  <c r="AZ57" i="9"/>
  <c r="BA57" i="9"/>
  <c r="BB57" i="9"/>
  <c r="BC57" i="9"/>
  <c r="BD57" i="9"/>
  <c r="BE57" i="9"/>
  <c r="BF57" i="9"/>
  <c r="BG57" i="9"/>
  <c r="AV58" i="9"/>
  <c r="AW58" i="9"/>
  <c r="AX58" i="9"/>
  <c r="AY58" i="9"/>
  <c r="AZ58" i="9"/>
  <c r="BA58" i="9"/>
  <c r="BB58" i="9"/>
  <c r="BC58" i="9"/>
  <c r="BD58" i="9"/>
  <c r="BE58" i="9"/>
  <c r="BF58" i="9"/>
  <c r="BG58" i="9"/>
  <c r="AV59" i="9"/>
  <c r="AW59" i="9"/>
  <c r="AX59" i="9"/>
  <c r="AY59" i="9"/>
  <c r="AZ59" i="9"/>
  <c r="BA59" i="9"/>
  <c r="BB59" i="9"/>
  <c r="BC59" i="9"/>
  <c r="BD59" i="9"/>
  <c r="BE59" i="9"/>
  <c r="BF59" i="9"/>
  <c r="BG59" i="9"/>
  <c r="AV60" i="9"/>
  <c r="AX60" i="9"/>
  <c r="AY60" i="9"/>
  <c r="AZ60" i="9"/>
  <c r="BA60" i="9"/>
  <c r="BB60" i="9"/>
  <c r="BC60" i="9"/>
  <c r="BD60" i="9"/>
  <c r="BE60" i="9"/>
  <c r="BF60" i="9"/>
  <c r="BG60" i="9"/>
  <c r="AV61" i="9"/>
  <c r="AW61" i="9"/>
  <c r="AX61" i="9"/>
  <c r="AY61" i="9"/>
  <c r="AZ61" i="9"/>
  <c r="BA61" i="9"/>
  <c r="BB61" i="9"/>
  <c r="BC61" i="9"/>
  <c r="BD61" i="9"/>
  <c r="BE61" i="9"/>
  <c r="BF61" i="9"/>
  <c r="BG61" i="9"/>
  <c r="AV62" i="9"/>
  <c r="AW62" i="9"/>
  <c r="AX62" i="9"/>
  <c r="AY62" i="9"/>
  <c r="AZ62" i="9"/>
  <c r="BA62" i="9"/>
  <c r="BB62" i="9"/>
  <c r="BC62" i="9"/>
  <c r="BD62" i="9"/>
  <c r="BE62" i="9"/>
  <c r="BF62" i="9"/>
  <c r="BG62" i="9"/>
  <c r="AV63" i="9"/>
  <c r="AW63" i="9"/>
  <c r="AX63" i="9"/>
  <c r="AY63" i="9"/>
  <c r="AZ63" i="9"/>
  <c r="BA63" i="9"/>
  <c r="BB63" i="9"/>
  <c r="BC63" i="9"/>
  <c r="BD63" i="9"/>
  <c r="BE63" i="9"/>
  <c r="BF63" i="9"/>
  <c r="BG63" i="9"/>
  <c r="AW64" i="9"/>
  <c r="AX64" i="9"/>
  <c r="AY64" i="9"/>
  <c r="AZ64" i="9"/>
  <c r="BA64" i="9"/>
  <c r="BB64" i="9"/>
  <c r="BC64" i="9"/>
  <c r="BD64" i="9"/>
  <c r="BE64" i="9"/>
  <c r="BF64" i="9"/>
  <c r="BG64" i="9"/>
  <c r="AV65" i="9"/>
  <c r="AX65" i="9"/>
  <c r="AY65" i="9"/>
  <c r="AZ65" i="9"/>
  <c r="BA65" i="9"/>
  <c r="BB65" i="9"/>
  <c r="BC65" i="9"/>
  <c r="BD65" i="9"/>
  <c r="BE65" i="9"/>
  <c r="BF65" i="9"/>
  <c r="BG65" i="9"/>
  <c r="AV66" i="9"/>
  <c r="AW66" i="9"/>
  <c r="AY66" i="9"/>
  <c r="AZ66" i="9"/>
  <c r="BA66" i="9"/>
  <c r="BB66" i="9"/>
  <c r="BC66" i="9"/>
  <c r="BD66" i="9"/>
  <c r="BE66" i="9"/>
  <c r="BF66" i="9"/>
  <c r="BG66" i="9"/>
  <c r="AV67" i="9"/>
  <c r="AW67" i="9"/>
  <c r="AX67" i="9"/>
  <c r="AY67" i="9"/>
  <c r="AZ67" i="9"/>
  <c r="BA67" i="9"/>
  <c r="BB67" i="9"/>
  <c r="BC67" i="9"/>
  <c r="BD67" i="9"/>
  <c r="BE67" i="9"/>
  <c r="BF67" i="9"/>
  <c r="BG67" i="9"/>
  <c r="AV68" i="9"/>
  <c r="AW68" i="9"/>
  <c r="AX68" i="9"/>
  <c r="AY68" i="9"/>
  <c r="AZ68" i="9"/>
  <c r="BA68" i="9"/>
  <c r="BB68" i="9"/>
  <c r="BC68" i="9"/>
  <c r="BD68" i="9"/>
  <c r="BE68" i="9"/>
  <c r="BF68" i="9"/>
  <c r="BG68" i="9"/>
  <c r="AV71" i="9"/>
  <c r="AW71" i="9"/>
  <c r="AX71" i="9"/>
  <c r="AY71" i="9"/>
  <c r="AZ71" i="9"/>
  <c r="BA71" i="9"/>
  <c r="BB71" i="9"/>
  <c r="BC71" i="9"/>
  <c r="BD71" i="9"/>
  <c r="BE71" i="9"/>
  <c r="BF71" i="9"/>
  <c r="BG71" i="9"/>
  <c r="AV72" i="9"/>
  <c r="AW72" i="9"/>
  <c r="AX72" i="9"/>
  <c r="AY72" i="9"/>
  <c r="AZ72" i="9"/>
  <c r="BA72" i="9"/>
  <c r="BB72" i="9"/>
  <c r="BC72" i="9"/>
  <c r="BD72" i="9"/>
  <c r="BE72" i="9"/>
  <c r="BF72" i="9"/>
  <c r="BG72" i="9"/>
  <c r="AV73" i="9"/>
  <c r="AW73" i="9"/>
  <c r="AX73" i="9"/>
  <c r="AY73" i="9"/>
  <c r="AZ73" i="9"/>
  <c r="BA73" i="9"/>
  <c r="BB73" i="9"/>
  <c r="BC73" i="9"/>
  <c r="BD73" i="9"/>
  <c r="BE73" i="9"/>
  <c r="BF73" i="9"/>
  <c r="BG73" i="9"/>
  <c r="AX74" i="9"/>
  <c r="AY74" i="9"/>
  <c r="AZ74" i="9"/>
  <c r="BA74" i="9"/>
  <c r="BB74" i="9"/>
  <c r="BC74" i="9"/>
  <c r="BD74" i="9"/>
  <c r="BE74" i="9"/>
  <c r="BF74" i="9"/>
  <c r="BG74" i="9"/>
  <c r="AV75" i="9"/>
  <c r="AW75" i="9"/>
  <c r="AX75" i="9"/>
  <c r="AY75" i="9"/>
  <c r="AZ75" i="9"/>
  <c r="BA75" i="9"/>
  <c r="BB75" i="9"/>
  <c r="BC75" i="9"/>
  <c r="BD75" i="9"/>
  <c r="BE75" i="9"/>
  <c r="BF75" i="9"/>
  <c r="BG75" i="9"/>
  <c r="AV76" i="9"/>
  <c r="AW76" i="9"/>
  <c r="AX76" i="9"/>
  <c r="AY76" i="9"/>
  <c r="AZ76" i="9"/>
  <c r="BA76" i="9"/>
  <c r="BB76" i="9"/>
  <c r="BC76" i="9"/>
  <c r="BD76" i="9"/>
  <c r="BE76" i="9"/>
  <c r="BF76" i="9"/>
  <c r="BG76" i="9"/>
  <c r="AV77" i="9"/>
  <c r="AW77" i="9"/>
  <c r="AX77" i="9"/>
  <c r="AY77" i="9"/>
  <c r="AZ77" i="9"/>
  <c r="BA77" i="9"/>
  <c r="BB77" i="9"/>
  <c r="BC77" i="9"/>
  <c r="BD77" i="9"/>
  <c r="BE77" i="9"/>
  <c r="BF77" i="9"/>
  <c r="BG77" i="9"/>
  <c r="AV78" i="9"/>
  <c r="AW78" i="9"/>
  <c r="AX78" i="9"/>
  <c r="AZ78" i="9"/>
  <c r="BA78" i="9"/>
  <c r="BB78" i="9"/>
  <c r="BC78" i="9"/>
  <c r="BD78" i="9"/>
  <c r="BE78" i="9"/>
  <c r="BG78" i="9"/>
  <c r="AV79" i="9"/>
  <c r="AW79" i="9"/>
  <c r="AX79" i="9"/>
  <c r="AY79" i="9"/>
  <c r="AZ79" i="9"/>
  <c r="BA79" i="9"/>
  <c r="BB79" i="9"/>
  <c r="BC79" i="9"/>
  <c r="BD79" i="9"/>
  <c r="BE79" i="9"/>
  <c r="BF79" i="9"/>
  <c r="BG79" i="9"/>
  <c r="AV80" i="9"/>
  <c r="AW80" i="9"/>
  <c r="AX80" i="9"/>
  <c r="AY80" i="9"/>
  <c r="AZ80" i="9"/>
  <c r="BA80" i="9"/>
  <c r="BB80" i="9"/>
  <c r="BC80" i="9"/>
  <c r="BD80" i="9"/>
  <c r="BE80" i="9"/>
  <c r="BF80" i="9"/>
  <c r="BG80" i="9"/>
  <c r="AX29" i="9"/>
  <c r="AY29" i="9"/>
  <c r="AZ29" i="9"/>
  <c r="BA29" i="9"/>
  <c r="BB29" i="9"/>
  <c r="BC29" i="9"/>
  <c r="BD29" i="9"/>
  <c r="AW21" i="9"/>
  <c r="AX21" i="9"/>
  <c r="AY21" i="9"/>
  <c r="AZ21" i="9"/>
  <c r="BA21" i="9"/>
  <c r="BB21" i="9"/>
  <c r="BC21" i="9"/>
  <c r="BD21" i="9"/>
  <c r="BE21" i="9"/>
  <c r="BF21" i="9"/>
  <c r="BG21" i="9"/>
  <c r="AW22" i="9"/>
  <c r="AX22" i="9"/>
  <c r="AY22" i="9"/>
  <c r="AZ22" i="9"/>
  <c r="BA22" i="9"/>
  <c r="BB22" i="9"/>
  <c r="BC22" i="9"/>
  <c r="BD22" i="9"/>
  <c r="BE22" i="9"/>
  <c r="BF22" i="9"/>
  <c r="BG22" i="9"/>
  <c r="AW23" i="9"/>
  <c r="AX23" i="9"/>
  <c r="AY23" i="9"/>
  <c r="AZ23" i="9"/>
  <c r="BA23" i="9"/>
  <c r="BB23" i="9"/>
  <c r="BC23" i="9"/>
  <c r="BD23" i="9"/>
  <c r="BE23" i="9"/>
  <c r="BF23" i="9"/>
  <c r="BG23" i="9"/>
  <c r="AW24" i="9"/>
  <c r="N27" i="9" s="1"/>
  <c r="AX24" i="9"/>
  <c r="O27" i="9" s="1"/>
  <c r="AY24" i="9"/>
  <c r="P27" i="9" s="1"/>
  <c r="AZ24" i="9"/>
  <c r="Q27" i="9" s="1"/>
  <c r="BA24" i="9"/>
  <c r="R27" i="9" s="1"/>
  <c r="BB24" i="9"/>
  <c r="S27" i="9" s="1"/>
  <c r="BC24" i="9"/>
  <c r="T27" i="9" s="1"/>
  <c r="BD24" i="9"/>
  <c r="U27" i="9" s="1"/>
  <c r="BE24" i="9"/>
  <c r="V27" i="9" s="1"/>
  <c r="BF24" i="9"/>
  <c r="W27" i="9" s="1"/>
  <c r="BG24" i="9"/>
  <c r="X27" i="9" s="1"/>
  <c r="AV23" i="9"/>
  <c r="AV22" i="9"/>
  <c r="L72" i="9"/>
  <c r="L73" i="9"/>
  <c r="L74" i="9"/>
  <c r="L75" i="9"/>
  <c r="L76" i="9"/>
  <c r="AY78" i="9"/>
  <c r="L79" i="9"/>
  <c r="L80" i="9"/>
  <c r="F68" i="9"/>
  <c r="AL68" i="9" s="1"/>
  <c r="E68" i="9"/>
  <c r="B68" i="9"/>
  <c r="F67" i="9"/>
  <c r="AL67" i="9" s="1"/>
  <c r="E67" i="9"/>
  <c r="B67" i="9"/>
  <c r="F66" i="9"/>
  <c r="AL66" i="9" s="1"/>
  <c r="E66" i="9"/>
  <c r="B66" i="9"/>
  <c r="F65" i="9"/>
  <c r="AL65" i="9" s="1"/>
  <c r="E65" i="9"/>
  <c r="B65" i="9"/>
  <c r="F64" i="9"/>
  <c r="AL64" i="9" s="1"/>
  <c r="E64" i="9"/>
  <c r="B64" i="9"/>
  <c r="F63" i="9"/>
  <c r="AL63" i="9" s="1"/>
  <c r="E63" i="9"/>
  <c r="B63" i="9"/>
  <c r="F62" i="9"/>
  <c r="AL62" i="9" s="1"/>
  <c r="E62" i="9"/>
  <c r="B62" i="9"/>
  <c r="F61" i="9"/>
  <c r="AL61" i="9" s="1"/>
  <c r="E61" i="9"/>
  <c r="B61" i="9"/>
  <c r="F60" i="9"/>
  <c r="AL60" i="9" s="1"/>
  <c r="E60" i="9"/>
  <c r="B60" i="9"/>
  <c r="F59" i="9"/>
  <c r="AL59" i="9" s="1"/>
  <c r="E59" i="9"/>
  <c r="B59" i="9"/>
  <c r="F58" i="9"/>
  <c r="AL58" i="9" s="1"/>
  <c r="E58" i="9"/>
  <c r="B58" i="9"/>
  <c r="F57" i="9"/>
  <c r="AL57" i="9" s="1"/>
  <c r="E57" i="9"/>
  <c r="B57" i="9"/>
  <c r="F56" i="9"/>
  <c r="AL56" i="9" s="1"/>
  <c r="E56" i="9"/>
  <c r="B56" i="9"/>
  <c r="F55" i="9"/>
  <c r="AL55" i="9" s="1"/>
  <c r="E55" i="9"/>
  <c r="B55" i="9"/>
  <c r="F54" i="9"/>
  <c r="AL54" i="9" s="1"/>
  <c r="E54" i="9"/>
  <c r="B54" i="9"/>
  <c r="F53" i="9"/>
  <c r="AL53" i="9" s="1"/>
  <c r="E53" i="9"/>
  <c r="B53" i="9"/>
  <c r="F52" i="9"/>
  <c r="AL52" i="9" s="1"/>
  <c r="E52" i="9"/>
  <c r="B52" i="9"/>
  <c r="F51" i="9"/>
  <c r="AL51" i="9" s="1"/>
  <c r="E51" i="9"/>
  <c r="B51" i="9"/>
  <c r="F50" i="9"/>
  <c r="AL50" i="9" s="1"/>
  <c r="E50" i="9"/>
  <c r="B50" i="9"/>
  <c r="F49" i="9"/>
  <c r="AL49" i="9" s="1"/>
  <c r="E49" i="9"/>
  <c r="B49" i="9"/>
  <c r="F48" i="9"/>
  <c r="AL48" i="9" s="1"/>
  <c r="E48" i="9"/>
  <c r="B48" i="9"/>
  <c r="F47" i="9"/>
  <c r="AL47" i="9" s="1"/>
  <c r="E47" i="9"/>
  <c r="B47" i="9"/>
  <c r="F46" i="9"/>
  <c r="AL46" i="9" s="1"/>
  <c r="E46" i="9"/>
  <c r="B46" i="9"/>
  <c r="F45" i="9"/>
  <c r="AL45" i="9" s="1"/>
  <c r="E45" i="9"/>
  <c r="B45" i="9"/>
  <c r="F44" i="9"/>
  <c r="AL44" i="9" s="1"/>
  <c r="E44" i="9"/>
  <c r="B44" i="9"/>
  <c r="F43" i="9"/>
  <c r="AL43" i="9" s="1"/>
  <c r="E43" i="9"/>
  <c r="B43" i="9"/>
  <c r="F42" i="9"/>
  <c r="AL42" i="9" s="1"/>
  <c r="E42" i="9"/>
  <c r="B42" i="9"/>
  <c r="F41" i="9"/>
  <c r="AL41" i="9" s="1"/>
  <c r="E41" i="9"/>
  <c r="B41" i="9"/>
  <c r="F40" i="9"/>
  <c r="AL40" i="9" s="1"/>
  <c r="E40" i="9"/>
  <c r="B40" i="9"/>
  <c r="F39" i="9"/>
  <c r="AL39" i="9" s="1"/>
  <c r="E39" i="9"/>
  <c r="B39" i="9"/>
  <c r="F38" i="9"/>
  <c r="AL38" i="9" s="1"/>
  <c r="E38" i="9"/>
  <c r="B38" i="9"/>
  <c r="F37" i="9"/>
  <c r="AL37" i="9" s="1"/>
  <c r="E37" i="9"/>
  <c r="B37" i="9"/>
  <c r="F36" i="9"/>
  <c r="AL36" i="9" s="1"/>
  <c r="E36" i="9"/>
  <c r="B36" i="9"/>
  <c r="F35" i="9"/>
  <c r="AL35" i="9" s="1"/>
  <c r="E35" i="9"/>
  <c r="B35" i="9"/>
  <c r="F34" i="9"/>
  <c r="AL34" i="9" s="1"/>
  <c r="E34" i="9"/>
  <c r="B34" i="9"/>
  <c r="F33" i="9"/>
  <c r="AL33" i="9" s="1"/>
  <c r="E33" i="9"/>
  <c r="B33" i="9"/>
  <c r="F32" i="9"/>
  <c r="AL32" i="9" s="1"/>
  <c r="E32" i="9"/>
  <c r="B32" i="9"/>
  <c r="F31" i="9"/>
  <c r="AL31" i="9" s="1"/>
  <c r="E31" i="9"/>
  <c r="B31" i="9"/>
  <c r="F30" i="9"/>
  <c r="AL30" i="9" s="1"/>
  <c r="E30" i="9"/>
  <c r="B30" i="9"/>
  <c r="F29" i="9"/>
  <c r="AL29" i="9" s="1"/>
  <c r="E29" i="9"/>
  <c r="C29" i="9"/>
  <c r="B29" i="9"/>
  <c r="AS14" i="9"/>
  <c r="AS18" i="9"/>
  <c r="AS17" i="9"/>
  <c r="BN29" i="9" l="1"/>
  <c r="BO29" i="9"/>
  <c r="BN30" i="9"/>
  <c r="BO30" i="9"/>
  <c r="BN31" i="9"/>
  <c r="BO31" i="9"/>
  <c r="BN32" i="9"/>
  <c r="BO32" i="9"/>
  <c r="BN33" i="9"/>
  <c r="BO33" i="9"/>
  <c r="BN34" i="9"/>
  <c r="BO34" i="9"/>
  <c r="BN35" i="9"/>
  <c r="BO35" i="9"/>
  <c r="BN36" i="9"/>
  <c r="BO36" i="9"/>
  <c r="BN37" i="9"/>
  <c r="BO37" i="9"/>
  <c r="BN38" i="9"/>
  <c r="BO38" i="9"/>
  <c r="BN39" i="9"/>
  <c r="BO39" i="9"/>
  <c r="BN40" i="9"/>
  <c r="BO40" i="9"/>
  <c r="BN41" i="9"/>
  <c r="BO41" i="9"/>
  <c r="BN42" i="9"/>
  <c r="BO42" i="9"/>
  <c r="BN43" i="9"/>
  <c r="BO43" i="9"/>
  <c r="BN44" i="9"/>
  <c r="BO44" i="9"/>
  <c r="BN45" i="9"/>
  <c r="BO45" i="9"/>
  <c r="BN46" i="9"/>
  <c r="BO46" i="9"/>
  <c r="BN47" i="9"/>
  <c r="BO47" i="9"/>
  <c r="BN48" i="9"/>
  <c r="BO48" i="9"/>
  <c r="BN49" i="9"/>
  <c r="BO49" i="9"/>
  <c r="BN50" i="9"/>
  <c r="BO50" i="9"/>
  <c r="BN51" i="9"/>
  <c r="BO51" i="9"/>
  <c r="BN52" i="9"/>
  <c r="BO52" i="9"/>
  <c r="BN53" i="9"/>
  <c r="BO53" i="9"/>
  <c r="BN54" i="9"/>
  <c r="BO54" i="9"/>
  <c r="BN55" i="9"/>
  <c r="BO55" i="9"/>
  <c r="BN56" i="9"/>
  <c r="BO56" i="9"/>
  <c r="BN57" i="9"/>
  <c r="BO57" i="9"/>
  <c r="BN58" i="9"/>
  <c r="BO58" i="9"/>
  <c r="BN59" i="9"/>
  <c r="BO59" i="9"/>
  <c r="BN60" i="9"/>
  <c r="BO60" i="9"/>
  <c r="BN61" i="9"/>
  <c r="BO61" i="9"/>
  <c r="BN62" i="9"/>
  <c r="BO62" i="9"/>
  <c r="BN63" i="9"/>
  <c r="BO63" i="9"/>
  <c r="BN64" i="9"/>
  <c r="BO64" i="9"/>
  <c r="BN65" i="9"/>
  <c r="BO65" i="9"/>
  <c r="BN66" i="9"/>
  <c r="BO66" i="9"/>
  <c r="BN67" i="9"/>
  <c r="BO67" i="9"/>
  <c r="BN68" i="9"/>
  <c r="BO68" i="9"/>
  <c r="AR29" i="9"/>
  <c r="AE29" i="9"/>
  <c r="AL82" i="9"/>
  <c r="BF78" i="9"/>
  <c r="AW74" i="9"/>
  <c r="AV74" i="9"/>
  <c r="AJ29" i="9"/>
  <c r="AI29" i="9"/>
  <c r="AE30" i="9"/>
  <c r="AJ30" i="9"/>
  <c r="AI30" i="9"/>
  <c r="AE31" i="9"/>
  <c r="AJ31" i="9"/>
  <c r="AI31" i="9"/>
  <c r="AE32" i="9"/>
  <c r="AJ32" i="9"/>
  <c r="AI32" i="9"/>
  <c r="AE33" i="9"/>
  <c r="AJ33" i="9"/>
  <c r="AI33" i="9"/>
  <c r="AE34" i="9"/>
  <c r="AJ34" i="9"/>
  <c r="AI34" i="9"/>
  <c r="AE35" i="9"/>
  <c r="AJ35" i="9"/>
  <c r="AI35" i="9"/>
  <c r="AE36" i="9"/>
  <c r="AJ36" i="9"/>
  <c r="AI36" i="9"/>
  <c r="AE37" i="9"/>
  <c r="AJ37" i="9"/>
  <c r="AI37" i="9"/>
  <c r="AE38" i="9"/>
  <c r="AJ38" i="9"/>
  <c r="AI38" i="9"/>
  <c r="AE39" i="9"/>
  <c r="AJ39" i="9"/>
  <c r="AI39" i="9"/>
  <c r="AE40" i="9"/>
  <c r="AJ40" i="9"/>
  <c r="AI40" i="9"/>
  <c r="AE41" i="9"/>
  <c r="AJ41" i="9"/>
  <c r="AI41" i="9"/>
  <c r="AE42" i="9"/>
  <c r="AJ42" i="9"/>
  <c r="AI42" i="9"/>
  <c r="AE43" i="9"/>
  <c r="AJ43" i="9"/>
  <c r="AI43" i="9"/>
  <c r="AE44" i="9"/>
  <c r="AJ44" i="9"/>
  <c r="AI44" i="9"/>
  <c r="AE45" i="9"/>
  <c r="AJ45" i="9"/>
  <c r="AI45" i="9"/>
  <c r="AE46" i="9"/>
  <c r="AJ46" i="9"/>
  <c r="AI46" i="9"/>
  <c r="AE47" i="9"/>
  <c r="AJ47" i="9"/>
  <c r="AI47" i="9"/>
  <c r="AE48" i="9"/>
  <c r="AJ48" i="9"/>
  <c r="AI48" i="9"/>
  <c r="AE49" i="9"/>
  <c r="AJ49" i="9"/>
  <c r="AI49" i="9"/>
  <c r="AE50" i="9"/>
  <c r="AJ50" i="9"/>
  <c r="AI50" i="9"/>
  <c r="AE51" i="9"/>
  <c r="AJ51" i="9"/>
  <c r="AI51" i="9"/>
  <c r="AE52" i="9"/>
  <c r="AJ52" i="9"/>
  <c r="AI52" i="9"/>
  <c r="AE53" i="9"/>
  <c r="AJ53" i="9"/>
  <c r="AI53" i="9"/>
  <c r="AE54" i="9"/>
  <c r="AJ54" i="9"/>
  <c r="AI54" i="9"/>
  <c r="AE55" i="9"/>
  <c r="AJ55" i="9"/>
  <c r="AI55" i="9"/>
  <c r="AE56" i="9"/>
  <c r="AJ56" i="9"/>
  <c r="AI56" i="9"/>
  <c r="AE57" i="9"/>
  <c r="AJ57" i="9"/>
  <c r="AI57" i="9"/>
  <c r="AE58" i="9"/>
  <c r="AJ58" i="9"/>
  <c r="AI58" i="9"/>
  <c r="AE59" i="9"/>
  <c r="AJ59" i="9"/>
  <c r="AI59" i="9"/>
  <c r="AE60" i="9"/>
  <c r="AJ60" i="9"/>
  <c r="AI60" i="9"/>
  <c r="AE61" i="9"/>
  <c r="AJ61" i="9"/>
  <c r="AI61" i="9"/>
  <c r="AE62" i="9"/>
  <c r="AJ62" i="9"/>
  <c r="AI62" i="9"/>
  <c r="AE63" i="9"/>
  <c r="AJ63" i="9"/>
  <c r="AI63" i="9"/>
  <c r="AE64" i="9"/>
  <c r="AJ64" i="9"/>
  <c r="AI64" i="9"/>
  <c r="AE65" i="9"/>
  <c r="AJ65" i="9"/>
  <c r="AI65" i="9"/>
  <c r="AE66" i="9"/>
  <c r="AJ66" i="9"/>
  <c r="AI66" i="9"/>
  <c r="AE67" i="9"/>
  <c r="AJ67" i="9"/>
  <c r="AI67" i="9"/>
  <c r="AE68" i="9"/>
  <c r="AJ68" i="9"/>
  <c r="AI68" i="9"/>
  <c r="AS29" i="9"/>
  <c r="AT29" i="9"/>
  <c r="AS30" i="9"/>
  <c r="AR30" i="9"/>
  <c r="AT30" i="9" s="1"/>
  <c r="AV30" i="9" s="1"/>
  <c r="AS31" i="9"/>
  <c r="AR31" i="9"/>
  <c r="AT31" i="9" s="1"/>
  <c r="AS32" i="9"/>
  <c r="AR32" i="9"/>
  <c r="AT32" i="9" s="1"/>
  <c r="AS33" i="9"/>
  <c r="AR33" i="9"/>
  <c r="AT33" i="9" s="1"/>
  <c r="AS34" i="9"/>
  <c r="AR34" i="9"/>
  <c r="AT34" i="9" s="1"/>
  <c r="AS35" i="9"/>
  <c r="AR35" i="9"/>
  <c r="AT35" i="9" s="1"/>
  <c r="BA35" i="9" s="1"/>
  <c r="AS36" i="9"/>
  <c r="AR36" i="9"/>
  <c r="AT36" i="9" s="1"/>
  <c r="BB36" i="9" s="1"/>
  <c r="AS37" i="9"/>
  <c r="AR37" i="9"/>
  <c r="AT37" i="9" s="1"/>
  <c r="BC37" i="9" s="1"/>
  <c r="AS38" i="9"/>
  <c r="AR38" i="9"/>
  <c r="AT38" i="9" s="1"/>
  <c r="BG38" i="9" s="1"/>
  <c r="AS39" i="9"/>
  <c r="AR39" i="9"/>
  <c r="AT39" i="9" s="1"/>
  <c r="BB39" i="9" s="1"/>
  <c r="AS40" i="9"/>
  <c r="AR40" i="9"/>
  <c r="AT40" i="9" s="1"/>
  <c r="AS41" i="9"/>
  <c r="AR41" i="9"/>
  <c r="AT41" i="9" s="1"/>
  <c r="AS42" i="9"/>
  <c r="AR42" i="9"/>
  <c r="AT42" i="9" s="1"/>
  <c r="L42" i="9" s="1"/>
  <c r="AS43" i="9"/>
  <c r="AR43" i="9"/>
  <c r="AT43" i="9" s="1"/>
  <c r="L43" i="9" s="1"/>
  <c r="AS44" i="9"/>
  <c r="AR44" i="9"/>
  <c r="AT44" i="9" s="1"/>
  <c r="L44" i="9" s="1"/>
  <c r="AS45" i="9"/>
  <c r="AR45" i="9"/>
  <c r="AT45" i="9" s="1"/>
  <c r="L45" i="9" s="1"/>
  <c r="AS46" i="9"/>
  <c r="AR46" i="9"/>
  <c r="AT46" i="9" s="1"/>
  <c r="L46" i="9" s="1"/>
  <c r="AS47" i="9"/>
  <c r="AR47" i="9"/>
  <c r="AT47" i="9" s="1"/>
  <c r="AS48" i="9"/>
  <c r="AR48" i="9"/>
  <c r="AT48" i="9" s="1"/>
  <c r="AS49" i="9"/>
  <c r="AR49" i="9"/>
  <c r="AT49" i="9" s="1"/>
  <c r="AS50" i="9"/>
  <c r="AR50" i="9"/>
  <c r="AT50" i="9" s="1"/>
  <c r="AS51" i="9"/>
  <c r="AR51" i="9"/>
  <c r="AT51" i="9" s="1"/>
  <c r="AS52" i="9"/>
  <c r="AR52" i="9"/>
  <c r="AT52" i="9" s="1"/>
  <c r="AS53" i="9"/>
  <c r="AR53" i="9"/>
  <c r="AT53" i="9" s="1"/>
  <c r="AS54" i="9"/>
  <c r="AR54" i="9"/>
  <c r="AT54" i="9" s="1"/>
  <c r="AS55" i="9"/>
  <c r="AR55" i="9"/>
  <c r="AT55" i="9" s="1"/>
  <c r="AS56" i="9"/>
  <c r="AR56" i="9"/>
  <c r="AT56" i="9" s="1"/>
  <c r="AS57" i="9"/>
  <c r="AR57" i="9"/>
  <c r="AT57" i="9" s="1"/>
  <c r="AS58" i="9"/>
  <c r="AR58" i="9"/>
  <c r="AT58" i="9" s="1"/>
  <c r="AS59" i="9"/>
  <c r="AR59" i="9"/>
  <c r="AT59" i="9" s="1"/>
  <c r="AS60" i="9"/>
  <c r="AR60" i="9"/>
  <c r="AT60" i="9" s="1"/>
  <c r="AW60" i="9" s="1"/>
  <c r="AS61" i="9"/>
  <c r="AR61" i="9"/>
  <c r="AT61" i="9" s="1"/>
  <c r="AS62" i="9"/>
  <c r="AR62" i="9"/>
  <c r="AT62" i="9" s="1"/>
  <c r="AS63" i="9"/>
  <c r="AR63" i="9"/>
  <c r="AT63" i="9" s="1"/>
  <c r="AS64" i="9"/>
  <c r="AR64" i="9"/>
  <c r="AT64" i="9" s="1"/>
  <c r="AV64" i="9" s="1"/>
  <c r="AS65" i="9"/>
  <c r="AR65" i="9"/>
  <c r="AT65" i="9" s="1"/>
  <c r="AW65" i="9" s="1"/>
  <c r="AS66" i="9"/>
  <c r="AR66" i="9"/>
  <c r="AT66" i="9" s="1"/>
  <c r="AX66" i="9" s="1"/>
  <c r="AS67" i="9"/>
  <c r="AR67" i="9"/>
  <c r="AT67" i="9" s="1"/>
  <c r="AS68" i="9"/>
  <c r="AR68" i="9"/>
  <c r="AT68" i="9" s="1"/>
  <c r="AV24" i="9"/>
  <c r="M27" i="9" s="1"/>
  <c r="AS19" i="9"/>
  <c r="AV96" i="9"/>
  <c r="BG96" i="9"/>
  <c r="BF96" i="9"/>
  <c r="BE96" i="9"/>
  <c r="BD96" i="9"/>
  <c r="BC96" i="9"/>
  <c r="BB96" i="9"/>
  <c r="BA96" i="9"/>
  <c r="AZ96" i="9"/>
  <c r="AY96" i="9"/>
  <c r="AX96" i="9"/>
  <c r="AW96" i="9"/>
  <c r="L30" i="9"/>
  <c r="L31" i="9"/>
  <c r="L32" i="9"/>
  <c r="L33" i="9"/>
  <c r="L34" i="9"/>
  <c r="L36" i="9"/>
  <c r="L37" i="9"/>
  <c r="L38" i="9"/>
  <c r="L39" i="9"/>
  <c r="L40" i="9"/>
  <c r="L68" i="9"/>
  <c r="L67" i="9"/>
  <c r="L66" i="9"/>
  <c r="L65" i="9"/>
  <c r="L64" i="9"/>
  <c r="L63" i="9"/>
  <c r="L62" i="9"/>
  <c r="L61" i="9"/>
  <c r="L60" i="9"/>
  <c r="L59" i="9"/>
  <c r="L58" i="9"/>
  <c r="L57" i="9"/>
  <c r="L56" i="9"/>
  <c r="L55" i="9"/>
  <c r="L54" i="9"/>
  <c r="L53" i="9"/>
  <c r="L52" i="9"/>
  <c r="L51" i="9"/>
  <c r="L50" i="9"/>
  <c r="L49" i="9"/>
  <c r="L48" i="9"/>
  <c r="L47" i="9"/>
  <c r="AS24" i="9"/>
  <c r="C39" i="5"/>
  <c r="C40" i="5"/>
  <c r="C47" i="5"/>
  <c r="C48" i="5"/>
  <c r="C53" i="5"/>
  <c r="C54" i="5"/>
  <c r="AZ34" i="9" l="1"/>
  <c r="AW34" i="9"/>
  <c r="BO69" i="9"/>
  <c r="BN69" i="9"/>
  <c r="G84" i="9" s="1"/>
  <c r="AE82" i="9"/>
  <c r="G85" i="9"/>
  <c r="L41" i="9"/>
  <c r="BB41" i="9"/>
  <c r="BG25" i="9"/>
  <c r="AI82" i="9"/>
  <c r="AJ82" i="9"/>
  <c r="AP83" i="9"/>
  <c r="L35" i="9"/>
  <c r="BC35" i="9"/>
  <c r="AV97" i="9"/>
  <c r="BG40" i="9"/>
  <c r="BG82" i="9" s="1"/>
  <c r="BF39" i="9"/>
  <c r="BE38" i="9"/>
  <c r="BD37" i="9"/>
  <c r="BD82" i="9" s="1"/>
  <c r="BC36" i="9"/>
  <c r="BC82" i="9" s="1"/>
  <c r="BB35" i="9"/>
  <c r="BB82" i="9" s="1"/>
  <c r="BA34" i="9"/>
  <c r="BA82" i="9" s="1"/>
  <c r="AZ33" i="9"/>
  <c r="AZ82" i="9" s="1"/>
  <c r="AY32" i="9"/>
  <c r="AY82" i="9" s="1"/>
  <c r="AX31" i="9"/>
  <c r="AX82" i="9" s="1"/>
  <c r="AW30" i="9"/>
  <c r="AI116" i="4"/>
  <c r="AI115" i="4"/>
  <c r="AI114" i="4"/>
  <c r="AI113" i="4"/>
  <c r="AI112" i="4"/>
  <c r="AI111" i="4"/>
  <c r="AI110" i="4"/>
  <c r="AI109" i="4"/>
  <c r="AI108" i="4"/>
  <c r="AI107" i="4"/>
  <c r="AI106" i="4"/>
  <c r="AI105" i="4"/>
  <c r="AI104" i="4"/>
  <c r="AI103" i="4"/>
  <c r="AI102" i="4"/>
  <c r="AI101" i="4"/>
  <c r="AI100" i="4"/>
  <c r="AI99" i="4"/>
  <c r="AI98" i="4"/>
  <c r="AI97" i="4"/>
  <c r="AI96" i="4"/>
  <c r="AI95" i="4"/>
  <c r="AI94" i="4"/>
  <c r="AI93" i="4"/>
  <c r="AI92" i="4"/>
  <c r="AI91" i="4"/>
  <c r="AI90" i="4"/>
  <c r="AI89" i="4"/>
  <c r="AI88" i="4"/>
  <c r="AI87" i="4"/>
  <c r="AI86" i="4"/>
  <c r="AI85" i="4"/>
  <c r="AI84" i="4"/>
  <c r="AI83" i="4"/>
  <c r="AI82" i="4"/>
  <c r="AI81" i="4"/>
  <c r="AI80" i="4"/>
  <c r="AI79" i="4"/>
  <c r="AI78" i="4"/>
  <c r="AI77" i="4"/>
  <c r="AI76" i="4"/>
  <c r="AI75" i="4"/>
  <c r="AI74" i="4"/>
  <c r="AI73" i="4"/>
  <c r="AI72" i="4"/>
  <c r="AI71" i="4"/>
  <c r="AI70" i="4"/>
  <c r="AI69" i="4"/>
  <c r="AI68" i="4"/>
  <c r="AI67" i="4"/>
  <c r="AI66" i="4"/>
  <c r="AI65" i="4"/>
  <c r="AI64" i="4"/>
  <c r="AI63" i="4"/>
  <c r="AI62" i="4"/>
  <c r="AI61" i="4"/>
  <c r="AI60" i="4"/>
  <c r="AI59" i="4"/>
  <c r="AI58" i="4"/>
  <c r="AI57" i="4"/>
  <c r="AI56" i="4"/>
  <c r="AI55" i="4"/>
  <c r="AI54" i="4"/>
  <c r="AI53" i="4"/>
  <c r="AI52" i="4"/>
  <c r="AI51" i="4"/>
  <c r="AI50" i="4"/>
  <c r="AI49" i="4"/>
  <c r="AI48" i="4"/>
  <c r="AI47" i="4"/>
  <c r="AI46" i="4"/>
  <c r="AI45" i="4"/>
  <c r="AI44" i="4"/>
  <c r="AI43" i="4"/>
  <c r="AI42" i="4"/>
  <c r="AI41" i="4"/>
  <c r="AI40" i="4"/>
  <c r="AI39" i="4"/>
  <c r="AI38" i="4"/>
  <c r="X29" i="4"/>
  <c r="BV82" i="9" l="1"/>
  <c r="BU82" i="9"/>
  <c r="G86" i="9"/>
  <c r="G88" i="9" s="1"/>
  <c r="N84" i="9"/>
  <c r="O84" i="9"/>
  <c r="P84" i="9"/>
  <c r="Q84" i="9"/>
  <c r="R84" i="9"/>
  <c r="S84" i="9"/>
  <c r="T84" i="9"/>
  <c r="U84" i="9"/>
  <c r="V84" i="9"/>
  <c r="W84" i="9"/>
  <c r="X84" i="9"/>
  <c r="M84" i="9"/>
  <c r="S83" i="9"/>
  <c r="T83" i="9"/>
  <c r="U83" i="9"/>
  <c r="V83" i="9"/>
  <c r="W83" i="9"/>
  <c r="X83" i="9"/>
  <c r="O83" i="9"/>
  <c r="P83" i="9"/>
  <c r="Q83" i="9"/>
  <c r="R83" i="9"/>
  <c r="BE29" i="9"/>
  <c r="BF29" i="9"/>
  <c r="BE82" i="9"/>
  <c r="BF82" i="9"/>
  <c r="L29" i="9"/>
  <c r="AW29" i="9"/>
  <c r="AW82" i="9"/>
  <c r="N83" i="9" s="1"/>
  <c r="AV29" i="9"/>
  <c r="AV82" i="9" s="1"/>
  <c r="M83" i="9" s="1"/>
  <c r="BG91" i="9"/>
  <c r="BG100" i="9" s="1"/>
  <c r="BF91" i="9"/>
  <c r="BF100" i="9" s="1"/>
  <c r="BE91" i="9"/>
  <c r="BE100" i="9" s="1"/>
  <c r="BD91" i="9"/>
  <c r="BD100" i="9" s="1"/>
  <c r="BC91" i="9"/>
  <c r="BC100" i="9" s="1"/>
  <c r="BB91" i="9"/>
  <c r="BB100" i="9" s="1"/>
  <c r="BA91" i="9"/>
  <c r="BA100" i="9" s="1"/>
  <c r="AZ91" i="9"/>
  <c r="AZ100" i="9" s="1"/>
  <c r="AY91" i="9"/>
  <c r="AY100" i="9" s="1"/>
  <c r="AX91" i="9"/>
  <c r="AX100" i="9" s="1"/>
  <c r="AW91" i="9"/>
  <c r="AW100" i="9" s="1"/>
  <c r="AB76" i="4"/>
  <c r="AD76" i="4"/>
  <c r="AB77" i="4"/>
  <c r="AG77" i="4" s="1"/>
  <c r="AD77" i="4"/>
  <c r="AB78" i="4"/>
  <c r="AG78" i="4" s="1"/>
  <c r="AD78" i="4"/>
  <c r="AB79" i="4"/>
  <c r="AG79" i="4" s="1"/>
  <c r="AD79" i="4"/>
  <c r="AB80" i="4"/>
  <c r="AG80" i="4" s="1"/>
  <c r="AD80" i="4"/>
  <c r="AB81" i="4"/>
  <c r="AG81" i="4" s="1"/>
  <c r="AD81" i="4"/>
  <c r="AB82" i="4"/>
  <c r="AG82" i="4" s="1"/>
  <c r="AD82" i="4"/>
  <c r="AB83" i="4"/>
  <c r="AG83" i="4" s="1"/>
  <c r="AD83" i="4"/>
  <c r="AB84" i="4"/>
  <c r="AG84" i="4" s="1"/>
  <c r="AD84" i="4"/>
  <c r="AB85" i="4"/>
  <c r="AG85" i="4" s="1"/>
  <c r="AD85" i="4"/>
  <c r="AB86" i="4"/>
  <c r="AG86" i="4" s="1"/>
  <c r="AD86" i="4"/>
  <c r="AB87" i="4"/>
  <c r="AG87" i="4" s="1"/>
  <c r="AD87" i="4"/>
  <c r="AB88" i="4"/>
  <c r="AG88" i="4" s="1"/>
  <c r="AD88" i="4"/>
  <c r="AB89" i="4"/>
  <c r="AG89" i="4" s="1"/>
  <c r="AD89" i="4"/>
  <c r="AB90" i="4"/>
  <c r="AG90" i="4" s="1"/>
  <c r="AD90" i="4"/>
  <c r="AB91" i="4"/>
  <c r="AG91" i="4" s="1"/>
  <c r="AD91" i="4"/>
  <c r="AB92" i="4"/>
  <c r="AG92" i="4" s="1"/>
  <c r="AD92" i="4"/>
  <c r="AB93" i="4"/>
  <c r="AG93" i="4" s="1"/>
  <c r="AD93" i="4"/>
  <c r="AB94" i="4"/>
  <c r="AG94" i="4" s="1"/>
  <c r="AD94" i="4"/>
  <c r="AB95" i="4"/>
  <c r="AG95" i="4" s="1"/>
  <c r="AD95" i="4"/>
  <c r="AB96" i="4"/>
  <c r="AG96" i="4" s="1"/>
  <c r="AD96" i="4"/>
  <c r="AB97" i="4"/>
  <c r="AG97" i="4" s="1"/>
  <c r="AD97" i="4"/>
  <c r="AB98" i="4"/>
  <c r="AG98" i="4" s="1"/>
  <c r="AD98" i="4"/>
  <c r="AB99" i="4"/>
  <c r="AG99" i="4" s="1"/>
  <c r="AD99" i="4"/>
  <c r="AB100" i="4"/>
  <c r="AG100" i="4" s="1"/>
  <c r="AD100" i="4"/>
  <c r="AB101" i="4"/>
  <c r="AG101" i="4" s="1"/>
  <c r="AD101" i="4"/>
  <c r="AB102" i="4"/>
  <c r="AG102" i="4" s="1"/>
  <c r="AD102" i="4"/>
  <c r="AB103" i="4"/>
  <c r="AG103" i="4" s="1"/>
  <c r="AD103" i="4"/>
  <c r="AB104" i="4"/>
  <c r="AG104" i="4" s="1"/>
  <c r="AD104" i="4"/>
  <c r="AB105" i="4"/>
  <c r="AG105" i="4" s="1"/>
  <c r="AD105" i="4"/>
  <c r="AB106" i="4"/>
  <c r="AG106" i="4" s="1"/>
  <c r="AD106" i="4"/>
  <c r="AB107" i="4"/>
  <c r="AG107" i="4" s="1"/>
  <c r="AD107" i="4"/>
  <c r="AB108" i="4"/>
  <c r="AG108" i="4" s="1"/>
  <c r="AD108" i="4"/>
  <c r="AB109" i="4"/>
  <c r="AG109" i="4" s="1"/>
  <c r="AD109" i="4"/>
  <c r="AB110" i="4"/>
  <c r="AG110" i="4" s="1"/>
  <c r="AD110" i="4"/>
  <c r="AB111" i="4"/>
  <c r="AG111" i="4" s="1"/>
  <c r="AD111" i="4"/>
  <c r="AB112" i="4"/>
  <c r="AG112" i="4" s="1"/>
  <c r="AD112" i="4"/>
  <c r="AB113" i="4"/>
  <c r="AG113" i="4" s="1"/>
  <c r="AD113" i="4"/>
  <c r="AB114" i="4"/>
  <c r="AG114" i="4" s="1"/>
  <c r="AD114" i="4"/>
  <c r="AB115" i="4"/>
  <c r="AG115" i="4" s="1"/>
  <c r="AD115" i="4"/>
  <c r="E30" i="4"/>
  <c r="F168" i="4"/>
  <c r="AB26" i="4" s="1"/>
  <c r="F30" i="4"/>
  <c r="AB116" i="4"/>
  <c r="AG116" i="4" s="1"/>
  <c r="AB75" i="4"/>
  <c r="AB74" i="4"/>
  <c r="AB73" i="4"/>
  <c r="AB72" i="4"/>
  <c r="AB71" i="4"/>
  <c r="AB70" i="4"/>
  <c r="AB69" i="4"/>
  <c r="AB68" i="4"/>
  <c r="AB67" i="4"/>
  <c r="AB66" i="4"/>
  <c r="AB65" i="4"/>
  <c r="AB64" i="4"/>
  <c r="AB63" i="4"/>
  <c r="AB62" i="4"/>
  <c r="AB61" i="4"/>
  <c r="AB60" i="4"/>
  <c r="AB59" i="4"/>
  <c r="AB58" i="4"/>
  <c r="AB57" i="4"/>
  <c r="AB56" i="4"/>
  <c r="AB55" i="4"/>
  <c r="AB54" i="4"/>
  <c r="AB53" i="4"/>
  <c r="AB52" i="4"/>
  <c r="AB51" i="4"/>
  <c r="AB50" i="4"/>
  <c r="AB49" i="4"/>
  <c r="AB48" i="4"/>
  <c r="AB47" i="4"/>
  <c r="AB46" i="4"/>
  <c r="AB45" i="4"/>
  <c r="AB44" i="4"/>
  <c r="AB43" i="4"/>
  <c r="AB42" i="4"/>
  <c r="AB41" i="4"/>
  <c r="AB40" i="4"/>
  <c r="AT40" i="4" s="1"/>
  <c r="AB39" i="4"/>
  <c r="AB38" i="4"/>
  <c r="AB37" i="4"/>
  <c r="F169" i="4"/>
  <c r="AE26" i="4" s="1"/>
  <c r="D192" i="4"/>
  <c r="F160" i="4"/>
  <c r="AD37" i="4"/>
  <c r="AD38" i="4"/>
  <c r="AD39" i="4"/>
  <c r="AD40" i="4"/>
  <c r="AD41" i="4"/>
  <c r="AD42" i="4"/>
  <c r="AD43" i="4"/>
  <c r="AD44" i="4"/>
  <c r="AD45" i="4"/>
  <c r="AD46" i="4"/>
  <c r="AD47" i="4"/>
  <c r="AD48" i="4"/>
  <c r="AD49" i="4"/>
  <c r="AD50" i="4"/>
  <c r="AD51" i="4"/>
  <c r="AD52" i="4"/>
  <c r="AD53" i="4"/>
  <c r="AD54" i="4"/>
  <c r="AD55" i="4"/>
  <c r="AD56" i="4"/>
  <c r="AD57" i="4"/>
  <c r="AD58" i="4"/>
  <c r="AD59" i="4"/>
  <c r="AD60" i="4"/>
  <c r="AD61" i="4"/>
  <c r="AD62" i="4"/>
  <c r="AD63" i="4"/>
  <c r="AD64" i="4"/>
  <c r="AD65" i="4"/>
  <c r="AD66" i="4"/>
  <c r="AD67" i="4"/>
  <c r="AD68" i="4"/>
  <c r="AD69" i="4"/>
  <c r="AD70" i="4"/>
  <c r="AD71" i="4"/>
  <c r="AD72" i="4"/>
  <c r="AD73" i="4"/>
  <c r="AD74" i="4"/>
  <c r="AD75" i="4"/>
  <c r="AD116" i="4"/>
  <c r="F150" i="4"/>
  <c r="AC27" i="4"/>
  <c r="AB27" i="4"/>
  <c r="AC23" i="4"/>
  <c r="AE23" i="4"/>
  <c r="F198" i="4"/>
  <c r="C99" i="5"/>
  <c r="C59" i="5"/>
  <c r="C16" i="5"/>
  <c r="C17" i="5" s="1"/>
  <c r="C19" i="5"/>
  <c r="C20" i="5"/>
  <c r="C23" i="5"/>
  <c r="C24" i="5"/>
  <c r="C29" i="5"/>
  <c r="C30" i="5"/>
  <c r="Q36" i="4"/>
  <c r="F185" i="4"/>
  <c r="E195" i="4"/>
  <c r="R26" i="4"/>
  <c r="F179" i="4"/>
  <c r="B36" i="4" s="1"/>
  <c r="M34" i="8"/>
  <c r="F178" i="4"/>
  <c r="AM34" i="4"/>
  <c r="AJ34" i="4"/>
  <c r="B50" i="8"/>
  <c r="B51" i="8"/>
  <c r="B52" i="8"/>
  <c r="B53" i="8"/>
  <c r="B54" i="8"/>
  <c r="B55" i="8"/>
  <c r="B56" i="8"/>
  <c r="B57" i="8"/>
  <c r="B58" i="8"/>
  <c r="B59" i="8"/>
  <c r="B60" i="8"/>
  <c r="B61" i="8"/>
  <c r="B62" i="8"/>
  <c r="C123" i="7"/>
  <c r="C5" i="7"/>
  <c r="C64" i="7"/>
  <c r="AI37" i="4"/>
  <c r="AB28" i="4"/>
  <c r="AD28" i="4"/>
  <c r="BW79" i="9" l="1"/>
  <c r="BW78" i="9"/>
  <c r="AV89" i="9"/>
  <c r="M85" i="9" s="1"/>
  <c r="AW89" i="9"/>
  <c r="N85" i="9" s="1"/>
  <c r="BG89" i="9"/>
  <c r="X85" i="9" s="1"/>
  <c r="BF89" i="9"/>
  <c r="W85" i="9" s="1"/>
  <c r="BE89" i="9"/>
  <c r="V85" i="9" s="1"/>
  <c r="BD89" i="9"/>
  <c r="U85" i="9" s="1"/>
  <c r="BC89" i="9"/>
  <c r="T85" i="9" s="1"/>
  <c r="BB89" i="9"/>
  <c r="S85" i="9" s="1"/>
  <c r="BA89" i="9"/>
  <c r="R85" i="9" s="1"/>
  <c r="AZ89" i="9"/>
  <c r="Q85" i="9" s="1"/>
  <c r="AY89" i="9"/>
  <c r="P85" i="9" s="1"/>
  <c r="AX89" i="9"/>
  <c r="O85" i="9" s="1"/>
  <c r="AV91" i="9"/>
  <c r="AV100" i="9" s="1"/>
  <c r="F171" i="4"/>
  <c r="H171" i="4" s="1"/>
  <c r="N171" i="4" s="1"/>
  <c r="F165" i="4"/>
  <c r="H165" i="4" s="1"/>
  <c r="F167" i="4"/>
  <c r="H167" i="4" s="1"/>
  <c r="N167" i="4" s="1"/>
  <c r="E194" i="4"/>
  <c r="F170" i="4" s="1"/>
  <c r="AT54" i="4"/>
  <c r="AT74" i="4"/>
  <c r="AT66" i="4"/>
  <c r="AT70" i="4"/>
  <c r="AT116" i="4"/>
  <c r="AT72" i="4"/>
  <c r="AT60" i="4"/>
  <c r="AT61" i="4"/>
  <c r="AT62" i="4"/>
  <c r="AT48" i="4"/>
  <c r="AT56" i="4"/>
  <c r="AT42" i="4"/>
  <c r="AT50" i="4"/>
  <c r="AT58" i="4"/>
  <c r="AT64" i="4"/>
  <c r="AC116" i="4"/>
  <c r="AT52" i="4"/>
  <c r="AT46" i="4"/>
  <c r="AT44" i="4"/>
  <c r="AT38" i="4"/>
  <c r="AT68" i="4"/>
  <c r="AD26" i="4"/>
  <c r="AB29" i="4" s="1"/>
  <c r="S26" i="4" s="1"/>
  <c r="AC26" i="4"/>
  <c r="AC28" i="4" s="1"/>
  <c r="F188" i="4"/>
  <c r="C18" i="5"/>
  <c r="C21" i="5" s="1"/>
  <c r="AC48" i="4"/>
  <c r="F154" i="4"/>
  <c r="H154" i="4" s="1"/>
  <c r="AC57" i="4"/>
  <c r="F163" i="4"/>
  <c r="F153" i="4"/>
  <c r="AC71" i="4"/>
  <c r="AC47" i="4"/>
  <c r="AT49" i="4"/>
  <c r="AT53" i="4"/>
  <c r="AT55" i="4"/>
  <c r="AT57" i="4"/>
  <c r="AC56" i="4"/>
  <c r="AT71" i="4"/>
  <c r="AC72" i="4"/>
  <c r="AB35" i="4"/>
  <c r="AC64" i="4"/>
  <c r="AT43" i="4"/>
  <c r="AT115" i="4"/>
  <c r="AT113" i="4"/>
  <c r="AT111" i="4"/>
  <c r="AT37" i="4"/>
  <c r="AC37" i="4"/>
  <c r="AE37" i="4" s="1"/>
  <c r="AT39" i="4"/>
  <c r="AC39" i="4"/>
  <c r="AE39" i="4" s="1"/>
  <c r="AC38" i="4"/>
  <c r="AT41" i="4"/>
  <c r="AC41" i="4"/>
  <c r="AV41" i="4" s="1"/>
  <c r="AT45" i="4"/>
  <c r="AC45" i="4"/>
  <c r="AT47" i="4"/>
  <c r="AC46" i="4"/>
  <c r="AC50" i="4"/>
  <c r="AT51" i="4"/>
  <c r="AC51" i="4"/>
  <c r="AC53" i="4"/>
  <c r="AC54" i="4"/>
  <c r="AC55" i="4"/>
  <c r="AC58" i="4"/>
  <c r="AT59" i="4"/>
  <c r="AC59" i="4"/>
  <c r="AC61" i="4"/>
  <c r="AT63" i="4"/>
  <c r="AC62" i="4"/>
  <c r="AH62" i="4" s="1"/>
  <c r="AC63" i="4"/>
  <c r="AT65" i="4"/>
  <c r="AC66" i="4"/>
  <c r="AT67" i="4"/>
  <c r="AC67" i="4"/>
  <c r="AT69" i="4"/>
  <c r="AC69" i="4"/>
  <c r="AC70" i="4"/>
  <c r="AT73" i="4"/>
  <c r="AC73" i="4"/>
  <c r="AT75" i="4"/>
  <c r="AC74" i="4"/>
  <c r="AT114" i="4"/>
  <c r="AT112" i="4"/>
  <c r="AC44" i="4"/>
  <c r="AC42" i="4"/>
  <c r="AC40" i="4"/>
  <c r="AC75" i="4"/>
  <c r="AC65" i="4"/>
  <c r="AH65" i="4" s="1"/>
  <c r="AC49" i="4"/>
  <c r="AC43" i="4"/>
  <c r="AC68" i="4"/>
  <c r="AC60" i="4"/>
  <c r="AC52" i="4"/>
  <c r="AD35" i="4"/>
  <c r="AT110" i="4"/>
  <c r="AT109" i="4"/>
  <c r="AT108" i="4"/>
  <c r="AT107" i="4"/>
  <c r="AT106" i="4"/>
  <c r="AT105" i="4"/>
  <c r="AT104" i="4"/>
  <c r="AT103" i="4"/>
  <c r="AT102" i="4"/>
  <c r="AT101" i="4"/>
  <c r="AT100" i="4"/>
  <c r="AT99" i="4"/>
  <c r="AT98" i="4"/>
  <c r="AT97" i="4"/>
  <c r="AT96" i="4"/>
  <c r="AT95" i="4"/>
  <c r="AT94" i="4"/>
  <c r="AT93" i="4"/>
  <c r="AT92" i="4"/>
  <c r="AT91" i="4"/>
  <c r="AT90" i="4"/>
  <c r="AT89" i="4"/>
  <c r="AT88" i="4"/>
  <c r="AT87" i="4"/>
  <c r="AT86" i="4"/>
  <c r="AT85" i="4"/>
  <c r="AT84" i="4"/>
  <c r="AT83" i="4"/>
  <c r="AT82" i="4"/>
  <c r="AT81" i="4"/>
  <c r="AT80" i="4"/>
  <c r="AT79" i="4"/>
  <c r="AT78" i="4"/>
  <c r="AT77" i="4"/>
  <c r="AT76" i="4"/>
  <c r="AC115" i="4"/>
  <c r="AC114" i="4"/>
  <c r="AC113" i="4"/>
  <c r="AH113" i="4" s="1"/>
  <c r="AC112" i="4"/>
  <c r="AC111" i="4"/>
  <c r="AC110" i="4"/>
  <c r="AC109" i="4"/>
  <c r="AC108" i="4"/>
  <c r="AC107" i="4"/>
  <c r="AC106" i="4"/>
  <c r="AC105" i="4"/>
  <c r="AH105" i="4" s="1"/>
  <c r="AC104" i="4"/>
  <c r="AC103" i="4"/>
  <c r="AH103" i="4" s="1"/>
  <c r="AC102" i="4"/>
  <c r="AC101" i="4"/>
  <c r="AH101" i="4" s="1"/>
  <c r="AC100" i="4"/>
  <c r="AC99" i="4"/>
  <c r="AC98" i="4"/>
  <c r="AC97" i="4"/>
  <c r="AC96" i="4"/>
  <c r="AC95" i="4"/>
  <c r="AH95" i="4" s="1"/>
  <c r="AC94" i="4"/>
  <c r="AC93" i="4"/>
  <c r="AC92" i="4"/>
  <c r="AC91" i="4"/>
  <c r="AC90" i="4"/>
  <c r="AC89" i="4"/>
  <c r="AF89" i="4" s="1"/>
  <c r="AC88" i="4"/>
  <c r="AC87" i="4"/>
  <c r="AC86" i="4"/>
  <c r="AC85" i="4"/>
  <c r="AC84" i="4"/>
  <c r="AC83" i="4"/>
  <c r="AC81" i="4"/>
  <c r="AC80" i="4"/>
  <c r="AC79" i="4"/>
  <c r="AC78" i="4"/>
  <c r="AC77" i="4"/>
  <c r="AC76" i="4"/>
  <c r="AC82" i="4"/>
  <c r="F159" i="4"/>
  <c r="F156" i="4"/>
  <c r="F164" i="4"/>
  <c r="H164" i="4" s="1"/>
  <c r="N164" i="4" s="1"/>
  <c r="F155" i="4"/>
  <c r="F158" i="4"/>
  <c r="F166" i="4"/>
  <c r="B29" i="4" s="1"/>
  <c r="F187" i="4"/>
  <c r="F186" i="4"/>
  <c r="AE28" i="4"/>
  <c r="M89" i="9" l="1"/>
  <c r="BV73" i="9"/>
  <c r="BV94" i="9" s="1"/>
  <c r="BV91" i="9"/>
  <c r="BV90" i="9"/>
  <c r="BV93" i="9" s="1"/>
  <c r="BU91" i="9"/>
  <c r="BU90" i="9"/>
  <c r="BU93" i="9" s="1"/>
  <c r="BU73" i="9"/>
  <c r="BU94" i="9" s="1"/>
  <c r="BW80" i="9"/>
  <c r="BW83" i="9"/>
  <c r="BX83" i="9"/>
  <c r="AV92" i="9"/>
  <c r="AZ102" i="9" s="1"/>
  <c r="H170" i="4"/>
  <c r="N170" i="4" s="1"/>
  <c r="H28" i="4"/>
  <c r="M165" i="4"/>
  <c r="B27" i="4"/>
  <c r="F27" i="4"/>
  <c r="H163" i="4"/>
  <c r="M163" i="4" s="1"/>
  <c r="H166" i="4"/>
  <c r="M166" i="4" s="1"/>
  <c r="H158" i="4"/>
  <c r="M158" i="4" s="1"/>
  <c r="H155" i="4"/>
  <c r="M155" i="4" s="1"/>
  <c r="O25" i="4"/>
  <c r="H153" i="4"/>
  <c r="M153" i="4" s="1"/>
  <c r="B25" i="4"/>
  <c r="H159" i="4"/>
  <c r="N159" i="4" s="1"/>
  <c r="H156" i="4"/>
  <c r="N156" i="4" s="1"/>
  <c r="AH107" i="4"/>
  <c r="AJ107" i="4" s="1"/>
  <c r="AE107" i="4"/>
  <c r="AF107" i="4"/>
  <c r="AH115" i="4"/>
  <c r="AE115" i="4"/>
  <c r="AJ115" i="4"/>
  <c r="AJ82" i="4"/>
  <c r="AH82" i="4"/>
  <c r="AL82" i="4" s="1"/>
  <c r="AF82" i="4"/>
  <c r="AE82" i="4"/>
  <c r="AE84" i="4"/>
  <c r="AF84" i="4"/>
  <c r="AH84" i="4"/>
  <c r="AJ84" i="4" s="1"/>
  <c r="AE88" i="4"/>
  <c r="AF88" i="4"/>
  <c r="AH88" i="4"/>
  <c r="AF92" i="4"/>
  <c r="AE92" i="4"/>
  <c r="AH92" i="4"/>
  <c r="AL92" i="4" s="1"/>
  <c r="AE96" i="4"/>
  <c r="AF96" i="4"/>
  <c r="AH96" i="4"/>
  <c r="AL96" i="4" s="1"/>
  <c r="AH100" i="4"/>
  <c r="AJ100" i="4" s="1"/>
  <c r="AE100" i="4"/>
  <c r="AF100" i="4"/>
  <c r="AF104" i="4"/>
  <c r="AH104" i="4"/>
  <c r="AE104" i="4"/>
  <c r="AH108" i="4"/>
  <c r="AJ108" i="4" s="1"/>
  <c r="AE108" i="4"/>
  <c r="AF108" i="4"/>
  <c r="AF112" i="4"/>
  <c r="AE112" i="4"/>
  <c r="AH112" i="4"/>
  <c r="AL112" i="4" s="1"/>
  <c r="AH52" i="4"/>
  <c r="AF52" i="4"/>
  <c r="AE52" i="4"/>
  <c r="Z49" i="4"/>
  <c r="AF49" i="4"/>
  <c r="AH49" i="4"/>
  <c r="AE49" i="4"/>
  <c r="AE42" i="4"/>
  <c r="AF42" i="4"/>
  <c r="AH42" i="4"/>
  <c r="AH74" i="4"/>
  <c r="AE74" i="4"/>
  <c r="AF74" i="4"/>
  <c r="AE70" i="4"/>
  <c r="AF70" i="4"/>
  <c r="AH70" i="4"/>
  <c r="AJ70" i="4"/>
  <c r="AH53" i="4"/>
  <c r="AE53" i="4"/>
  <c r="AF53" i="4"/>
  <c r="AH46" i="4"/>
  <c r="AF46" i="4"/>
  <c r="AE46" i="4"/>
  <c r="AV47" i="4"/>
  <c r="AH47" i="4"/>
  <c r="AE47" i="4"/>
  <c r="AF47" i="4"/>
  <c r="AE41" i="4"/>
  <c r="AF62" i="4"/>
  <c r="AH79" i="4"/>
  <c r="AL79" i="4" s="1"/>
  <c r="AF79" i="4"/>
  <c r="AE81" i="4"/>
  <c r="AF81" i="4"/>
  <c r="AH81" i="4"/>
  <c r="AE83" i="4"/>
  <c r="AH85" i="4"/>
  <c r="AH87" i="4"/>
  <c r="AJ87" i="4" s="1"/>
  <c r="AE93" i="4"/>
  <c r="AF101" i="4"/>
  <c r="AE101" i="4"/>
  <c r="AL103" i="4"/>
  <c r="AL115" i="4"/>
  <c r="AH99" i="4"/>
  <c r="AH76" i="4"/>
  <c r="AE76" i="4"/>
  <c r="AF76" i="4"/>
  <c r="AE97" i="4"/>
  <c r="AH97" i="4"/>
  <c r="AL97" i="4" s="1"/>
  <c r="AH109" i="4"/>
  <c r="AJ109" i="4" s="1"/>
  <c r="AE109" i="4"/>
  <c r="AH60" i="4"/>
  <c r="AJ60" i="4"/>
  <c r="AE60" i="4"/>
  <c r="AF60" i="4"/>
  <c r="AJ65" i="4"/>
  <c r="AF65" i="4"/>
  <c r="AL65" i="4"/>
  <c r="AO65" i="4" s="1"/>
  <c r="AE65" i="4"/>
  <c r="AE44" i="4"/>
  <c r="AF44" i="4"/>
  <c r="AH44" i="4"/>
  <c r="AV69" i="4"/>
  <c r="AF69" i="4"/>
  <c r="AE69" i="4"/>
  <c r="AE66" i="4"/>
  <c r="AH66" i="4"/>
  <c r="AF66" i="4"/>
  <c r="AF58" i="4"/>
  <c r="AE58" i="4"/>
  <c r="AH58" i="4"/>
  <c r="AV51" i="4"/>
  <c r="AE51" i="4"/>
  <c r="AF51" i="4"/>
  <c r="AH51" i="4"/>
  <c r="AF72" i="4"/>
  <c r="AE72" i="4"/>
  <c r="AH72" i="4"/>
  <c r="Z71" i="4"/>
  <c r="AF71" i="4"/>
  <c r="AE71" i="4"/>
  <c r="AH71" i="4"/>
  <c r="Z57" i="4"/>
  <c r="AH57" i="4"/>
  <c r="AF57" i="4"/>
  <c r="AE57" i="4"/>
  <c r="AH41" i="4"/>
  <c r="AE62" i="4"/>
  <c r="AL62" i="4"/>
  <c r="AE77" i="4"/>
  <c r="AF77" i="4"/>
  <c r="AE79" i="4"/>
  <c r="AJ81" i="4"/>
  <c r="AH83" i="4"/>
  <c r="AL83" i="4" s="1"/>
  <c r="AF87" i="4"/>
  <c r="AE91" i="4"/>
  <c r="AE99" i="4"/>
  <c r="AJ103" i="4"/>
  <c r="AL109" i="4"/>
  <c r="AH69" i="4"/>
  <c r="AH78" i="4"/>
  <c r="AJ78" i="4" s="1"/>
  <c r="AE78" i="4"/>
  <c r="AF78" i="4"/>
  <c r="AF95" i="4"/>
  <c r="AE95" i="4"/>
  <c r="AF111" i="4"/>
  <c r="AH111" i="4"/>
  <c r="AL111" i="4" s="1"/>
  <c r="AH80" i="4"/>
  <c r="AJ80" i="4" s="1"/>
  <c r="AE80" i="4"/>
  <c r="AF80" i="4"/>
  <c r="AJ105" i="4"/>
  <c r="AF105" i="4"/>
  <c r="AL105" i="4"/>
  <c r="AJ113" i="4"/>
  <c r="AE113" i="4"/>
  <c r="AL113" i="4"/>
  <c r="AF113" i="4"/>
  <c r="AE86" i="4"/>
  <c r="AF86" i="4"/>
  <c r="AH86" i="4"/>
  <c r="AL86" i="4" s="1"/>
  <c r="AE90" i="4"/>
  <c r="AF90" i="4"/>
  <c r="AH90" i="4"/>
  <c r="AF94" i="4"/>
  <c r="AE94" i="4"/>
  <c r="AH94" i="4"/>
  <c r="AL94" i="4" s="1"/>
  <c r="AH98" i="4"/>
  <c r="AJ98" i="4" s="1"/>
  <c r="AF98" i="4"/>
  <c r="AE98" i="4"/>
  <c r="AF102" i="4"/>
  <c r="AE102" i="4"/>
  <c r="AH102" i="4"/>
  <c r="AL102" i="4" s="1"/>
  <c r="AH106" i="4"/>
  <c r="AL106" i="4" s="1"/>
  <c r="AE106" i="4"/>
  <c r="AF106" i="4"/>
  <c r="AE110" i="4"/>
  <c r="AF110" i="4"/>
  <c r="AH110" i="4"/>
  <c r="AJ110" i="4" s="1"/>
  <c r="AH114" i="4"/>
  <c r="AE114" i="4"/>
  <c r="AF114" i="4"/>
  <c r="AH68" i="4"/>
  <c r="AE68" i="4"/>
  <c r="AF68" i="4"/>
  <c r="Z75" i="4"/>
  <c r="AE75" i="4"/>
  <c r="AH75" i="4"/>
  <c r="AF75" i="4"/>
  <c r="Z73" i="4"/>
  <c r="AH73" i="4"/>
  <c r="AE73" i="4"/>
  <c r="AV61" i="4"/>
  <c r="AE61" i="4"/>
  <c r="AH61" i="4"/>
  <c r="AF61" i="4"/>
  <c r="AF55" i="4"/>
  <c r="AH55" i="4"/>
  <c r="AE55" i="4"/>
  <c r="AH45" i="4"/>
  <c r="AE45" i="4"/>
  <c r="AF45" i="4"/>
  <c r="AF116" i="4"/>
  <c r="AH116" i="4"/>
  <c r="AE116" i="4"/>
  <c r="AJ62" i="4"/>
  <c r="AH77" i="4"/>
  <c r="AJ77" i="4"/>
  <c r="AF85" i="4"/>
  <c r="AL85" i="4"/>
  <c r="AE89" i="4"/>
  <c r="AH91" i="4"/>
  <c r="AJ91" i="4" s="1"/>
  <c r="AF93" i="4"/>
  <c r="AL101" i="4"/>
  <c r="AE111" i="4"/>
  <c r="AF73" i="4"/>
  <c r="AO103" i="4"/>
  <c r="AE103" i="4"/>
  <c r="AF103" i="4"/>
  <c r="AF43" i="4"/>
  <c r="AE43" i="4"/>
  <c r="AH43" i="4"/>
  <c r="AF40" i="4"/>
  <c r="AH40" i="4"/>
  <c r="Z67" i="4"/>
  <c r="AH67" i="4"/>
  <c r="AF67" i="4"/>
  <c r="AE67" i="4"/>
  <c r="AF63" i="4"/>
  <c r="AH63" i="4"/>
  <c r="AE63" i="4"/>
  <c r="AH59" i="4"/>
  <c r="AE59" i="4"/>
  <c r="AF59" i="4"/>
  <c r="AL59" i="4"/>
  <c r="AE54" i="4"/>
  <c r="AH54" i="4"/>
  <c r="AF54" i="4"/>
  <c r="AF50" i="4"/>
  <c r="AH50" i="4"/>
  <c r="AE50" i="4"/>
  <c r="AH39" i="4"/>
  <c r="AL39" i="4" s="1"/>
  <c r="AF39" i="4"/>
  <c r="AE64" i="4"/>
  <c r="AF64" i="4"/>
  <c r="AH64" i="4"/>
  <c r="AE56" i="4"/>
  <c r="AF56" i="4"/>
  <c r="AH56" i="4"/>
  <c r="AE48" i="4"/>
  <c r="AF48" i="4"/>
  <c r="AH48" i="4"/>
  <c r="AE40" i="4"/>
  <c r="AF41" i="4"/>
  <c r="AJ79" i="4"/>
  <c r="AF83" i="4"/>
  <c r="AE85" i="4"/>
  <c r="AE87" i="4"/>
  <c r="AH89" i="4"/>
  <c r="AF91" i="4"/>
  <c r="AH93" i="4"/>
  <c r="AL95" i="4"/>
  <c r="AJ95" i="4"/>
  <c r="AF97" i="4"/>
  <c r="AJ97" i="4"/>
  <c r="AF99" i="4"/>
  <c r="AJ101" i="4"/>
  <c r="AO101" i="4" s="1"/>
  <c r="AE105" i="4"/>
  <c r="AF109" i="4"/>
  <c r="AF115" i="4"/>
  <c r="AH38" i="4"/>
  <c r="AE38" i="4"/>
  <c r="AF38" i="4"/>
  <c r="Z116" i="4"/>
  <c r="AV116" i="4"/>
  <c r="AH37" i="4"/>
  <c r="N154" i="4"/>
  <c r="AV48" i="4"/>
  <c r="Z48" i="4"/>
  <c r="C22" i="5"/>
  <c r="C25" i="5" s="1"/>
  <c r="A25" i="4"/>
  <c r="AV57" i="4"/>
  <c r="Z38" i="4"/>
  <c r="AV38" i="4"/>
  <c r="AV37" i="4"/>
  <c r="AC35" i="4"/>
  <c r="AV71" i="4"/>
  <c r="AV75" i="4"/>
  <c r="AV67" i="4"/>
  <c r="AV63" i="4"/>
  <c r="Z77" i="4"/>
  <c r="AV77" i="4"/>
  <c r="Z111" i="4"/>
  <c r="Z113" i="4"/>
  <c r="Z115" i="4"/>
  <c r="Z78" i="4"/>
  <c r="AV78" i="4"/>
  <c r="Z80" i="4"/>
  <c r="AV80" i="4"/>
  <c r="Z83" i="4"/>
  <c r="AV83" i="4"/>
  <c r="Z85" i="4"/>
  <c r="AV85" i="4"/>
  <c r="Z87" i="4"/>
  <c r="AV87" i="4"/>
  <c r="Z89" i="4"/>
  <c r="AV89" i="4"/>
  <c r="Z91" i="4"/>
  <c r="AV91" i="4"/>
  <c r="Z93" i="4"/>
  <c r="AV93" i="4"/>
  <c r="Z95" i="4"/>
  <c r="AV95" i="4"/>
  <c r="Z97" i="4"/>
  <c r="AV97" i="4"/>
  <c r="Z99" i="4"/>
  <c r="AV99" i="4"/>
  <c r="Z101" i="4"/>
  <c r="AV101" i="4"/>
  <c r="Z103" i="4"/>
  <c r="AV103" i="4"/>
  <c r="Z105" i="4"/>
  <c r="AV105" i="4"/>
  <c r="Z60" i="4"/>
  <c r="AV60" i="4"/>
  <c r="Z43" i="4"/>
  <c r="AV43" i="4"/>
  <c r="Z65" i="4"/>
  <c r="AV65" i="4"/>
  <c r="Z40" i="4"/>
  <c r="AV40" i="4"/>
  <c r="Z42" i="4"/>
  <c r="AV42" i="4"/>
  <c r="AV111" i="4"/>
  <c r="AV115" i="4"/>
  <c r="AV113" i="4"/>
  <c r="Z70" i="4"/>
  <c r="AV70" i="4"/>
  <c r="Z66" i="4"/>
  <c r="AV66" i="4"/>
  <c r="Z53" i="4"/>
  <c r="Z50" i="4"/>
  <c r="AV50" i="4"/>
  <c r="Z41" i="4"/>
  <c r="Z39" i="4"/>
  <c r="Z72" i="4"/>
  <c r="AV72" i="4"/>
  <c r="Z56" i="4"/>
  <c r="AV56" i="4"/>
  <c r="Z47" i="4"/>
  <c r="Z82" i="4"/>
  <c r="Z76" i="4"/>
  <c r="Z79" i="4"/>
  <c r="Z81" i="4"/>
  <c r="Z84" i="4"/>
  <c r="Z86" i="4"/>
  <c r="Z88" i="4"/>
  <c r="Z90" i="4"/>
  <c r="Z92" i="4"/>
  <c r="Z94" i="4"/>
  <c r="Z96" i="4"/>
  <c r="Z98" i="4"/>
  <c r="Z100" i="4"/>
  <c r="Z102" i="4"/>
  <c r="Z104" i="4"/>
  <c r="Z106" i="4"/>
  <c r="Z107" i="4"/>
  <c r="Z108" i="4"/>
  <c r="Z109" i="4"/>
  <c r="Z110" i="4"/>
  <c r="Z112" i="4"/>
  <c r="Z114" i="4"/>
  <c r="Z52" i="4"/>
  <c r="AV52" i="4"/>
  <c r="Z68" i="4"/>
  <c r="AV68" i="4"/>
  <c r="Z44" i="4"/>
  <c r="AV44" i="4"/>
  <c r="Z74" i="4"/>
  <c r="AV74" i="4"/>
  <c r="Z69" i="4"/>
  <c r="Z63" i="4"/>
  <c r="Z62" i="4"/>
  <c r="AV62" i="4"/>
  <c r="Z61" i="4"/>
  <c r="Z59" i="4"/>
  <c r="Z58" i="4"/>
  <c r="AV58" i="4"/>
  <c r="Z55" i="4"/>
  <c r="AV55" i="4"/>
  <c r="Z54" i="4"/>
  <c r="AV54" i="4"/>
  <c r="Z51" i="4"/>
  <c r="Z46" i="4"/>
  <c r="AV46" i="4"/>
  <c r="Z45" i="4"/>
  <c r="AV45" i="4"/>
  <c r="Z64" i="4"/>
  <c r="AV64" i="4"/>
  <c r="AV73" i="4"/>
  <c r="AV76" i="4"/>
  <c r="AV79" i="4"/>
  <c r="AV81" i="4"/>
  <c r="AV82" i="4"/>
  <c r="AV84" i="4"/>
  <c r="AV86" i="4"/>
  <c r="AV88" i="4"/>
  <c r="AV90" i="4"/>
  <c r="AV92" i="4"/>
  <c r="AV94" i="4"/>
  <c r="AV96" i="4"/>
  <c r="AV98" i="4"/>
  <c r="AV100" i="4"/>
  <c r="AV102" i="4"/>
  <c r="AV104" i="4"/>
  <c r="AV106" i="4"/>
  <c r="AV107" i="4"/>
  <c r="AV108" i="4"/>
  <c r="AV109" i="4"/>
  <c r="AV110" i="4"/>
  <c r="AV112" i="4"/>
  <c r="AV114" i="4"/>
  <c r="AV49" i="4"/>
  <c r="AV39" i="4"/>
  <c r="AV59" i="4"/>
  <c r="AV53" i="4"/>
  <c r="X35" i="4" a="1"/>
  <c r="X35" i="4" s="1"/>
  <c r="G32" i="4" s="1"/>
  <c r="AF37" i="4"/>
  <c r="Z37" i="4"/>
  <c r="AW32" i="4"/>
  <c r="AC29" i="4"/>
  <c r="T26" i="4" s="1"/>
  <c r="M95" i="9" l="1"/>
  <c r="Q95" i="9" s="1"/>
  <c r="M91" i="9"/>
  <c r="AV107" i="9"/>
  <c r="AV102" i="9"/>
  <c r="AL76" i="4"/>
  <c r="AL75" i="4"/>
  <c r="AL74" i="4"/>
  <c r="AL73" i="4"/>
  <c r="AL72" i="4"/>
  <c r="AL71" i="4"/>
  <c r="AJ69" i="4"/>
  <c r="AL68" i="4"/>
  <c r="AJ67" i="4"/>
  <c r="AL66" i="4"/>
  <c r="AL64" i="4"/>
  <c r="AL61" i="4"/>
  <c r="AL60" i="4"/>
  <c r="AJ59" i="4"/>
  <c r="AJ58" i="4"/>
  <c r="AL57" i="4"/>
  <c r="AL55" i="4"/>
  <c r="AJ54" i="4"/>
  <c r="AL53" i="4"/>
  <c r="AL52" i="4"/>
  <c r="AL51" i="4"/>
  <c r="AL50" i="4"/>
  <c r="AJ49" i="4"/>
  <c r="H30" i="4"/>
  <c r="N150" i="4"/>
  <c r="M150" i="4"/>
  <c r="AJ48" i="4"/>
  <c r="Y51" i="4"/>
  <c r="B51" i="4" s="1"/>
  <c r="AJ44" i="4"/>
  <c r="AL47" i="4"/>
  <c r="AJ46" i="4"/>
  <c r="AL38" i="4"/>
  <c r="AJ42" i="4"/>
  <c r="AJ39" i="4"/>
  <c r="AM39" i="4" s="1"/>
  <c r="AN39" i="4" s="1"/>
  <c r="AJ43" i="4"/>
  <c r="AJ50" i="4"/>
  <c r="AO50" i="4" s="1"/>
  <c r="AL108" i="4"/>
  <c r="AK108" i="4" s="1"/>
  <c r="AO60" i="4"/>
  <c r="AL54" i="4"/>
  <c r="AK54" i="4" s="1"/>
  <c r="AL110" i="4"/>
  <c r="AK110" i="4" s="1"/>
  <c r="AJ86" i="4"/>
  <c r="AK86" i="4" s="1"/>
  <c r="AO59" i="4"/>
  <c r="AJ73" i="4"/>
  <c r="AO73" i="4" s="1"/>
  <c r="AJ75" i="4"/>
  <c r="AK75" i="4" s="1"/>
  <c r="AL98" i="4"/>
  <c r="AM98" i="4" s="1"/>
  <c r="AN98" i="4" s="1"/>
  <c r="AL58" i="4"/>
  <c r="AK58" i="4" s="1"/>
  <c r="AL44" i="4"/>
  <c r="AJ76" i="4"/>
  <c r="AO76" i="4" s="1"/>
  <c r="AJ47" i="4"/>
  <c r="AL46" i="4"/>
  <c r="AL107" i="4"/>
  <c r="AK107" i="4" s="1"/>
  <c r="AO97" i="4"/>
  <c r="AJ55" i="4"/>
  <c r="AK55" i="4" s="1"/>
  <c r="AJ52" i="4"/>
  <c r="AK52" i="4" s="1"/>
  <c r="AJ64" i="4"/>
  <c r="AO64" i="4" s="1"/>
  <c r="AO55" i="4"/>
  <c r="AL42" i="4"/>
  <c r="AJ96" i="4"/>
  <c r="AK96" i="4" s="1"/>
  <c r="AO75" i="4"/>
  <c r="AL100" i="4"/>
  <c r="AK100" i="4" s="1"/>
  <c r="AL84" i="4"/>
  <c r="AM84" i="4" s="1"/>
  <c r="AN84" i="4" s="1"/>
  <c r="AO107" i="4"/>
  <c r="AK109" i="4"/>
  <c r="AM109" i="4"/>
  <c r="AO109" i="4"/>
  <c r="AM54" i="4"/>
  <c r="AN54" i="4" s="1"/>
  <c r="AO54" i="4"/>
  <c r="AM110" i="4"/>
  <c r="AN110" i="4" s="1"/>
  <c r="AK95" i="4"/>
  <c r="AM95" i="4"/>
  <c r="AJ63" i="4"/>
  <c r="AL63" i="4"/>
  <c r="AL67" i="4"/>
  <c r="AO67" i="4" s="1"/>
  <c r="AL40" i="4"/>
  <c r="AK62" i="4"/>
  <c r="AM62" i="4"/>
  <c r="AL45" i="4"/>
  <c r="AJ106" i="4"/>
  <c r="AJ102" i="4"/>
  <c r="AO102" i="4" s="1"/>
  <c r="AO86" i="4"/>
  <c r="AJ66" i="4"/>
  <c r="AO66" i="4" s="1"/>
  <c r="AL69" i="4"/>
  <c r="AK69" i="4" s="1"/>
  <c r="AJ99" i="4"/>
  <c r="AO105" i="4"/>
  <c r="AL99" i="4"/>
  <c r="AJ83" i="4"/>
  <c r="AL70" i="4"/>
  <c r="AK70" i="4" s="1"/>
  <c r="AO108" i="4"/>
  <c r="AJ88" i="4"/>
  <c r="AO82" i="4"/>
  <c r="AJ85" i="4"/>
  <c r="AJ90" i="4"/>
  <c r="AJ72" i="4"/>
  <c r="AJ51" i="4"/>
  <c r="AO51" i="4" s="1"/>
  <c r="AO95" i="4"/>
  <c r="AO85" i="4"/>
  <c r="AN62" i="4"/>
  <c r="AL49" i="4"/>
  <c r="AM49" i="4" s="1"/>
  <c r="AJ92" i="4"/>
  <c r="AK115" i="4"/>
  <c r="AM115" i="4"/>
  <c r="AN115" i="4" s="1"/>
  <c r="AM50" i="4"/>
  <c r="AN50" i="4" s="1"/>
  <c r="AJ40" i="4"/>
  <c r="AJ116" i="4"/>
  <c r="AL48" i="4"/>
  <c r="AM64" i="4"/>
  <c r="AN64" i="4" s="1"/>
  <c r="AK59" i="4"/>
  <c r="AM59" i="4"/>
  <c r="AN59" i="4" s="1"/>
  <c r="AJ45" i="4"/>
  <c r="AJ61" i="4"/>
  <c r="AJ68" i="4"/>
  <c r="AO68" i="4" s="1"/>
  <c r="AJ114" i="4"/>
  <c r="AJ94" i="4"/>
  <c r="AK113" i="4"/>
  <c r="AM113" i="4"/>
  <c r="AN113" i="4" s="1"/>
  <c r="AK105" i="4"/>
  <c r="AM105" i="4"/>
  <c r="AN105" i="4" s="1"/>
  <c r="AK103" i="4"/>
  <c r="AM103" i="4"/>
  <c r="AN103" i="4" s="1"/>
  <c r="AO62" i="4"/>
  <c r="AJ41" i="4"/>
  <c r="AJ57" i="4"/>
  <c r="AJ71" i="4"/>
  <c r="AN109" i="4"/>
  <c r="AN95" i="4"/>
  <c r="AL91" i="4"/>
  <c r="AK91" i="4" s="1"/>
  <c r="AL41" i="4"/>
  <c r="AM70" i="4"/>
  <c r="AJ74" i="4"/>
  <c r="AO52" i="4"/>
  <c r="AJ112" i="4"/>
  <c r="AJ104" i="4"/>
  <c r="AO96" i="4"/>
  <c r="AO92" i="4"/>
  <c r="AL88" i="4"/>
  <c r="AL81" i="4"/>
  <c r="AK97" i="4"/>
  <c r="AM97" i="4"/>
  <c r="AN97" i="4" s="1"/>
  <c r="AK101" i="4"/>
  <c r="AM101" i="4"/>
  <c r="AN101" i="4" s="1"/>
  <c r="AK79" i="4"/>
  <c r="AM79" i="4"/>
  <c r="AN79" i="4" s="1"/>
  <c r="AL56" i="4"/>
  <c r="AJ56" i="4"/>
  <c r="AL43" i="4"/>
  <c r="AL93" i="4"/>
  <c r="AJ89" i="4"/>
  <c r="AO116" i="4"/>
  <c r="AL116" i="4"/>
  <c r="AM55" i="4"/>
  <c r="AN55" i="4" s="1"/>
  <c r="AM75" i="4"/>
  <c r="AN75" i="4" s="1"/>
  <c r="AL114" i="4"/>
  <c r="AO110" i="4"/>
  <c r="AO98" i="4"/>
  <c r="AL90" i="4"/>
  <c r="AM86" i="4"/>
  <c r="AN86" i="4" s="1"/>
  <c r="AL80" i="4"/>
  <c r="AM80" i="4" s="1"/>
  <c r="AL78" i="4"/>
  <c r="AM78" i="4" s="1"/>
  <c r="AO79" i="4"/>
  <c r="AM58" i="4"/>
  <c r="AN58" i="4" s="1"/>
  <c r="AK65" i="4"/>
  <c r="AM65" i="4"/>
  <c r="AN65" i="4" s="1"/>
  <c r="AG65" i="4" s="1"/>
  <c r="AK60" i="4"/>
  <c r="AM60" i="4"/>
  <c r="AN60" i="4" s="1"/>
  <c r="AM76" i="4"/>
  <c r="AN76" i="4" s="1"/>
  <c r="AO113" i="4"/>
  <c r="AL89" i="4"/>
  <c r="AL77" i="4"/>
  <c r="AO77" i="4" s="1"/>
  <c r="AJ53" i="4"/>
  <c r="AM108" i="4"/>
  <c r="AN108" i="4" s="1"/>
  <c r="AL104" i="4"/>
  <c r="AM96" i="4"/>
  <c r="AN96" i="4" s="1"/>
  <c r="AO84" i="4"/>
  <c r="AK82" i="4"/>
  <c r="AM82" i="4"/>
  <c r="AN82" i="4" s="1"/>
  <c r="AO115" i="4"/>
  <c r="AJ111" i="4"/>
  <c r="AO111" i="4" s="1"/>
  <c r="AL87" i="4"/>
  <c r="AJ93" i="4"/>
  <c r="AJ38" i="4"/>
  <c r="AJ37" i="4"/>
  <c r="AL37" i="4"/>
  <c r="C26" i="5"/>
  <c r="C27" i="5" s="1"/>
  <c r="Y65" i="4"/>
  <c r="B65" i="4" s="1"/>
  <c r="Y44" i="4"/>
  <c r="B44" i="4" s="1"/>
  <c r="AE35" i="4"/>
  <c r="AH35" i="4"/>
  <c r="F180" i="4"/>
  <c r="F181" i="4" s="1"/>
  <c r="H181" i="4" s="1"/>
  <c r="Y62" i="4"/>
  <c r="B62" i="4" s="1"/>
  <c r="Y104" i="4"/>
  <c r="B104" i="4" s="1"/>
  <c r="Y41" i="4"/>
  <c r="B41" i="4" s="1"/>
  <c r="Y56" i="4"/>
  <c r="B56" i="4" s="1"/>
  <c r="Y112" i="4"/>
  <c r="B112" i="4" s="1"/>
  <c r="Y96" i="4"/>
  <c r="B96" i="4" s="1"/>
  <c r="Y69" i="4"/>
  <c r="B69" i="4" s="1"/>
  <c r="Y58" i="4"/>
  <c r="B58" i="4" s="1"/>
  <c r="Y39" i="4"/>
  <c r="B39" i="4" s="1"/>
  <c r="Y71" i="4"/>
  <c r="B71" i="4" s="1"/>
  <c r="Y116" i="4"/>
  <c r="B116" i="4" s="1"/>
  <c r="Y108" i="4"/>
  <c r="B108" i="4" s="1"/>
  <c r="Y100" i="4"/>
  <c r="B100" i="4" s="1"/>
  <c r="Y92" i="4"/>
  <c r="B92" i="4" s="1"/>
  <c r="Y46" i="4"/>
  <c r="B46" i="4" s="1"/>
  <c r="Y53" i="4"/>
  <c r="B53" i="4" s="1"/>
  <c r="Y74" i="4"/>
  <c r="B74" i="4" s="1"/>
  <c r="Y42" i="4"/>
  <c r="B42" i="4" s="1"/>
  <c r="Y49" i="4"/>
  <c r="B49" i="4" s="1"/>
  <c r="Y67" i="4"/>
  <c r="B67" i="4" s="1"/>
  <c r="Y60" i="4"/>
  <c r="B60" i="4" s="1"/>
  <c r="Y63" i="4"/>
  <c r="B63" i="4" s="1"/>
  <c r="Y55" i="4"/>
  <c r="B55" i="4" s="1"/>
  <c r="Y114" i="4"/>
  <c r="B114" i="4" s="1"/>
  <c r="Y110" i="4"/>
  <c r="B110" i="4" s="1"/>
  <c r="Y106" i="4"/>
  <c r="B106" i="4" s="1"/>
  <c r="Y102" i="4"/>
  <c r="B102" i="4" s="1"/>
  <c r="Y98" i="4"/>
  <c r="B98" i="4" s="1"/>
  <c r="Y94" i="4"/>
  <c r="B94" i="4" s="1"/>
  <c r="Y90" i="4"/>
  <c r="B90" i="4" s="1"/>
  <c r="Y88" i="4"/>
  <c r="B88" i="4" s="1"/>
  <c r="Y86" i="4"/>
  <c r="B86" i="4" s="1"/>
  <c r="Y84" i="4"/>
  <c r="B84" i="4" s="1"/>
  <c r="Y82" i="4"/>
  <c r="B82" i="4" s="1"/>
  <c r="Y80" i="4"/>
  <c r="B80" i="4" s="1"/>
  <c r="Y78" i="4"/>
  <c r="B78" i="4" s="1"/>
  <c r="Y76" i="4"/>
  <c r="B76" i="4" s="1"/>
  <c r="Y70" i="4"/>
  <c r="B70" i="4" s="1"/>
  <c r="Y54" i="4"/>
  <c r="B54" i="4" s="1"/>
  <c r="Y38" i="4"/>
  <c r="B38" i="4" s="1"/>
  <c r="Y61" i="4"/>
  <c r="B61" i="4" s="1"/>
  <c r="Y45" i="4"/>
  <c r="B45" i="4" s="1"/>
  <c r="Y37" i="4"/>
  <c r="B37" i="4" s="1"/>
  <c r="Y66" i="4"/>
  <c r="B66" i="4" s="1"/>
  <c r="Y50" i="4"/>
  <c r="B50" i="4" s="1"/>
  <c r="Y73" i="4"/>
  <c r="B73" i="4" s="1"/>
  <c r="Y57" i="4"/>
  <c r="B57" i="4" s="1"/>
  <c r="Y43" i="4"/>
  <c r="B43" i="4" s="1"/>
  <c r="Y59" i="4"/>
  <c r="B59" i="4" s="1"/>
  <c r="Y75" i="4"/>
  <c r="B75" i="4" s="1"/>
  <c r="Y52" i="4"/>
  <c r="B52" i="4" s="1"/>
  <c r="Y68" i="4"/>
  <c r="B68" i="4" s="1"/>
  <c r="Y47" i="4"/>
  <c r="B47" i="4" s="1"/>
  <c r="Y40" i="4"/>
  <c r="B40" i="4" s="1"/>
  <c r="Y72" i="4"/>
  <c r="B72" i="4" s="1"/>
  <c r="Y48" i="4"/>
  <c r="B48" i="4" s="1"/>
  <c r="Y64" i="4"/>
  <c r="B64" i="4" s="1"/>
  <c r="Y115" i="4"/>
  <c r="B115" i="4" s="1"/>
  <c r="Y113" i="4"/>
  <c r="B113" i="4" s="1"/>
  <c r="Y111" i="4"/>
  <c r="B111" i="4" s="1"/>
  <c r="Y109" i="4"/>
  <c r="B109" i="4" s="1"/>
  <c r="Y107" i="4"/>
  <c r="B107" i="4" s="1"/>
  <c r="Y105" i="4"/>
  <c r="B105" i="4" s="1"/>
  <c r="Y103" i="4"/>
  <c r="B103" i="4" s="1"/>
  <c r="Y101" i="4"/>
  <c r="B101" i="4" s="1"/>
  <c r="Y99" i="4"/>
  <c r="B99" i="4" s="1"/>
  <c r="Y97" i="4"/>
  <c r="B97" i="4" s="1"/>
  <c r="Y95" i="4"/>
  <c r="B95" i="4" s="1"/>
  <c r="Y93" i="4"/>
  <c r="B93" i="4" s="1"/>
  <c r="Y91" i="4"/>
  <c r="B91" i="4" s="1"/>
  <c r="Y89" i="4"/>
  <c r="B89" i="4" s="1"/>
  <c r="Y87" i="4"/>
  <c r="B87" i="4" s="1"/>
  <c r="Y85" i="4"/>
  <c r="B85" i="4" s="1"/>
  <c r="Y83" i="4"/>
  <c r="B83" i="4" s="1"/>
  <c r="Y81" i="4"/>
  <c r="B81" i="4" s="1"/>
  <c r="Y79" i="4"/>
  <c r="B79" i="4" s="1"/>
  <c r="Y77" i="4"/>
  <c r="B77" i="4" s="1"/>
  <c r="AF35" i="4"/>
  <c r="N92" i="9" l="1"/>
  <c r="O92" i="9"/>
  <c r="P92" i="9"/>
  <c r="Q92" i="9"/>
  <c r="R92" i="9"/>
  <c r="S92" i="9"/>
  <c r="T92" i="9"/>
  <c r="U92" i="9"/>
  <c r="V92" i="9"/>
  <c r="W92" i="9"/>
  <c r="X92" i="9"/>
  <c r="N93" i="9"/>
  <c r="O93" i="9"/>
  <c r="P93" i="9"/>
  <c r="Q93" i="9"/>
  <c r="R93" i="9"/>
  <c r="S93" i="9"/>
  <c r="T93" i="9"/>
  <c r="U93" i="9"/>
  <c r="V93" i="9"/>
  <c r="W93" i="9"/>
  <c r="X93" i="9"/>
  <c r="M93" i="9"/>
  <c r="M92" i="9"/>
  <c r="AG75" i="4"/>
  <c r="AG62" i="4"/>
  <c r="AP62" i="4" s="1"/>
  <c r="AQ62" i="4" s="1"/>
  <c r="AG60" i="4"/>
  <c r="AG59" i="4"/>
  <c r="AO58" i="4"/>
  <c r="AG58" i="4" s="1"/>
  <c r="AG54" i="4"/>
  <c r="AG55" i="4"/>
  <c r="AP54" i="4"/>
  <c r="AQ54" i="4" s="1"/>
  <c r="AK46" i="4"/>
  <c r="AO47" i="4"/>
  <c r="AK48" i="4"/>
  <c r="AK50" i="4"/>
  <c r="AG50" i="4" s="1"/>
  <c r="AP50" i="4" s="1"/>
  <c r="AQ50" i="4" s="1"/>
  <c r="Q150" i="4"/>
  <c r="AK98" i="4"/>
  <c r="AK76" i="4"/>
  <c r="AG76" i="4" s="1"/>
  <c r="AM42" i="4"/>
  <c r="AN42" i="4" s="1"/>
  <c r="AM47" i="4"/>
  <c r="AN47" i="4" s="1"/>
  <c r="AO38" i="4"/>
  <c r="AO43" i="4"/>
  <c r="AM46" i="4"/>
  <c r="AN46" i="4" s="1"/>
  <c r="AO42" i="4"/>
  <c r="AK47" i="4"/>
  <c r="AK39" i="4"/>
  <c r="AO39" i="4"/>
  <c r="AO46" i="4"/>
  <c r="AK44" i="4"/>
  <c r="AO40" i="4"/>
  <c r="AK64" i="4"/>
  <c r="AG64" i="4" s="1"/>
  <c r="AK84" i="4"/>
  <c r="AP98" i="4"/>
  <c r="AQ98" i="4" s="1"/>
  <c r="AR103" i="4"/>
  <c r="AS103" i="4" s="1"/>
  <c r="AK42" i="4"/>
  <c r="AM73" i="4"/>
  <c r="AN73" i="4" s="1"/>
  <c r="AO88" i="4"/>
  <c r="AM100" i="4"/>
  <c r="AN100" i="4" s="1"/>
  <c r="AM52" i="4"/>
  <c r="AN52" i="4" s="1"/>
  <c r="AM44" i="4"/>
  <c r="AN44" i="4" s="1"/>
  <c r="AK73" i="4"/>
  <c r="AG73" i="4" s="1"/>
  <c r="AM107" i="4"/>
  <c r="AN107" i="4" s="1"/>
  <c r="AO100" i="4"/>
  <c r="AO44" i="4"/>
  <c r="AO90" i="4"/>
  <c r="AR113" i="4"/>
  <c r="AS113" i="4" s="1"/>
  <c r="AP113" i="4"/>
  <c r="AQ113" i="4" s="1"/>
  <c r="AN78" i="4"/>
  <c r="AR105" i="4"/>
  <c r="AS105" i="4" s="1"/>
  <c r="AO48" i="4"/>
  <c r="AN80" i="4"/>
  <c r="AO91" i="4"/>
  <c r="AM91" i="4"/>
  <c r="AP86" i="4"/>
  <c r="AQ86" i="4" s="1"/>
  <c r="AR86" i="4"/>
  <c r="AS86" i="4" s="1"/>
  <c r="AR79" i="4"/>
  <c r="AS79" i="4" s="1"/>
  <c r="AP79" i="4"/>
  <c r="AQ79" i="4" s="1"/>
  <c r="AP105" i="4"/>
  <c r="AQ105" i="4" s="1"/>
  <c r="AR109" i="4"/>
  <c r="AS109" i="4" s="1"/>
  <c r="AP109" i="4"/>
  <c r="AQ109" i="4" s="1"/>
  <c r="AR96" i="4"/>
  <c r="AS96" i="4" s="1"/>
  <c r="AP96" i="4"/>
  <c r="AQ96" i="4" s="1"/>
  <c r="AP101" i="4"/>
  <c r="AQ101" i="4" s="1"/>
  <c r="AR101" i="4"/>
  <c r="AS101" i="4" s="1"/>
  <c r="AR75" i="4"/>
  <c r="AS75" i="4" s="1"/>
  <c r="AP75" i="4"/>
  <c r="AQ75" i="4" s="1"/>
  <c r="AR65" i="4"/>
  <c r="AS65" i="4" s="1"/>
  <c r="AP65" i="4"/>
  <c r="AQ65" i="4" s="1"/>
  <c r="AP59" i="4"/>
  <c r="AQ59" i="4" s="1"/>
  <c r="AR59" i="4"/>
  <c r="AS59" i="4" s="1"/>
  <c r="AP95" i="4"/>
  <c r="AQ95" i="4" s="1"/>
  <c r="AR95" i="4"/>
  <c r="AS95" i="4" s="1"/>
  <c r="AP110" i="4"/>
  <c r="AQ110" i="4" s="1"/>
  <c r="AR110" i="4"/>
  <c r="AS110" i="4" s="1"/>
  <c r="AP84" i="4"/>
  <c r="AQ84" i="4" s="1"/>
  <c r="AR84" i="4"/>
  <c r="AO87" i="4"/>
  <c r="AK104" i="4"/>
  <c r="AM104" i="4"/>
  <c r="AK74" i="4"/>
  <c r="AM74" i="4"/>
  <c r="AN74" i="4" s="1"/>
  <c r="AK83" i="4"/>
  <c r="AM83" i="4"/>
  <c r="AK99" i="4"/>
  <c r="AM99" i="4"/>
  <c r="AR62" i="4"/>
  <c r="AS62" i="4" s="1"/>
  <c r="AK106" i="4"/>
  <c r="AM106" i="4"/>
  <c r="AN106" i="4" s="1"/>
  <c r="AO106" i="4"/>
  <c r="AK63" i="4"/>
  <c r="AM63" i="4"/>
  <c r="AN63" i="4" s="1"/>
  <c r="AK49" i="4"/>
  <c r="AO69" i="4"/>
  <c r="AN99" i="4"/>
  <c r="AK111" i="4"/>
  <c r="AM111" i="4"/>
  <c r="AK53" i="4"/>
  <c r="AM53" i="4"/>
  <c r="AN53" i="4" s="1"/>
  <c r="AO41" i="4"/>
  <c r="AK77" i="4"/>
  <c r="AK112" i="4"/>
  <c r="AM112" i="4"/>
  <c r="AN112" i="4" s="1"/>
  <c r="AO74" i="4"/>
  <c r="AK94" i="4"/>
  <c r="AM94" i="4"/>
  <c r="AN94" i="4" s="1"/>
  <c r="AK114" i="4"/>
  <c r="AM114" i="4"/>
  <c r="AO114" i="4"/>
  <c r="AK45" i="4"/>
  <c r="AM45" i="4"/>
  <c r="AN45" i="4" s="1"/>
  <c r="AR54" i="4"/>
  <c r="AS54" i="4" s="1"/>
  <c r="AM43" i="4"/>
  <c r="AN43" i="4" s="1"/>
  <c r="AK72" i="4"/>
  <c r="AM72" i="4"/>
  <c r="AN72" i="4" s="1"/>
  <c r="AN91" i="4"/>
  <c r="AK80" i="4"/>
  <c r="AK88" i="4"/>
  <c r="AM88" i="4"/>
  <c r="AN88" i="4" s="1"/>
  <c r="AN70" i="4"/>
  <c r="AO70" i="4"/>
  <c r="AG70" i="4" s="1"/>
  <c r="AO72" i="4"/>
  <c r="AN111" i="4"/>
  <c r="AN104" i="4"/>
  <c r="AO61" i="4"/>
  <c r="AM67" i="4"/>
  <c r="AN67" i="4" s="1"/>
  <c r="AK78" i="4"/>
  <c r="AK93" i="4"/>
  <c r="AM93" i="4"/>
  <c r="AN93" i="4" s="1"/>
  <c r="AO78" i="4"/>
  <c r="AK89" i="4"/>
  <c r="AM89" i="4"/>
  <c r="AN89" i="4" s="1"/>
  <c r="AP103" i="4"/>
  <c r="AQ103" i="4" s="1"/>
  <c r="AM69" i="4"/>
  <c r="AN69" i="4" s="1"/>
  <c r="AO81" i="4"/>
  <c r="AK71" i="4"/>
  <c r="AM71" i="4"/>
  <c r="AN71" i="4" s="1"/>
  <c r="AO71" i="4"/>
  <c r="AK41" i="4"/>
  <c r="AM41" i="4"/>
  <c r="AN41" i="4" s="1"/>
  <c r="AO83" i="4"/>
  <c r="AR98" i="4"/>
  <c r="AS98" i="4" s="1"/>
  <c r="AK68" i="4"/>
  <c r="AM68" i="4"/>
  <c r="AN68" i="4" s="1"/>
  <c r="AK43" i="4"/>
  <c r="AO99" i="4"/>
  <c r="AK92" i="4"/>
  <c r="AM92" i="4"/>
  <c r="AN92" i="4" s="1"/>
  <c r="AM87" i="4"/>
  <c r="AN87" i="4" s="1"/>
  <c r="AO89" i="4"/>
  <c r="AK85" i="4"/>
  <c r="AM85" i="4"/>
  <c r="AO112" i="4"/>
  <c r="AM81" i="4"/>
  <c r="AN81" i="4" s="1"/>
  <c r="AO49" i="4"/>
  <c r="AO80" i="4"/>
  <c r="AO45" i="4"/>
  <c r="AK67" i="4"/>
  <c r="AG67" i="4" s="1"/>
  <c r="AM48" i="4"/>
  <c r="AN48" i="4" s="1"/>
  <c r="AM77" i="4"/>
  <c r="AN77" i="4" s="1"/>
  <c r="AN83" i="4"/>
  <c r="AK56" i="4"/>
  <c r="AM56" i="4"/>
  <c r="AN56" i="4" s="1"/>
  <c r="AO104" i="4"/>
  <c r="AN49" i="4"/>
  <c r="AK57" i="4"/>
  <c r="AM57" i="4"/>
  <c r="AN57" i="4" s="1"/>
  <c r="AK61" i="4"/>
  <c r="AM61" i="4"/>
  <c r="AN61" i="4" s="1"/>
  <c r="AK116" i="4"/>
  <c r="AM116" i="4"/>
  <c r="AN116" i="4" s="1"/>
  <c r="AK40" i="4"/>
  <c r="AM40" i="4"/>
  <c r="AN40" i="4" s="1"/>
  <c r="AK87" i="4"/>
  <c r="AK51" i="4"/>
  <c r="AM51" i="4"/>
  <c r="AN51" i="4" s="1"/>
  <c r="AK90" i="4"/>
  <c r="AM90" i="4"/>
  <c r="AN90" i="4" s="1"/>
  <c r="AO53" i="4"/>
  <c r="AK66" i="4"/>
  <c r="AM66" i="4"/>
  <c r="AN66" i="4" s="1"/>
  <c r="AK81" i="4"/>
  <c r="AO94" i="4"/>
  <c r="AK102" i="4"/>
  <c r="AM102" i="4"/>
  <c r="AN102" i="4" s="1"/>
  <c r="AO56" i="4"/>
  <c r="AO57" i="4"/>
  <c r="AO93" i="4"/>
  <c r="AO63" i="4"/>
  <c r="AG63" i="4" s="1"/>
  <c r="AN85" i="4"/>
  <c r="AN114" i="4"/>
  <c r="AK38" i="4"/>
  <c r="AM38" i="4"/>
  <c r="AN38" i="4" s="1"/>
  <c r="S27" i="4"/>
  <c r="AK37" i="4"/>
  <c r="AO37" i="4"/>
  <c r="AM37" i="4"/>
  <c r="F172" i="4"/>
  <c r="B34" i="4" s="1"/>
  <c r="C28" i="5"/>
  <c r="C31" i="5" s="1"/>
  <c r="C32" i="5" s="1"/>
  <c r="AJ35" i="4"/>
  <c r="AL35" i="4"/>
  <c r="AG74" i="4" l="1"/>
  <c r="AG72" i="4"/>
  <c r="AG71" i="4"/>
  <c r="AG68" i="4"/>
  <c r="AG69" i="4"/>
  <c r="AG66" i="4"/>
  <c r="AG61" i="4"/>
  <c r="AR58" i="4"/>
  <c r="AS58" i="4" s="1"/>
  <c r="AP58" i="4"/>
  <c r="AQ58" i="4" s="1"/>
  <c r="AG57" i="4"/>
  <c r="AG56" i="4"/>
  <c r="AG53" i="4"/>
  <c r="AG51" i="4"/>
  <c r="AG52" i="4"/>
  <c r="AG49" i="4"/>
  <c r="S28" i="4"/>
  <c r="T27" i="4"/>
  <c r="AC30" i="4" s="1"/>
  <c r="T30" i="4" s="1"/>
  <c r="R27" i="4"/>
  <c r="R28" i="4"/>
  <c r="H172" i="4"/>
  <c r="BO101" i="4"/>
  <c r="BC101" i="4"/>
  <c r="BD101" i="4" s="1"/>
  <c r="F175" i="4"/>
  <c r="G175" i="4"/>
  <c r="H175" i="4"/>
  <c r="L175" i="4"/>
  <c r="M175" i="4"/>
  <c r="I175" i="4"/>
  <c r="J175" i="4"/>
  <c r="K175" i="4"/>
  <c r="AS84" i="4"/>
  <c r="AG48" i="4"/>
  <c r="AR48" i="4" s="1"/>
  <c r="BO109" i="4"/>
  <c r="BC109" i="4"/>
  <c r="BD109" i="4" s="1"/>
  <c r="BC113" i="4"/>
  <c r="BD113" i="4" s="1"/>
  <c r="AG47" i="4"/>
  <c r="AR47" i="4" s="1"/>
  <c r="AS47" i="4" s="1"/>
  <c r="AG39" i="4"/>
  <c r="AP39" i="4" s="1"/>
  <c r="AQ39" i="4" s="1"/>
  <c r="AG46" i="4"/>
  <c r="AP46" i="4" s="1"/>
  <c r="AG41" i="4"/>
  <c r="AR41" i="4" s="1"/>
  <c r="AS41" i="4" s="1"/>
  <c r="AG40" i="4"/>
  <c r="AG45" i="4"/>
  <c r="AG42" i="4"/>
  <c r="AG38" i="4"/>
  <c r="AG43" i="4"/>
  <c r="AG44" i="4"/>
  <c r="AP44" i="4" s="1"/>
  <c r="AQ44" i="4" s="1"/>
  <c r="AM35" i="4"/>
  <c r="AR107" i="4"/>
  <c r="AS107" i="4" s="1"/>
  <c r="AP107" i="4"/>
  <c r="AR50" i="4"/>
  <c r="AS50" i="4" s="1"/>
  <c r="AR56" i="4"/>
  <c r="AS56" i="4" s="1"/>
  <c r="AR82" i="4"/>
  <c r="AS82" i="4" s="1"/>
  <c r="AP82" i="4"/>
  <c r="AQ82" i="4" s="1"/>
  <c r="AR70" i="4"/>
  <c r="AS70" i="4" s="1"/>
  <c r="AP66" i="4"/>
  <c r="AP61" i="4"/>
  <c r="AP89" i="4"/>
  <c r="AP78" i="4"/>
  <c r="AP71" i="4"/>
  <c r="AQ71" i="4" s="1"/>
  <c r="AR71" i="4"/>
  <c r="AS71" i="4" s="1"/>
  <c r="AP69" i="4"/>
  <c r="AQ69" i="4" s="1"/>
  <c r="AR69" i="4"/>
  <c r="AS69" i="4" s="1"/>
  <c r="AR116" i="4"/>
  <c r="AS116" i="4" s="1"/>
  <c r="AP116" i="4"/>
  <c r="AR68" i="4"/>
  <c r="AS68" i="4" s="1"/>
  <c r="AP68" i="4"/>
  <c r="AQ68" i="4" s="1"/>
  <c r="AP104" i="4"/>
  <c r="AR104" i="4"/>
  <c r="AS104" i="4" s="1"/>
  <c r="AP70" i="4"/>
  <c r="AQ70" i="4" s="1"/>
  <c r="AR53" i="4"/>
  <c r="AS53" i="4" s="1"/>
  <c r="AP53" i="4"/>
  <c r="AQ53" i="4" s="1"/>
  <c r="AR61" i="4"/>
  <c r="AS61" i="4" s="1"/>
  <c r="AR89" i="4"/>
  <c r="AS89" i="4" s="1"/>
  <c r="AP91" i="4"/>
  <c r="AQ91" i="4" s="1"/>
  <c r="AR91" i="4"/>
  <c r="AS91" i="4" s="1"/>
  <c r="AR94" i="4"/>
  <c r="AS94" i="4" s="1"/>
  <c r="AP94" i="4"/>
  <c r="AQ94" i="4" s="1"/>
  <c r="AP99" i="4"/>
  <c r="AQ99" i="4" s="1"/>
  <c r="AR99" i="4"/>
  <c r="AS99" i="4" s="1"/>
  <c r="AR74" i="4"/>
  <c r="AS74" i="4" s="1"/>
  <c r="AP74" i="4"/>
  <c r="AQ74" i="4" s="1"/>
  <c r="AP106" i="4"/>
  <c r="AQ106" i="4" s="1"/>
  <c r="AR106" i="4"/>
  <c r="AS106" i="4" s="1"/>
  <c r="AR64" i="4"/>
  <c r="AS64" i="4" s="1"/>
  <c r="AP64" i="4"/>
  <c r="AQ64" i="4" s="1"/>
  <c r="AP51" i="4"/>
  <c r="AQ51" i="4" s="1"/>
  <c r="AR51" i="4"/>
  <c r="AS51" i="4" s="1"/>
  <c r="AR92" i="4"/>
  <c r="AS92" i="4" s="1"/>
  <c r="AP92" i="4"/>
  <c r="AP72" i="4"/>
  <c r="AQ72" i="4" s="1"/>
  <c r="AR72" i="4"/>
  <c r="AS72" i="4" s="1"/>
  <c r="AR108" i="4"/>
  <c r="AS108" i="4" s="1"/>
  <c r="AP108" i="4"/>
  <c r="AP73" i="4"/>
  <c r="AQ73" i="4" s="1"/>
  <c r="AR73" i="4"/>
  <c r="AS73" i="4" s="1"/>
  <c r="AP76" i="4"/>
  <c r="AR76" i="4"/>
  <c r="AS76" i="4" s="1"/>
  <c r="AR115" i="4"/>
  <c r="AS115" i="4" s="1"/>
  <c r="AP115" i="4"/>
  <c r="AQ115" i="4" s="1"/>
  <c r="AP97" i="4"/>
  <c r="AQ97" i="4" s="1"/>
  <c r="AR97" i="4"/>
  <c r="AS97" i="4" s="1"/>
  <c r="AR60" i="4"/>
  <c r="AS60" i="4" s="1"/>
  <c r="AP60" i="4"/>
  <c r="AQ60" i="4" s="1"/>
  <c r="AR55" i="4"/>
  <c r="AS55" i="4" s="1"/>
  <c r="AP55" i="4"/>
  <c r="AQ55" i="4" s="1"/>
  <c r="AR52" i="4"/>
  <c r="AS52" i="4" s="1"/>
  <c r="AP52" i="4"/>
  <c r="AQ52" i="4" s="1"/>
  <c r="AB30" i="4"/>
  <c r="S30" i="4" s="1"/>
  <c r="AN37" i="4"/>
  <c r="AG37" i="4" s="1"/>
  <c r="BO113" i="4"/>
  <c r="BO96" i="4"/>
  <c r="BC84" i="4"/>
  <c r="BD84" i="4" s="1"/>
  <c r="BC96" i="4"/>
  <c r="BJ96" i="4" s="1"/>
  <c r="BO84" i="4"/>
  <c r="BC98" i="4"/>
  <c r="BC79" i="4"/>
  <c r="BC62" i="4"/>
  <c r="BC110" i="4"/>
  <c r="BC65" i="4"/>
  <c r="BC95" i="4"/>
  <c r="BC50" i="4"/>
  <c r="BC54" i="4"/>
  <c r="BC103" i="4"/>
  <c r="BI103" i="4" s="1"/>
  <c r="BC86" i="4"/>
  <c r="BC58" i="4"/>
  <c r="BO110" i="4"/>
  <c r="BO103" i="4"/>
  <c r="BC75" i="4"/>
  <c r="BC59" i="4"/>
  <c r="BC105" i="4"/>
  <c r="BO95" i="4"/>
  <c r="C33" i="5"/>
  <c r="C34" i="5" s="1"/>
  <c r="C35" i="5" s="1"/>
  <c r="BE113" i="4"/>
  <c r="BO105" i="4"/>
  <c r="AJ32" i="4"/>
  <c r="BO98" i="4"/>
  <c r="BO79" i="4"/>
  <c r="BO86" i="4"/>
  <c r="BI113" i="4" l="1"/>
  <c r="AP48" i="4"/>
  <c r="AQ48" i="4" s="1"/>
  <c r="BC91" i="4"/>
  <c r="BC53" i="4"/>
  <c r="T28" i="4"/>
  <c r="BE101" i="4"/>
  <c r="BF101" i="4" s="1"/>
  <c r="BI101" i="4"/>
  <c r="BO82" i="4"/>
  <c r="BC82" i="4"/>
  <c r="BO91" i="4"/>
  <c r="BC68" i="4"/>
  <c r="BC71" i="4"/>
  <c r="AS48" i="4"/>
  <c r="BC51" i="4"/>
  <c r="BI96" i="4"/>
  <c r="BK96" i="4" s="1"/>
  <c r="BC55" i="4"/>
  <c r="BO94" i="4"/>
  <c r="BI109" i="4"/>
  <c r="BC69" i="4"/>
  <c r="BC64" i="4"/>
  <c r="BO99" i="4"/>
  <c r="BC99" i="4"/>
  <c r="BI99" i="4" s="1"/>
  <c r="BC74" i="4"/>
  <c r="BC73" i="4"/>
  <c r="BO97" i="4"/>
  <c r="BO115" i="4"/>
  <c r="BC94" i="4"/>
  <c r="BJ84" i="4"/>
  <c r="AP47" i="4"/>
  <c r="AQ47" i="4" s="1"/>
  <c r="AR46" i="4"/>
  <c r="AS46" i="4" s="1"/>
  <c r="AP41" i="4"/>
  <c r="AQ41" i="4" s="1"/>
  <c r="AR44" i="4"/>
  <c r="AS44" i="4" s="1"/>
  <c r="AR39" i="4"/>
  <c r="AS39" i="4" s="1"/>
  <c r="BC44" i="4"/>
  <c r="BC39" i="4"/>
  <c r="AQ46" i="4"/>
  <c r="BC46" i="4"/>
  <c r="BC97" i="4"/>
  <c r="BD97" i="4" s="1"/>
  <c r="AR42" i="4"/>
  <c r="AS42" i="4" s="1"/>
  <c r="AP42" i="4"/>
  <c r="AQ89" i="4"/>
  <c r="BO89" i="4"/>
  <c r="BC89" i="4"/>
  <c r="BI89" i="4" s="1"/>
  <c r="AQ61" i="4"/>
  <c r="BC61" i="4"/>
  <c r="BC60" i="4"/>
  <c r="AP56" i="4"/>
  <c r="AQ78" i="4"/>
  <c r="BO78" i="4"/>
  <c r="BC78" i="4"/>
  <c r="AR100" i="4"/>
  <c r="AS100" i="4" s="1"/>
  <c r="AP100" i="4"/>
  <c r="AR78" i="4"/>
  <c r="AS78" i="4" s="1"/>
  <c r="AR66" i="4"/>
  <c r="AS66" i="4" s="1"/>
  <c r="BC70" i="4"/>
  <c r="BC72" i="4"/>
  <c r="AQ107" i="4"/>
  <c r="BO107" i="4"/>
  <c r="BC107" i="4"/>
  <c r="BD107" i="4" s="1"/>
  <c r="BO106" i="4"/>
  <c r="BC115" i="4"/>
  <c r="BD115" i="4" s="1"/>
  <c r="BC106" i="4"/>
  <c r="BC52" i="4"/>
  <c r="BI84" i="4"/>
  <c r="AP57" i="4"/>
  <c r="AR57" i="4"/>
  <c r="AS57" i="4" s="1"/>
  <c r="AQ76" i="4"/>
  <c r="BC76" i="4"/>
  <c r="AR45" i="4"/>
  <c r="AS45" i="4" s="1"/>
  <c r="AP45" i="4"/>
  <c r="AP87" i="4"/>
  <c r="AR87" i="4"/>
  <c r="AS87" i="4" s="1"/>
  <c r="AP102" i="4"/>
  <c r="AR102" i="4"/>
  <c r="AS102" i="4" s="1"/>
  <c r="AP85" i="4"/>
  <c r="AR85" i="4"/>
  <c r="AS85" i="4" s="1"/>
  <c r="AR83" i="4"/>
  <c r="AS83" i="4" s="1"/>
  <c r="AP83" i="4"/>
  <c r="AR80" i="4"/>
  <c r="AS80" i="4" s="1"/>
  <c r="AP80" i="4"/>
  <c r="AP90" i="4"/>
  <c r="AR90" i="4"/>
  <c r="AS90" i="4" s="1"/>
  <c r="AR49" i="4"/>
  <c r="AS49" i="4" s="1"/>
  <c r="AP49" i="4"/>
  <c r="AP67" i="4"/>
  <c r="AR67" i="4"/>
  <c r="AS67" i="4" s="1"/>
  <c r="AP112" i="4"/>
  <c r="AR112" i="4"/>
  <c r="AS112" i="4" s="1"/>
  <c r="AR63" i="4"/>
  <c r="AS63" i="4" s="1"/>
  <c r="AP63" i="4"/>
  <c r="AR77" i="4"/>
  <c r="AS77" i="4" s="1"/>
  <c r="AP77" i="4"/>
  <c r="AQ92" i="4"/>
  <c r="BO92" i="4"/>
  <c r="BC92" i="4"/>
  <c r="AP88" i="4"/>
  <c r="AR88" i="4"/>
  <c r="AS88" i="4" s="1"/>
  <c r="AP40" i="4"/>
  <c r="AR40" i="4"/>
  <c r="AS40" i="4" s="1"/>
  <c r="AQ116" i="4"/>
  <c r="BC116" i="4"/>
  <c r="BD116" i="4" s="1"/>
  <c r="BO116" i="4"/>
  <c r="AP43" i="4"/>
  <c r="AR43" i="4"/>
  <c r="AS43" i="4" s="1"/>
  <c r="AP111" i="4"/>
  <c r="AR111" i="4"/>
  <c r="AS111" i="4" s="1"/>
  <c r="AQ66" i="4"/>
  <c r="BC66" i="4"/>
  <c r="AQ108" i="4"/>
  <c r="BO108" i="4"/>
  <c r="BC108" i="4"/>
  <c r="BD108" i="4" s="1"/>
  <c r="AP114" i="4"/>
  <c r="AR114" i="4"/>
  <c r="AS114" i="4" s="1"/>
  <c r="AR93" i="4"/>
  <c r="AS93" i="4" s="1"/>
  <c r="AP93" i="4"/>
  <c r="AR81" i="4"/>
  <c r="AS81" i="4" s="1"/>
  <c r="AP81" i="4"/>
  <c r="AQ104" i="4"/>
  <c r="BC104" i="4"/>
  <c r="BO104" i="4"/>
  <c r="AP38" i="4"/>
  <c r="AR38" i="4"/>
  <c r="AS38" i="4" s="1"/>
  <c r="AN35" i="4"/>
  <c r="BE105" i="4"/>
  <c r="BF113" i="4"/>
  <c r="BI82" i="4"/>
  <c r="BJ110" i="4"/>
  <c r="BE110" i="4"/>
  <c r="BJ109" i="4"/>
  <c r="BE109" i="4"/>
  <c r="BF109" i="4" s="1"/>
  <c r="BI105" i="4"/>
  <c r="BJ101" i="4"/>
  <c r="BI110" i="4"/>
  <c r="BD110" i="4"/>
  <c r="BI95" i="4"/>
  <c r="BJ105" i="4"/>
  <c r="BD105" i="4"/>
  <c r="BD82" i="4"/>
  <c r="BE82" i="4"/>
  <c r="BJ82" i="4"/>
  <c r="BD86" i="4"/>
  <c r="C36" i="5"/>
  <c r="BC48" i="4" l="1"/>
  <c r="BE97" i="4"/>
  <c r="BF97" i="4" s="1"/>
  <c r="BK101" i="4"/>
  <c r="BK109" i="4"/>
  <c r="BJ99" i="4"/>
  <c r="BK99" i="4" s="1"/>
  <c r="BJ107" i="4"/>
  <c r="BJ97" i="4"/>
  <c r="BI97" i="4"/>
  <c r="BI115" i="4"/>
  <c r="BK84" i="4"/>
  <c r="BJ116" i="4"/>
  <c r="BI108" i="4"/>
  <c r="BE116" i="4"/>
  <c r="BF116" i="4" s="1"/>
  <c r="BC41" i="4"/>
  <c r="BC47" i="4"/>
  <c r="AQ42" i="4"/>
  <c r="BC42" i="4"/>
  <c r="C37" i="5"/>
  <c r="C38" i="5" s="1"/>
  <c r="C41" i="5" s="1"/>
  <c r="C42" i="5" s="1"/>
  <c r="C43" i="5" s="1"/>
  <c r="C44" i="5" s="1"/>
  <c r="C45" i="5" s="1"/>
  <c r="C46" i="5" s="1"/>
  <c r="C49" i="5" s="1"/>
  <c r="C50" i="5" s="1"/>
  <c r="C51" i="5" s="1"/>
  <c r="C52" i="5" s="1"/>
  <c r="C55" i="5" s="1"/>
  <c r="AQ56" i="4"/>
  <c r="BC56" i="4"/>
  <c r="AQ100" i="4"/>
  <c r="BO100" i="4"/>
  <c r="BC100" i="4"/>
  <c r="BE100" i="4" s="1"/>
  <c r="AQ114" i="4"/>
  <c r="BO114" i="4"/>
  <c r="BC114" i="4"/>
  <c r="BI114" i="4" s="1"/>
  <c r="BI104" i="4"/>
  <c r="BD104" i="4"/>
  <c r="BJ104" i="4"/>
  <c r="AQ93" i="4"/>
  <c r="BO93" i="4"/>
  <c r="BC93" i="4"/>
  <c r="BD93" i="4" s="1"/>
  <c r="AQ88" i="4"/>
  <c r="BC88" i="4"/>
  <c r="BD88" i="4" s="1"/>
  <c r="BO88" i="4"/>
  <c r="AQ77" i="4"/>
  <c r="BC77" i="4"/>
  <c r="BD77" i="4" s="1"/>
  <c r="BO77" i="4"/>
  <c r="AQ49" i="4"/>
  <c r="BC49" i="4"/>
  <c r="AQ80" i="4"/>
  <c r="BO80" i="4"/>
  <c r="BC80" i="4"/>
  <c r="BI80" i="4" s="1"/>
  <c r="AQ43" i="4"/>
  <c r="BC43" i="4"/>
  <c r="BE92" i="4"/>
  <c r="BD92" i="4"/>
  <c r="AQ112" i="4"/>
  <c r="BO112" i="4"/>
  <c r="BC112" i="4"/>
  <c r="AQ85" i="4"/>
  <c r="BC85" i="4"/>
  <c r="BJ85" i="4" s="1"/>
  <c r="BO85" i="4"/>
  <c r="AQ87" i="4"/>
  <c r="BO87" i="4"/>
  <c r="BC87" i="4"/>
  <c r="AQ81" i="4"/>
  <c r="BC81" i="4"/>
  <c r="BD81" i="4" s="1"/>
  <c r="BO81" i="4"/>
  <c r="AQ40" i="4"/>
  <c r="BC40" i="4"/>
  <c r="AQ63" i="4"/>
  <c r="BC63" i="4"/>
  <c r="AQ83" i="4"/>
  <c r="BC83" i="4"/>
  <c r="BD83" i="4" s="1"/>
  <c r="BO83" i="4"/>
  <c r="AQ45" i="4"/>
  <c r="BC45" i="4"/>
  <c r="AQ111" i="4"/>
  <c r="BC111" i="4"/>
  <c r="BO111" i="4"/>
  <c r="AQ67" i="4"/>
  <c r="BC67" i="4"/>
  <c r="AQ90" i="4"/>
  <c r="BC90" i="4"/>
  <c r="BD90" i="4" s="1"/>
  <c r="BO90" i="4"/>
  <c r="AQ102" i="4"/>
  <c r="BC102" i="4"/>
  <c r="BE102" i="4" s="1"/>
  <c r="BO102" i="4"/>
  <c r="AQ57" i="4"/>
  <c r="BC57" i="4"/>
  <c r="AQ38" i="4"/>
  <c r="BC38" i="4"/>
  <c r="BJ113" i="4"/>
  <c r="BK113" i="4" s="1"/>
  <c r="BK82" i="4"/>
  <c r="BF105" i="4"/>
  <c r="BF110" i="4"/>
  <c r="BK105" i="4"/>
  <c r="BK110" i="4"/>
  <c r="BI98" i="4"/>
  <c r="BI106" i="4"/>
  <c r="BE98" i="4"/>
  <c r="BJ98" i="4"/>
  <c r="BE103" i="4"/>
  <c r="BJ103" i="4"/>
  <c r="BK103" i="4" s="1"/>
  <c r="BE89" i="4"/>
  <c r="BJ89" i="4"/>
  <c r="BK89" i="4" s="1"/>
  <c r="BE115" i="4"/>
  <c r="BF115" i="4" s="1"/>
  <c r="BJ115" i="4"/>
  <c r="BD98" i="4"/>
  <c r="BD78" i="4"/>
  <c r="BE94" i="4"/>
  <c r="BJ106" i="4"/>
  <c r="BI91" i="4"/>
  <c r="BD79" i="4"/>
  <c r="BD94" i="4"/>
  <c r="BE108" i="4"/>
  <c r="BF108" i="4" s="1"/>
  <c r="BJ108" i="4"/>
  <c r="BJ95" i="4"/>
  <c r="BK95" i="4" s="1"/>
  <c r="BE95" i="4"/>
  <c r="BF82" i="4"/>
  <c r="BK115" i="4" l="1"/>
  <c r="BK97" i="4"/>
  <c r="BK108" i="4"/>
  <c r="BI81" i="4"/>
  <c r="BE85" i="4"/>
  <c r="BD102" i="4"/>
  <c r="BF102" i="4" s="1"/>
  <c r="BJ81" i="4"/>
  <c r="BE81" i="4"/>
  <c r="BF81" i="4" s="1"/>
  <c r="BJ88" i="4"/>
  <c r="BF92" i="4"/>
  <c r="C56" i="5"/>
  <c r="C57" i="5" s="1"/>
  <c r="BD100" i="4"/>
  <c r="BF100" i="4" s="1"/>
  <c r="BE88" i="4"/>
  <c r="BF88" i="4" s="1"/>
  <c r="BJ112" i="4"/>
  <c r="BE112" i="4"/>
  <c r="BI112" i="4"/>
  <c r="BE111" i="4"/>
  <c r="BD111" i="4"/>
  <c r="BJ87" i="4"/>
  <c r="BD87" i="4"/>
  <c r="BE87" i="4"/>
  <c r="BD85" i="4"/>
  <c r="BI85" i="4"/>
  <c r="BK85" i="4" s="1"/>
  <c r="BD80" i="4"/>
  <c r="BE80" i="4"/>
  <c r="BJ80" i="4"/>
  <c r="BK80" i="4" s="1"/>
  <c r="BK104" i="4"/>
  <c r="BI111" i="4"/>
  <c r="BE99" i="4"/>
  <c r="BE104" i="4"/>
  <c r="BF104" i="4" s="1"/>
  <c r="BJ100" i="4"/>
  <c r="BJ92" i="4"/>
  <c r="BE96" i="4"/>
  <c r="BE84" i="4"/>
  <c r="BF84" i="4" s="1"/>
  <c r="BF98" i="4"/>
  <c r="BK98" i="4"/>
  <c r="BK106" i="4"/>
  <c r="BJ77" i="4"/>
  <c r="BE77" i="4"/>
  <c r="BF77" i="4" s="1"/>
  <c r="BF94" i="4"/>
  <c r="BE78" i="4"/>
  <c r="BF78" i="4" s="1"/>
  <c r="BJ78" i="4"/>
  <c r="BJ90" i="4"/>
  <c r="BE90" i="4"/>
  <c r="BF90" i="4" s="1"/>
  <c r="BE86" i="4"/>
  <c r="BF86" i="4" s="1"/>
  <c r="BJ86" i="4"/>
  <c r="BJ79" i="4"/>
  <c r="BE79" i="4"/>
  <c r="BF79" i="4" s="1"/>
  <c r="BE93" i="4"/>
  <c r="BF93" i="4" s="1"/>
  <c r="BJ93" i="4"/>
  <c r="BE91" i="4"/>
  <c r="BJ91" i="4"/>
  <c r="BK91" i="4" s="1"/>
  <c r="BJ114" i="4"/>
  <c r="BK114" i="4" s="1"/>
  <c r="BE114" i="4"/>
  <c r="BE83" i="4"/>
  <c r="BF83" i="4" s="1"/>
  <c r="BJ83" i="4"/>
  <c r="BF85" i="4" l="1"/>
  <c r="BK81" i="4"/>
  <c r="BF80" i="4"/>
  <c r="BF87" i="4"/>
  <c r="BF111" i="4"/>
  <c r="BK112" i="4"/>
  <c r="BJ111" i="4"/>
  <c r="BK111" i="4" s="1"/>
  <c r="BJ94" i="4" l="1"/>
  <c r="BE107" i="4"/>
  <c r="BF107" i="4" s="1"/>
  <c r="BJ102" i="4"/>
  <c r="BE106" i="4"/>
  <c r="BQ109" i="4"/>
  <c r="BQ96" i="4"/>
  <c r="BQ100" i="4"/>
  <c r="BQ88" i="4"/>
  <c r="BQ116" i="4"/>
  <c r="BQ84" i="4"/>
  <c r="BQ80" i="4"/>
  <c r="BQ104" i="4"/>
  <c r="BQ92" i="4"/>
  <c r="BQ110" i="4"/>
  <c r="BQ95" i="4"/>
  <c r="BQ99" i="4"/>
  <c r="BQ103" i="4"/>
  <c r="BQ108" i="4"/>
  <c r="BQ89" i="4"/>
  <c r="BQ111" i="4"/>
  <c r="BQ87" i="4"/>
  <c r="BQ101" i="4"/>
  <c r="BQ97" i="4"/>
  <c r="BQ107" i="4"/>
  <c r="BQ115" i="4"/>
  <c r="BQ113" i="4"/>
  <c r="BQ82" i="4"/>
  <c r="BQ77" i="4"/>
  <c r="BQ98" i="4"/>
  <c r="BQ91" i="4"/>
  <c r="BQ79" i="4"/>
  <c r="BQ94" i="4"/>
  <c r="BQ81" i="4"/>
  <c r="BQ114" i="4"/>
  <c r="BQ78" i="4"/>
  <c r="BQ86" i="4"/>
  <c r="BQ83" i="4"/>
  <c r="BQ106" i="4"/>
  <c r="BQ105" i="4"/>
  <c r="BQ102" i="4"/>
  <c r="BQ90" i="4"/>
  <c r="BQ85" i="4"/>
  <c r="BQ93" i="4"/>
  <c r="BQ112" i="4"/>
  <c r="BR113" i="4" l="1"/>
  <c r="BR100" i="4"/>
  <c r="BR112" i="4"/>
  <c r="BR104" i="4"/>
  <c r="BR111" i="4"/>
  <c r="BR80" i="4"/>
  <c r="BR87" i="4"/>
  <c r="BR96" i="4"/>
  <c r="BR92" i="4"/>
  <c r="BR88" i="4"/>
  <c r="BR84" i="4"/>
  <c r="BR116" i="4"/>
  <c r="BR101" i="4"/>
  <c r="BR109" i="4"/>
  <c r="BR95" i="4"/>
  <c r="BR103" i="4"/>
  <c r="BR89" i="4"/>
  <c r="BR85" i="4"/>
  <c r="BR97" i="4"/>
  <c r="BR82" i="4"/>
  <c r="BR108" i="4"/>
  <c r="BR107" i="4"/>
  <c r="BR105" i="4"/>
  <c r="BR110" i="4"/>
  <c r="BR99" i="4"/>
  <c r="BR83" i="4"/>
  <c r="BR114" i="4"/>
  <c r="BR81" i="4"/>
  <c r="BR90" i="4"/>
  <c r="BR106" i="4"/>
  <c r="BR79" i="4"/>
  <c r="BR86" i="4"/>
  <c r="BR115" i="4"/>
  <c r="BR102" i="4"/>
  <c r="BR78" i="4"/>
  <c r="BR94" i="4"/>
  <c r="BR98" i="4"/>
  <c r="BR77" i="4"/>
  <c r="BR91" i="4"/>
  <c r="BR93" i="4"/>
  <c r="BI94" i="4" l="1"/>
  <c r="BK94" i="4" s="1"/>
  <c r="BD91" i="4"/>
  <c r="BF91" i="4" s="1"/>
  <c r="BI102" i="4"/>
  <c r="BK102" i="4" s="1"/>
  <c r="BI83" i="4"/>
  <c r="BK83" i="4" s="1"/>
  <c r="BD103" i="4"/>
  <c r="BF103" i="4" s="1"/>
  <c r="BI93" i="4"/>
  <c r="BK93" i="4" s="1"/>
  <c r="BD89" i="4"/>
  <c r="BF89" i="4" s="1"/>
  <c r="BI79" i="4"/>
  <c r="BK79" i="4" s="1"/>
  <c r="BD99" i="4"/>
  <c r="BF99" i="4" s="1"/>
  <c r="BI116" i="4"/>
  <c r="BK116" i="4" s="1"/>
  <c r="BI90" i="4"/>
  <c r="BK90" i="4" s="1"/>
  <c r="BI92" i="4"/>
  <c r="BK92" i="4" s="1"/>
  <c r="BD106" i="4"/>
  <c r="BF106" i="4" s="1"/>
  <c r="BI87" i="4"/>
  <c r="BK87" i="4" s="1"/>
  <c r="BI100" i="4"/>
  <c r="BK100" i="4" s="1"/>
  <c r="BD112" i="4"/>
  <c r="BF112" i="4" s="1"/>
  <c r="BD114" i="4"/>
  <c r="BF114" i="4" s="1"/>
  <c r="BD96" i="4"/>
  <c r="BF96" i="4" s="1"/>
  <c r="BI77" i="4"/>
  <c r="BK77" i="4" s="1"/>
  <c r="BI78" i="4"/>
  <c r="BK78" i="4" s="1"/>
  <c r="BI86" i="4"/>
  <c r="BK86" i="4" s="1"/>
  <c r="BI88" i="4"/>
  <c r="BK88" i="4" s="1"/>
  <c r="BD95" i="4"/>
  <c r="BF95" i="4" s="1"/>
  <c r="BI107" i="4"/>
  <c r="BK107" i="4" s="1"/>
  <c r="AG35" i="4"/>
  <c r="AG32" i="4" s="1"/>
  <c r="AO35" i="4"/>
  <c r="AM32" i="4" s="1"/>
  <c r="AP32" i="4" l="1"/>
  <c r="AP37" i="4"/>
  <c r="AR37" i="4"/>
  <c r="AR26" i="4" l="1" a="1"/>
  <c r="AR26" i="4" s="1"/>
  <c r="AR29" i="4" s="1"/>
  <c r="AS37" i="4"/>
  <c r="AR35" i="4"/>
  <c r="AQ37" i="4"/>
  <c r="AP35" i="4"/>
  <c r="BC37" i="4"/>
  <c r="N32" i="4" l="1"/>
  <c r="N37" i="4"/>
  <c r="O102" i="4"/>
  <c r="O85" i="4"/>
  <c r="O103" i="4"/>
  <c r="O84" i="4"/>
  <c r="O87" i="4"/>
  <c r="O113" i="4"/>
  <c r="O107" i="4"/>
  <c r="N73" i="4"/>
  <c r="AU73" i="4" s="1"/>
  <c r="N64" i="4"/>
  <c r="AU64" i="4" s="1"/>
  <c r="O89" i="4"/>
  <c r="O116" i="4"/>
  <c r="O110" i="4"/>
  <c r="O81" i="4"/>
  <c r="O94" i="4"/>
  <c r="O82" i="4"/>
  <c r="O115" i="4"/>
  <c r="O104" i="4"/>
  <c r="O78" i="4"/>
  <c r="O108" i="4"/>
  <c r="O100" i="4"/>
  <c r="N98" i="4"/>
  <c r="AU98" i="4" s="1"/>
  <c r="N63" i="4"/>
  <c r="AU63" i="4" s="1"/>
  <c r="O92" i="4"/>
  <c r="O106" i="4"/>
  <c r="O80" i="4"/>
  <c r="O112" i="4"/>
  <c r="O99" i="4"/>
  <c r="O93" i="4"/>
  <c r="O88" i="4"/>
  <c r="O96" i="4"/>
  <c r="N75" i="4"/>
  <c r="AU75" i="4" s="1"/>
  <c r="O95" i="4"/>
  <c r="O109" i="4"/>
  <c r="O101" i="4"/>
  <c r="O91" i="4"/>
  <c r="O97" i="4"/>
  <c r="O86" i="4"/>
  <c r="O77" i="4"/>
  <c r="O114" i="4"/>
  <c r="O90" i="4"/>
  <c r="O105" i="4"/>
  <c r="O83" i="4"/>
  <c r="O98" i="4"/>
  <c r="O111" i="4"/>
  <c r="O79" i="4"/>
  <c r="N54" i="4"/>
  <c r="AU54" i="4" s="1"/>
  <c r="N82" i="4"/>
  <c r="AU82" i="4" s="1"/>
  <c r="N39" i="4"/>
  <c r="AU39" i="4" s="1"/>
  <c r="N113" i="4"/>
  <c r="AU113" i="4" s="1"/>
  <c r="N83" i="4"/>
  <c r="AU83" i="4" s="1"/>
  <c r="N111" i="4"/>
  <c r="AU111" i="4" s="1"/>
  <c r="P75" i="4"/>
  <c r="BO75" i="4" s="1"/>
  <c r="P68" i="4"/>
  <c r="BO68" i="4" s="1"/>
  <c r="N74" i="4"/>
  <c r="AU74" i="4" s="1"/>
  <c r="N76" i="4"/>
  <c r="AU76" i="4" s="1"/>
  <c r="N85" i="4"/>
  <c r="AU85" i="4" s="1"/>
  <c r="N50" i="4"/>
  <c r="AU50" i="4" s="1"/>
  <c r="N110" i="4"/>
  <c r="AU110" i="4" s="1"/>
  <c r="N68" i="4"/>
  <c r="AU68" i="4" s="1"/>
  <c r="N58" i="4"/>
  <c r="AU58" i="4" s="1"/>
  <c r="N56" i="4"/>
  <c r="AU56" i="4" s="1"/>
  <c r="N106" i="4"/>
  <c r="AU106" i="4" s="1"/>
  <c r="N53" i="4"/>
  <c r="AU53" i="4" s="1"/>
  <c r="N97" i="4"/>
  <c r="AU97" i="4" s="1"/>
  <c r="N105" i="4"/>
  <c r="AU105" i="4" s="1"/>
  <c r="N61" i="4"/>
  <c r="AU61" i="4" s="1"/>
  <c r="N114" i="4"/>
  <c r="AU114" i="4" s="1"/>
  <c r="N41" i="4"/>
  <c r="N81" i="4"/>
  <c r="AU81" i="4" s="1"/>
  <c r="N48" i="4"/>
  <c r="AU48" i="4" s="1"/>
  <c r="N116" i="4"/>
  <c r="AU116" i="4" s="1"/>
  <c r="N103" i="4"/>
  <c r="AU103" i="4" s="1"/>
  <c r="N88" i="4"/>
  <c r="AU88" i="4" s="1"/>
  <c r="N91" i="4"/>
  <c r="AU91" i="4" s="1"/>
  <c r="P82" i="4"/>
  <c r="N57" i="4"/>
  <c r="AU57" i="4" s="1"/>
  <c r="P93" i="4"/>
  <c r="P85" i="4"/>
  <c r="N44" i="4"/>
  <c r="AU44" i="4" s="1"/>
  <c r="P78" i="4"/>
  <c r="P73" i="4"/>
  <c r="BO73" i="4" s="1"/>
  <c r="P91" i="4"/>
  <c r="N104" i="4"/>
  <c r="AU104" i="4" s="1"/>
  <c r="N100" i="4"/>
  <c r="AU100" i="4" s="1"/>
  <c r="N84" i="4"/>
  <c r="AU84" i="4" s="1"/>
  <c r="N78" i="4"/>
  <c r="AU78" i="4" s="1"/>
  <c r="N51" i="4"/>
  <c r="AU51" i="4" s="1"/>
  <c r="N47" i="4"/>
  <c r="AU47" i="4" s="1"/>
  <c r="P103" i="4"/>
  <c r="P41" i="4"/>
  <c r="BO41" i="4" s="1"/>
  <c r="N79" i="4"/>
  <c r="AU79" i="4" s="1"/>
  <c r="P67" i="4"/>
  <c r="BO67" i="4" s="1"/>
  <c r="N71" i="4"/>
  <c r="AU71" i="4" s="1"/>
  <c r="N96" i="4"/>
  <c r="AU96" i="4" s="1"/>
  <c r="P56" i="4"/>
  <c r="BO56" i="4" s="1"/>
  <c r="P98" i="4"/>
  <c r="P58" i="4"/>
  <c r="BO58" i="4" s="1"/>
  <c r="P63" i="4"/>
  <c r="BO63" i="4" s="1"/>
  <c r="P76" i="4"/>
  <c r="BO76" i="4" s="1"/>
  <c r="N112" i="4"/>
  <c r="AU112" i="4" s="1"/>
  <c r="N95" i="4"/>
  <c r="AU95" i="4" s="1"/>
  <c r="P104" i="4"/>
  <c r="N38" i="4"/>
  <c r="AU38" i="4" s="1"/>
  <c r="P100" i="4"/>
  <c r="N69" i="4"/>
  <c r="AU69" i="4" s="1"/>
  <c r="N60" i="4"/>
  <c r="AU60" i="4" s="1"/>
  <c r="N46" i="4"/>
  <c r="AU46" i="4" s="1"/>
  <c r="N92" i="4"/>
  <c r="AU92" i="4" s="1"/>
  <c r="P64" i="4"/>
  <c r="BO64" i="4" s="1"/>
  <c r="N102" i="4"/>
  <c r="AU102" i="4" s="1"/>
  <c r="P105" i="4"/>
  <c r="N49" i="4"/>
  <c r="AU49" i="4" s="1"/>
  <c r="N101" i="4"/>
  <c r="AU101" i="4" s="1"/>
  <c r="N87" i="4"/>
  <c r="AU87" i="4" s="1"/>
  <c r="P60" i="4"/>
  <c r="BO60" i="4" s="1"/>
  <c r="N90" i="4"/>
  <c r="AU90" i="4" s="1"/>
  <c r="N67" i="4"/>
  <c r="AU67" i="4" s="1"/>
  <c r="N93" i="4"/>
  <c r="AU93" i="4" s="1"/>
  <c r="N99" i="4"/>
  <c r="AU99" i="4" s="1"/>
  <c r="P44" i="4"/>
  <c r="BO44" i="4" s="1"/>
  <c r="N107" i="4"/>
  <c r="AU107" i="4" s="1"/>
  <c r="N77" i="4"/>
  <c r="AU77" i="4" s="1"/>
  <c r="P114" i="4"/>
  <c r="P86" i="4"/>
  <c r="P99" i="4"/>
  <c r="P81" i="4"/>
  <c r="P61" i="4"/>
  <c r="BO61" i="4" s="1"/>
  <c r="N86" i="4"/>
  <c r="AU86" i="4" s="1"/>
  <c r="N70" i="4"/>
  <c r="AU70" i="4" s="1"/>
  <c r="N72" i="4"/>
  <c r="AU72" i="4" s="1"/>
  <c r="N45" i="4"/>
  <c r="AU45" i="4" s="1"/>
  <c r="P110" i="4"/>
  <c r="P92" i="4"/>
  <c r="N40" i="4"/>
  <c r="AU40" i="4" s="1"/>
  <c r="N108" i="4"/>
  <c r="AU108" i="4" s="1"/>
  <c r="N59" i="4"/>
  <c r="AU59" i="4" s="1"/>
  <c r="N42" i="4"/>
  <c r="AU42" i="4" s="1"/>
  <c r="P111" i="4"/>
  <c r="P71" i="4"/>
  <c r="BO71" i="4" s="1"/>
  <c r="P80" i="4"/>
  <c r="P57" i="4"/>
  <c r="BO57" i="4" s="1"/>
  <c r="P97" i="4"/>
  <c r="P52" i="4"/>
  <c r="BO52" i="4" s="1"/>
  <c r="N94" i="4"/>
  <c r="AU94" i="4" s="1"/>
  <c r="P113" i="4"/>
  <c r="P48" i="4"/>
  <c r="BO48" i="4" s="1"/>
  <c r="P109" i="4"/>
  <c r="P96" i="4"/>
  <c r="P50" i="4"/>
  <c r="BO50" i="4" s="1"/>
  <c r="P95" i="4"/>
  <c r="N43" i="4"/>
  <c r="AU43" i="4" s="1"/>
  <c r="N66" i="4"/>
  <c r="AU66" i="4" s="1"/>
  <c r="P54" i="4"/>
  <c r="BO54" i="4" s="1"/>
  <c r="P89" i="4"/>
  <c r="P53" i="4"/>
  <c r="BO53" i="4" s="1"/>
  <c r="P70" i="4"/>
  <c r="BO70" i="4" s="1"/>
  <c r="N115" i="4"/>
  <c r="AU115" i="4" s="1"/>
  <c r="N52" i="4"/>
  <c r="AU52" i="4" s="1"/>
  <c r="N89" i="4"/>
  <c r="AU89" i="4" s="1"/>
  <c r="P107" i="4"/>
  <c r="P49" i="4"/>
  <c r="BO49" i="4" s="1"/>
  <c r="P74" i="4"/>
  <c r="BO74" i="4" s="1"/>
  <c r="P116" i="4"/>
  <c r="N55" i="4"/>
  <c r="AU55" i="4" s="1"/>
  <c r="N109" i="4"/>
  <c r="AU109" i="4" s="1"/>
  <c r="P65" i="4"/>
  <c r="BO65" i="4" s="1"/>
  <c r="P84" i="4"/>
  <c r="P77" i="4"/>
  <c r="N62" i="4"/>
  <c r="AU62" i="4" s="1"/>
  <c r="N65" i="4"/>
  <c r="AU65" i="4" s="1"/>
  <c r="P79" i="4"/>
  <c r="P55" i="4"/>
  <c r="BO55" i="4" s="1"/>
  <c r="P88" i="4"/>
  <c r="P94" i="4"/>
  <c r="P42" i="4"/>
  <c r="BO42" i="4" s="1"/>
  <c r="P59" i="4"/>
  <c r="BO59" i="4" s="1"/>
  <c r="P112" i="4"/>
  <c r="P102" i="4"/>
  <c r="P83" i="4"/>
  <c r="P47" i="4"/>
  <c r="BO47" i="4" s="1"/>
  <c r="P43" i="4"/>
  <c r="BO43" i="4" s="1"/>
  <c r="P62" i="4"/>
  <c r="BO62" i="4" s="1"/>
  <c r="P90" i="4"/>
  <c r="P108" i="4"/>
  <c r="P66" i="4"/>
  <c r="BO66" i="4" s="1"/>
  <c r="P101" i="4"/>
  <c r="P46" i="4"/>
  <c r="BO46" i="4" s="1"/>
  <c r="P40" i="4"/>
  <c r="BO40" i="4" s="1"/>
  <c r="P51" i="4"/>
  <c r="BO51" i="4" s="1"/>
  <c r="P69" i="4"/>
  <c r="BO69" i="4" s="1"/>
  <c r="N80" i="4"/>
  <c r="AU80" i="4" s="1"/>
  <c r="P87" i="4"/>
  <c r="P72" i="4"/>
  <c r="BO72" i="4" s="1"/>
  <c r="P115" i="4"/>
  <c r="P38" i="4"/>
  <c r="BO38" i="4" s="1"/>
  <c r="P106" i="4"/>
  <c r="P45" i="4"/>
  <c r="BO45" i="4" s="1"/>
  <c r="P37" i="4"/>
  <c r="BO37" i="4" s="1"/>
  <c r="P39" i="4"/>
  <c r="BO39" i="4" s="1"/>
  <c r="AU37" i="4" l="1"/>
  <c r="AY37" i="4"/>
  <c r="AZ37" i="4" s="1"/>
  <c r="AY65" i="4"/>
  <c r="AZ65" i="4" s="1"/>
  <c r="AY109" i="4"/>
  <c r="AZ109" i="4"/>
  <c r="AY42" i="4"/>
  <c r="AZ42" i="4" s="1"/>
  <c r="AY70" i="4"/>
  <c r="AZ70" i="4"/>
  <c r="AY107" i="4"/>
  <c r="AZ107" i="4"/>
  <c r="AZ101" i="4"/>
  <c r="AY101" i="4"/>
  <c r="AY95" i="4"/>
  <c r="AZ95" i="4"/>
  <c r="AY84" i="4"/>
  <c r="AZ84" i="4"/>
  <c r="AY88" i="4"/>
  <c r="AZ88" i="4"/>
  <c r="AY55" i="4"/>
  <c r="AZ55" i="4"/>
  <c r="AY66" i="4"/>
  <c r="AZ66" i="4"/>
  <c r="AY94" i="4"/>
  <c r="AZ94" i="4"/>
  <c r="AY59" i="4"/>
  <c r="AZ59" i="4"/>
  <c r="AY86" i="4"/>
  <c r="AZ86" i="4"/>
  <c r="AY90" i="4"/>
  <c r="AZ90" i="4"/>
  <c r="AY49" i="4"/>
  <c r="AZ49" i="4" s="1"/>
  <c r="AY92" i="4"/>
  <c r="AZ92" i="4"/>
  <c r="AY112" i="4"/>
  <c r="AZ112" i="4"/>
  <c r="AY47" i="4"/>
  <c r="AY100" i="4"/>
  <c r="AZ100" i="4"/>
  <c r="AY57" i="4"/>
  <c r="AZ57" i="4"/>
  <c r="AY103" i="4"/>
  <c r="AZ103" i="4"/>
  <c r="AU41" i="4"/>
  <c r="AY41" i="4"/>
  <c r="AZ41" i="4" s="1"/>
  <c r="AZ97" i="4"/>
  <c r="AY97" i="4"/>
  <c r="AY58" i="4"/>
  <c r="AZ58" i="4"/>
  <c r="AY85" i="4"/>
  <c r="AZ85" i="4"/>
  <c r="AY39" i="4"/>
  <c r="AY63" i="4"/>
  <c r="AZ63" i="4" s="1"/>
  <c r="AY89" i="4"/>
  <c r="AZ89" i="4"/>
  <c r="AY43" i="4"/>
  <c r="AZ43" i="4" s="1"/>
  <c r="AY108" i="4"/>
  <c r="AZ108" i="4"/>
  <c r="AY45" i="4"/>
  <c r="AZ45" i="4" s="1"/>
  <c r="AY99" i="4"/>
  <c r="AZ99" i="4"/>
  <c r="AY46" i="4"/>
  <c r="AZ46" i="4" s="1"/>
  <c r="AY38" i="4"/>
  <c r="AY79" i="4"/>
  <c r="AZ79" i="4"/>
  <c r="AY51" i="4"/>
  <c r="AZ51" i="4"/>
  <c r="AZ104" i="4"/>
  <c r="AY104" i="4"/>
  <c r="AY44" i="4"/>
  <c r="AZ44" i="4" s="1"/>
  <c r="AY116" i="4"/>
  <c r="AZ116" i="4"/>
  <c r="AY114" i="4"/>
  <c r="AZ114" i="4"/>
  <c r="AY53" i="4"/>
  <c r="AZ53" i="4" s="1"/>
  <c r="AY68" i="4"/>
  <c r="AZ68" i="4" s="1"/>
  <c r="AY76" i="4"/>
  <c r="AZ76" i="4"/>
  <c r="AY111" i="4"/>
  <c r="AZ111" i="4"/>
  <c r="AY82" i="4"/>
  <c r="AZ82" i="4"/>
  <c r="AY98" i="4"/>
  <c r="AZ98" i="4"/>
  <c r="AY80" i="4"/>
  <c r="AZ80" i="4"/>
  <c r="AY52" i="4"/>
  <c r="AZ52" i="4"/>
  <c r="AY40" i="4"/>
  <c r="AZ40" i="4" s="1"/>
  <c r="AY72" i="4"/>
  <c r="AZ72" i="4"/>
  <c r="AY77" i="4"/>
  <c r="AZ77" i="4"/>
  <c r="AY93" i="4"/>
  <c r="AZ93" i="4"/>
  <c r="AY87" i="4"/>
  <c r="AZ87" i="4"/>
  <c r="AY102" i="4"/>
  <c r="AZ102" i="4"/>
  <c r="AY60" i="4"/>
  <c r="AZ60" i="4"/>
  <c r="AY96" i="4"/>
  <c r="AZ96" i="4"/>
  <c r="AY78" i="4"/>
  <c r="AZ78" i="4"/>
  <c r="AZ91" i="4"/>
  <c r="AY91" i="4"/>
  <c r="AY48" i="4"/>
  <c r="AZ48" i="4" s="1"/>
  <c r="AY61" i="4"/>
  <c r="AZ61" i="4"/>
  <c r="AY106" i="4"/>
  <c r="AZ106" i="4"/>
  <c r="AY110" i="4"/>
  <c r="AZ110" i="4"/>
  <c r="AY74" i="4"/>
  <c r="AZ74" i="4"/>
  <c r="AZ83" i="4"/>
  <c r="AY83" i="4"/>
  <c r="AY54" i="4"/>
  <c r="AZ54" i="4"/>
  <c r="AY64" i="4"/>
  <c r="AZ64" i="4"/>
  <c r="AC32" i="4"/>
  <c r="AY62" i="4"/>
  <c r="AZ62" i="4"/>
  <c r="AY115" i="4"/>
  <c r="AZ115" i="4"/>
  <c r="AY67" i="4"/>
  <c r="AZ67" i="4"/>
  <c r="AY69" i="4"/>
  <c r="AZ69" i="4"/>
  <c r="AY71" i="4"/>
  <c r="AZ71" i="4"/>
  <c r="AY81" i="4"/>
  <c r="AZ81" i="4"/>
  <c r="AZ105" i="4"/>
  <c r="AY105" i="4"/>
  <c r="AY56" i="4"/>
  <c r="AZ56" i="4"/>
  <c r="AY50" i="4"/>
  <c r="AZ50" i="4"/>
  <c r="AY113" i="4"/>
  <c r="AZ113" i="4"/>
  <c r="AY75" i="4"/>
  <c r="AZ75" i="4"/>
  <c r="AY73" i="4"/>
  <c r="BD73" i="4" l="1"/>
  <c r="BI73" i="4"/>
  <c r="AZ73" i="4"/>
  <c r="BJ75" i="4"/>
  <c r="BE75" i="4"/>
  <c r="BI75" i="4"/>
  <c r="BK75" i="4" s="1"/>
  <c r="BD75" i="4"/>
  <c r="BF75" i="4" s="1"/>
  <c r="BJ71" i="4"/>
  <c r="BE71" i="4"/>
  <c r="BD71" i="4"/>
  <c r="BI71" i="4"/>
  <c r="BK71" i="4" s="1"/>
  <c r="BJ69" i="4"/>
  <c r="BE69" i="4"/>
  <c r="BD69" i="4"/>
  <c r="BI69" i="4"/>
  <c r="BK69" i="4" s="1"/>
  <c r="BE74" i="4"/>
  <c r="BJ74" i="4"/>
  <c r="BD74" i="4"/>
  <c r="BF74" i="4" s="1"/>
  <c r="BI74" i="4"/>
  <c r="BK74" i="4" s="1"/>
  <c r="BE72" i="4"/>
  <c r="BJ72" i="4"/>
  <c r="BD72" i="4"/>
  <c r="BI72" i="4"/>
  <c r="BK72" i="4" s="1"/>
  <c r="BE76" i="4"/>
  <c r="BJ76" i="4"/>
  <c r="BD76" i="4"/>
  <c r="BF76" i="4" s="1"/>
  <c r="BI76" i="4"/>
  <c r="BK76" i="4" s="1"/>
  <c r="BE70" i="4"/>
  <c r="BJ70" i="4"/>
  <c r="BD70" i="4"/>
  <c r="BF70" i="4" s="1"/>
  <c r="BI70" i="4"/>
  <c r="BK70" i="4" s="1"/>
  <c r="BE67" i="4"/>
  <c r="BJ67" i="4"/>
  <c r="BD67" i="4"/>
  <c r="BI67" i="4"/>
  <c r="BK67" i="4" s="1"/>
  <c r="BJ62" i="4"/>
  <c r="BE62" i="4"/>
  <c r="BI62" i="4"/>
  <c r="BD62" i="4"/>
  <c r="BF62" i="4" s="1"/>
  <c r="BJ64" i="4"/>
  <c r="BE64" i="4"/>
  <c r="BI64" i="4"/>
  <c r="BD64" i="4"/>
  <c r="BJ61" i="4"/>
  <c r="BE61" i="4"/>
  <c r="BD61" i="4"/>
  <c r="BI61" i="4"/>
  <c r="BK61" i="4" s="1"/>
  <c r="BI68" i="4"/>
  <c r="BD68" i="4"/>
  <c r="BJ68" i="4"/>
  <c r="BE68" i="4"/>
  <c r="BI63" i="4"/>
  <c r="BD63" i="4"/>
  <c r="BJ63" i="4"/>
  <c r="BK63" i="4" s="1"/>
  <c r="BE63" i="4"/>
  <c r="BE66" i="4"/>
  <c r="BJ66" i="4"/>
  <c r="BD66" i="4"/>
  <c r="BI66" i="4"/>
  <c r="BK66" i="4" s="1"/>
  <c r="BI65" i="4"/>
  <c r="BD65" i="4"/>
  <c r="BE65" i="4"/>
  <c r="BJ65" i="4"/>
  <c r="BK65" i="4" s="1"/>
  <c r="BE56" i="4"/>
  <c r="BJ56" i="4"/>
  <c r="BI56" i="4"/>
  <c r="BD56" i="4"/>
  <c r="BF56" i="4" s="1"/>
  <c r="BJ54" i="4"/>
  <c r="BE54" i="4"/>
  <c r="BD54" i="4"/>
  <c r="BF54" i="4" s="1"/>
  <c r="BI54" i="4"/>
  <c r="BK54" i="4" s="1"/>
  <c r="BJ60" i="4"/>
  <c r="BE60" i="4"/>
  <c r="BD60" i="4"/>
  <c r="BF60" i="4" s="1"/>
  <c r="BI60" i="4"/>
  <c r="BK60" i="4" s="1"/>
  <c r="BD53" i="4"/>
  <c r="BI53" i="4"/>
  <c r="BJ53" i="4"/>
  <c r="BE53" i="4"/>
  <c r="BF53" i="4" s="1"/>
  <c r="BJ58" i="4"/>
  <c r="BE58" i="4"/>
  <c r="BI58" i="4"/>
  <c r="BD58" i="4"/>
  <c r="BF58" i="4" s="1"/>
  <c r="BJ57" i="4"/>
  <c r="BE57" i="4"/>
  <c r="BI57" i="4"/>
  <c r="BD57" i="4"/>
  <c r="BF57" i="4" s="1"/>
  <c r="BJ59" i="4"/>
  <c r="BE59" i="4"/>
  <c r="BI59" i="4"/>
  <c r="BD59" i="4"/>
  <c r="BE55" i="4"/>
  <c r="BJ55" i="4"/>
  <c r="BD55" i="4"/>
  <c r="BF55" i="4" s="1"/>
  <c r="BI55" i="4"/>
  <c r="BK55" i="4" s="1"/>
  <c r="BJ50" i="4"/>
  <c r="BE50" i="4"/>
  <c r="BD50" i="4"/>
  <c r="BI50" i="4"/>
  <c r="BK50" i="4" s="1"/>
  <c r="BE52" i="4"/>
  <c r="BJ52" i="4"/>
  <c r="BD52" i="4"/>
  <c r="BF52" i="4" s="1"/>
  <c r="BI52" i="4"/>
  <c r="BK52" i="4" s="1"/>
  <c r="BJ51" i="4"/>
  <c r="BE51" i="4"/>
  <c r="BD51" i="4"/>
  <c r="BI51" i="4"/>
  <c r="BD49" i="4"/>
  <c r="BI49" i="4"/>
  <c r="BJ49" i="4"/>
  <c r="BE49" i="4"/>
  <c r="BD48" i="4"/>
  <c r="BI48" i="4"/>
  <c r="BJ48" i="4"/>
  <c r="BE48" i="4"/>
  <c r="BE43" i="4"/>
  <c r="BJ43" i="4"/>
  <c r="BE40" i="4"/>
  <c r="BJ40" i="4"/>
  <c r="BJ45" i="4"/>
  <c r="BE45" i="4"/>
  <c r="BI38" i="4"/>
  <c r="BD38" i="4"/>
  <c r="BI39" i="4"/>
  <c r="BD39" i="4"/>
  <c r="BD47" i="4"/>
  <c r="BI47" i="4"/>
  <c r="BJ42" i="4"/>
  <c r="BE42" i="4"/>
  <c r="BD46" i="4"/>
  <c r="BI46" i="4"/>
  <c r="BJ44" i="4"/>
  <c r="BE44" i="4"/>
  <c r="BI44" i="4"/>
  <c r="BD44" i="4"/>
  <c r="BD40" i="4"/>
  <c r="BI40" i="4"/>
  <c r="BE46" i="4"/>
  <c r="BJ46" i="4"/>
  <c r="BD45" i="4"/>
  <c r="BI45" i="4"/>
  <c r="BD43" i="4"/>
  <c r="BI43" i="4"/>
  <c r="AZ38" i="4"/>
  <c r="AZ39" i="4"/>
  <c r="BA39" i="4" s="1"/>
  <c r="BB39" i="4" s="1"/>
  <c r="AZ47" i="4"/>
  <c r="BA47" i="4" s="1"/>
  <c r="BB47" i="4" s="1"/>
  <c r="BI42" i="4"/>
  <c r="BD42" i="4"/>
  <c r="BE37" i="4"/>
  <c r="BJ37" i="4"/>
  <c r="BJ41" i="4"/>
  <c r="BE41" i="4"/>
  <c r="BD41" i="4"/>
  <c r="BI41" i="4"/>
  <c r="BA110" i="4"/>
  <c r="BB110" i="4" s="1"/>
  <c r="BG110" i="4" s="1"/>
  <c r="BP110" i="4" s="1"/>
  <c r="BA81" i="4"/>
  <c r="BB81" i="4" s="1"/>
  <c r="BG81" i="4" s="1"/>
  <c r="BP81" i="4" s="1"/>
  <c r="BA69" i="4"/>
  <c r="BB69" i="4" s="1"/>
  <c r="BL69" i="4" s="1"/>
  <c r="BM69" i="4" s="1"/>
  <c r="BA115" i="4"/>
  <c r="BB115" i="4" s="1"/>
  <c r="BL115" i="4" s="1"/>
  <c r="BM115" i="4" s="1"/>
  <c r="BA42" i="4"/>
  <c r="BB42" i="4" s="1"/>
  <c r="BA65" i="4"/>
  <c r="BB65" i="4" s="1"/>
  <c r="BL65" i="4" s="1"/>
  <c r="BM65" i="4" s="1"/>
  <c r="BA37" i="4"/>
  <c r="BB37" i="4" s="1"/>
  <c r="BI37" i="4"/>
  <c r="BD37" i="4"/>
  <c r="BA58" i="4"/>
  <c r="BB58" i="4" s="1"/>
  <c r="BA41" i="4"/>
  <c r="BB41" i="4" s="1"/>
  <c r="BA74" i="4"/>
  <c r="BB74" i="4" s="1"/>
  <c r="BL74" i="4" s="1"/>
  <c r="BM74" i="4" s="1"/>
  <c r="BA78" i="4"/>
  <c r="BB78" i="4" s="1"/>
  <c r="BL78" i="4" s="1"/>
  <c r="BM78" i="4" s="1"/>
  <c r="BA60" i="4"/>
  <c r="BB60" i="4" s="1"/>
  <c r="BG60" i="4" s="1"/>
  <c r="BA87" i="4"/>
  <c r="BB87" i="4" s="1"/>
  <c r="BG87" i="4" s="1"/>
  <c r="BP87" i="4" s="1"/>
  <c r="BA77" i="4"/>
  <c r="BB77" i="4" s="1"/>
  <c r="BG77" i="4" s="1"/>
  <c r="BP77" i="4" s="1"/>
  <c r="BA40" i="4"/>
  <c r="BB40" i="4" s="1"/>
  <c r="BA80" i="4"/>
  <c r="BB80" i="4" s="1"/>
  <c r="BG80" i="4" s="1"/>
  <c r="BP80" i="4" s="1"/>
  <c r="BA68" i="4"/>
  <c r="BB68" i="4" s="1"/>
  <c r="BA73" i="4"/>
  <c r="BB73" i="4" s="1"/>
  <c r="BA82" i="4"/>
  <c r="BB82" i="4" s="1"/>
  <c r="BL82" i="4" s="1"/>
  <c r="BM82" i="4" s="1"/>
  <c r="BA79" i="4"/>
  <c r="BB79" i="4" s="1"/>
  <c r="BL79" i="4" s="1"/>
  <c r="BM79" i="4" s="1"/>
  <c r="BA45" i="4"/>
  <c r="BB45" i="4" s="1"/>
  <c r="BA43" i="4"/>
  <c r="BB43" i="4" s="1"/>
  <c r="BA100" i="4"/>
  <c r="BB100" i="4" s="1"/>
  <c r="BG100" i="4" s="1"/>
  <c r="BP100" i="4" s="1"/>
  <c r="BA112" i="4"/>
  <c r="BB112" i="4" s="1"/>
  <c r="BG112" i="4" s="1"/>
  <c r="BP112" i="4" s="1"/>
  <c r="BA86" i="4"/>
  <c r="BB86" i="4" s="1"/>
  <c r="BL86" i="4" s="1"/>
  <c r="BM86" i="4" s="1"/>
  <c r="BA94" i="4"/>
  <c r="BB94" i="4" s="1"/>
  <c r="BL94" i="4" s="1"/>
  <c r="BM94" i="4" s="1"/>
  <c r="BA55" i="4"/>
  <c r="BB55" i="4" s="1"/>
  <c r="BG55" i="4" s="1"/>
  <c r="BA84" i="4"/>
  <c r="BB84" i="4" s="1"/>
  <c r="BL84" i="4" s="1"/>
  <c r="BM84" i="4" s="1"/>
  <c r="BA70" i="4"/>
  <c r="BB70" i="4" s="1"/>
  <c r="BG70" i="4" s="1"/>
  <c r="BA109" i="4"/>
  <c r="BB109" i="4" s="1"/>
  <c r="BL109" i="4" s="1"/>
  <c r="BM109" i="4" s="1"/>
  <c r="BA105" i="4"/>
  <c r="BB105" i="4" s="1"/>
  <c r="BG105" i="4" s="1"/>
  <c r="BP105" i="4" s="1"/>
  <c r="BA54" i="4"/>
  <c r="BB54" i="4" s="1"/>
  <c r="BL54" i="4" s="1"/>
  <c r="BM54" i="4" s="1"/>
  <c r="BA111" i="4"/>
  <c r="BB111" i="4" s="1"/>
  <c r="BG111" i="4" s="1"/>
  <c r="BP111" i="4" s="1"/>
  <c r="BA114" i="4"/>
  <c r="BB114" i="4" s="1"/>
  <c r="BG114" i="4" s="1"/>
  <c r="BP114" i="4" s="1"/>
  <c r="BA97" i="4"/>
  <c r="BB97" i="4" s="1"/>
  <c r="BL97" i="4" s="1"/>
  <c r="BM97" i="4" s="1"/>
  <c r="BA88" i="4"/>
  <c r="BB88" i="4" s="1"/>
  <c r="BL88" i="4" s="1"/>
  <c r="BM88" i="4" s="1"/>
  <c r="BA103" i="4"/>
  <c r="BB103" i="4" s="1"/>
  <c r="BG103" i="4" s="1"/>
  <c r="BP103" i="4" s="1"/>
  <c r="BA98" i="4"/>
  <c r="BB98" i="4" s="1"/>
  <c r="BA113" i="4"/>
  <c r="BB113" i="4" s="1"/>
  <c r="BA56" i="4"/>
  <c r="BB56" i="4" s="1"/>
  <c r="BA71" i="4"/>
  <c r="BB71" i="4" s="1"/>
  <c r="BA83" i="4"/>
  <c r="BB83" i="4" s="1"/>
  <c r="BA106" i="4"/>
  <c r="BB106" i="4" s="1"/>
  <c r="BA61" i="4"/>
  <c r="BB61" i="4" s="1"/>
  <c r="BA48" i="4"/>
  <c r="BB48" i="4" s="1"/>
  <c r="BA102" i="4"/>
  <c r="BB102" i="4" s="1"/>
  <c r="BA52" i="4"/>
  <c r="BB52" i="4" s="1"/>
  <c r="BA76" i="4"/>
  <c r="BB76" i="4" s="1"/>
  <c r="BA53" i="4"/>
  <c r="BB53" i="4" s="1"/>
  <c r="BA116" i="4"/>
  <c r="BB116" i="4" s="1"/>
  <c r="BA51" i="4"/>
  <c r="BB51" i="4" s="1"/>
  <c r="BA99" i="4"/>
  <c r="BB99" i="4" s="1"/>
  <c r="BA89" i="4"/>
  <c r="BB89" i="4" s="1"/>
  <c r="BA90" i="4"/>
  <c r="BB90" i="4" s="1"/>
  <c r="BA59" i="4"/>
  <c r="BB59" i="4" s="1"/>
  <c r="BA95" i="4"/>
  <c r="BB95" i="4" s="1"/>
  <c r="BA107" i="4"/>
  <c r="BB107" i="4" s="1"/>
  <c r="BA75" i="4"/>
  <c r="BB75" i="4" s="1"/>
  <c r="BA50" i="4"/>
  <c r="BB50" i="4" s="1"/>
  <c r="BA67" i="4"/>
  <c r="BB67" i="4" s="1"/>
  <c r="BA62" i="4"/>
  <c r="BB62" i="4" s="1"/>
  <c r="E31" i="4"/>
  <c r="G31" i="4"/>
  <c r="F31" i="4"/>
  <c r="BA64" i="4"/>
  <c r="BB64" i="4" s="1"/>
  <c r="BA91" i="4"/>
  <c r="BB91" i="4" s="1"/>
  <c r="BA96" i="4"/>
  <c r="BB96" i="4" s="1"/>
  <c r="BA93" i="4"/>
  <c r="BB93" i="4" s="1"/>
  <c r="BA72" i="4"/>
  <c r="BB72" i="4" s="1"/>
  <c r="BA44" i="4"/>
  <c r="BB44" i="4" s="1"/>
  <c r="BA104" i="4"/>
  <c r="BB104" i="4" s="1"/>
  <c r="BA38" i="4"/>
  <c r="BB38" i="4" s="1"/>
  <c r="BA46" i="4"/>
  <c r="BB46" i="4" s="1"/>
  <c r="BA108" i="4"/>
  <c r="BB108" i="4" s="1"/>
  <c r="BA85" i="4"/>
  <c r="BB85" i="4" s="1"/>
  <c r="BA57" i="4"/>
  <c r="BB57" i="4" s="1"/>
  <c r="BA92" i="4"/>
  <c r="BB92" i="4" s="1"/>
  <c r="BA49" i="4"/>
  <c r="BB49" i="4" s="1"/>
  <c r="BA66" i="4"/>
  <c r="BB66" i="4" s="1"/>
  <c r="BA101" i="4"/>
  <c r="BB101" i="4" s="1"/>
  <c r="BA63" i="4"/>
  <c r="BB63" i="4" s="1"/>
  <c r="BP70" i="4" l="1"/>
  <c r="O70" i="4"/>
  <c r="BP55" i="4"/>
  <c r="O55" i="4"/>
  <c r="BP60" i="4"/>
  <c r="O60" i="4"/>
  <c r="BF72" i="4"/>
  <c r="BF69" i="4"/>
  <c r="BF71" i="4"/>
  <c r="BJ73" i="4"/>
  <c r="BE73" i="4"/>
  <c r="BF73" i="4" s="1"/>
  <c r="BG73" i="4" s="1"/>
  <c r="BK73" i="4"/>
  <c r="BF65" i="4"/>
  <c r="BF66" i="4"/>
  <c r="BF63" i="4"/>
  <c r="BF68" i="4"/>
  <c r="BG68" i="4" s="1"/>
  <c r="BK68" i="4"/>
  <c r="BF61" i="4"/>
  <c r="BF64" i="4"/>
  <c r="BK64" i="4"/>
  <c r="BK62" i="4"/>
  <c r="BF67" i="4"/>
  <c r="BF59" i="4"/>
  <c r="BK59" i="4"/>
  <c r="BK57" i="4"/>
  <c r="BK58" i="4"/>
  <c r="BL58" i="4" s="1"/>
  <c r="BM58" i="4" s="1"/>
  <c r="BK53" i="4"/>
  <c r="BK56" i="4"/>
  <c r="BF51" i="4"/>
  <c r="BK51" i="4"/>
  <c r="BF50" i="4"/>
  <c r="BK49" i="4"/>
  <c r="BF49" i="4"/>
  <c r="BF48" i="4"/>
  <c r="BG48" i="4" s="1"/>
  <c r="BK48" i="4"/>
  <c r="BK37" i="4"/>
  <c r="BL37" i="4" s="1"/>
  <c r="BM37" i="4" s="1"/>
  <c r="BF46" i="4"/>
  <c r="BG46" i="4" s="1"/>
  <c r="BF40" i="4"/>
  <c r="BG40" i="4" s="1"/>
  <c r="BK45" i="4"/>
  <c r="BL45" i="4" s="1"/>
  <c r="BM45" i="4" s="1"/>
  <c r="BK42" i="4"/>
  <c r="BL42" i="4" s="1"/>
  <c r="BM42" i="4" s="1"/>
  <c r="BK43" i="4"/>
  <c r="BL43" i="4" s="1"/>
  <c r="BM43" i="4" s="1"/>
  <c r="BF42" i="4"/>
  <c r="BG42" i="4" s="1"/>
  <c r="BF45" i="4"/>
  <c r="BG45" i="4" s="1"/>
  <c r="BF44" i="4"/>
  <c r="BG44" i="4" s="1"/>
  <c r="BK46" i="4"/>
  <c r="BL46" i="4" s="1"/>
  <c r="BM46" i="4" s="1"/>
  <c r="BJ47" i="4"/>
  <c r="BK47" i="4" s="1"/>
  <c r="BL47" i="4" s="1"/>
  <c r="BM47" i="4" s="1"/>
  <c r="BE47" i="4"/>
  <c r="BF47" i="4" s="1"/>
  <c r="BG47" i="4" s="1"/>
  <c r="BK44" i="4"/>
  <c r="BL44" i="4" s="1"/>
  <c r="BM44" i="4" s="1"/>
  <c r="BJ39" i="4"/>
  <c r="BK39" i="4" s="1"/>
  <c r="BL39" i="4" s="1"/>
  <c r="BM39" i="4" s="1"/>
  <c r="BE39" i="4"/>
  <c r="BF39" i="4" s="1"/>
  <c r="BG39" i="4" s="1"/>
  <c r="BK40" i="4"/>
  <c r="BL40" i="4" s="1"/>
  <c r="BM40" i="4" s="1"/>
  <c r="BJ38" i="4"/>
  <c r="BK38" i="4" s="1"/>
  <c r="BL38" i="4" s="1"/>
  <c r="BM38" i="4" s="1"/>
  <c r="BE38" i="4"/>
  <c r="BF38" i="4" s="1"/>
  <c r="BG38" i="4" s="1"/>
  <c r="BF43" i="4"/>
  <c r="BG43" i="4" s="1"/>
  <c r="BL81" i="4"/>
  <c r="BM81" i="4" s="1"/>
  <c r="BG74" i="4"/>
  <c r="BL110" i="4"/>
  <c r="BM110" i="4" s="1"/>
  <c r="BF37" i="4"/>
  <c r="BG37" i="4" s="1"/>
  <c r="BK41" i="4"/>
  <c r="BL41" i="4" s="1"/>
  <c r="BM41" i="4" s="1"/>
  <c r="BF41" i="4"/>
  <c r="BG41" i="4" s="1"/>
  <c r="BG65" i="4"/>
  <c r="BL100" i="4"/>
  <c r="BM100" i="4" s="1"/>
  <c r="BG78" i="4"/>
  <c r="BP78" i="4" s="1"/>
  <c r="BV78" i="4" s="1"/>
  <c r="BG84" i="4"/>
  <c r="BP84" i="4" s="1"/>
  <c r="BU84" i="4" s="1"/>
  <c r="BG58" i="4"/>
  <c r="BG79" i="4"/>
  <c r="BP79" i="4" s="1"/>
  <c r="BU79" i="4" s="1"/>
  <c r="BG69" i="4"/>
  <c r="BG54" i="4"/>
  <c r="BL77" i="4"/>
  <c r="BM77" i="4" s="1"/>
  <c r="BG97" i="4"/>
  <c r="BP97" i="4" s="1"/>
  <c r="BV97" i="4" s="1"/>
  <c r="BL68" i="4"/>
  <c r="BM68" i="4" s="1"/>
  <c r="BL103" i="4"/>
  <c r="BM103" i="4" s="1"/>
  <c r="BL111" i="4"/>
  <c r="BM111" i="4" s="1"/>
  <c r="BL114" i="4"/>
  <c r="BM114" i="4" s="1"/>
  <c r="BL105" i="4"/>
  <c r="BM105" i="4" s="1"/>
  <c r="BL73" i="4"/>
  <c r="BM73" i="4" s="1"/>
  <c r="BG88" i="4"/>
  <c r="BP88" i="4" s="1"/>
  <c r="BV88" i="4" s="1"/>
  <c r="BL80" i="4"/>
  <c r="BM80" i="4" s="1"/>
  <c r="BG94" i="4"/>
  <c r="BP94" i="4" s="1"/>
  <c r="BU94" i="4" s="1"/>
  <c r="BG115" i="4"/>
  <c r="BP115" i="4" s="1"/>
  <c r="BT115" i="4" s="1"/>
  <c r="BG109" i="4"/>
  <c r="BP109" i="4" s="1"/>
  <c r="BT109" i="4" s="1"/>
  <c r="BG86" i="4"/>
  <c r="BP86" i="4" s="1"/>
  <c r="BU86" i="4" s="1"/>
  <c r="BL87" i="4"/>
  <c r="BM87" i="4" s="1"/>
  <c r="BL60" i="4"/>
  <c r="BM60" i="4" s="1"/>
  <c r="BL55" i="4"/>
  <c r="BM55" i="4" s="1"/>
  <c r="BL70" i="4"/>
  <c r="BM70" i="4" s="1"/>
  <c r="BG82" i="4"/>
  <c r="BP82" i="4" s="1"/>
  <c r="BS82" i="4" s="1"/>
  <c r="BL112" i="4"/>
  <c r="BM112" i="4" s="1"/>
  <c r="BG57" i="4"/>
  <c r="BL57" i="4"/>
  <c r="BM57" i="4" s="1"/>
  <c r="BT103" i="4"/>
  <c r="BS103" i="4"/>
  <c r="BV103" i="4"/>
  <c r="BU103" i="4"/>
  <c r="BG63" i="4"/>
  <c r="BL63" i="4"/>
  <c r="BM63" i="4" s="1"/>
  <c r="BG108" i="4"/>
  <c r="BP108" i="4" s="1"/>
  <c r="BL108" i="4"/>
  <c r="BM108" i="4" s="1"/>
  <c r="BL91" i="4"/>
  <c r="BM91" i="4" s="1"/>
  <c r="BG91" i="4"/>
  <c r="BP91" i="4" s="1"/>
  <c r="BL75" i="4"/>
  <c r="BM75" i="4" s="1"/>
  <c r="BG75" i="4"/>
  <c r="BG116" i="4"/>
  <c r="BP116" i="4" s="1"/>
  <c r="BL116" i="4"/>
  <c r="BM116" i="4" s="1"/>
  <c r="BG102" i="4"/>
  <c r="BP102" i="4" s="1"/>
  <c r="BL102" i="4"/>
  <c r="BM102" i="4" s="1"/>
  <c r="BG98" i="4"/>
  <c r="BP98" i="4" s="1"/>
  <c r="BL98" i="4"/>
  <c r="BM98" i="4" s="1"/>
  <c r="BV81" i="4"/>
  <c r="BU81" i="4"/>
  <c r="BT81" i="4"/>
  <c r="BS81" i="4"/>
  <c r="BU111" i="4"/>
  <c r="BV111" i="4"/>
  <c r="BS111" i="4"/>
  <c r="BT111" i="4"/>
  <c r="BV112" i="4"/>
  <c r="BS112" i="4"/>
  <c r="BT112" i="4"/>
  <c r="BU112" i="4"/>
  <c r="BG101" i="4"/>
  <c r="BP101" i="4" s="1"/>
  <c r="BL101" i="4"/>
  <c r="BM101" i="4" s="1"/>
  <c r="BL72" i="4"/>
  <c r="BM72" i="4" s="1"/>
  <c r="BG72" i="4"/>
  <c r="BL64" i="4"/>
  <c r="BM64" i="4" s="1"/>
  <c r="BG64" i="4"/>
  <c r="BL62" i="4"/>
  <c r="BM62" i="4" s="1"/>
  <c r="BG62" i="4"/>
  <c r="BL107" i="4"/>
  <c r="BM107" i="4" s="1"/>
  <c r="BG107" i="4"/>
  <c r="BP107" i="4" s="1"/>
  <c r="BG89" i="4"/>
  <c r="BP89" i="4" s="1"/>
  <c r="BL89" i="4"/>
  <c r="BM89" i="4" s="1"/>
  <c r="BL53" i="4"/>
  <c r="BM53" i="4" s="1"/>
  <c r="BG53" i="4"/>
  <c r="BL48" i="4"/>
  <c r="BM48" i="4" s="1"/>
  <c r="BG71" i="4"/>
  <c r="BL71" i="4"/>
  <c r="BM71" i="4" s="1"/>
  <c r="BU114" i="4"/>
  <c r="BS114" i="4"/>
  <c r="BV114" i="4"/>
  <c r="BT114" i="4"/>
  <c r="BS77" i="4"/>
  <c r="BT77" i="4"/>
  <c r="BU77" i="4"/>
  <c r="BV77" i="4"/>
  <c r="BG95" i="4"/>
  <c r="BP95" i="4" s="1"/>
  <c r="BL95" i="4"/>
  <c r="BM95" i="4" s="1"/>
  <c r="BL99" i="4"/>
  <c r="BM99" i="4" s="1"/>
  <c r="BG99" i="4"/>
  <c r="BP99" i="4" s="1"/>
  <c r="BL61" i="4"/>
  <c r="BM61" i="4" s="1"/>
  <c r="BG61" i="4"/>
  <c r="BG56" i="4"/>
  <c r="BL56" i="4"/>
  <c r="BM56" i="4" s="1"/>
  <c r="BV87" i="4"/>
  <c r="BS87" i="4"/>
  <c r="BU87" i="4"/>
  <c r="BT87" i="4"/>
  <c r="BG93" i="4"/>
  <c r="BP93" i="4" s="1"/>
  <c r="BL93" i="4"/>
  <c r="BM93" i="4" s="1"/>
  <c r="BL76" i="4"/>
  <c r="BM76" i="4" s="1"/>
  <c r="BG76" i="4"/>
  <c r="BL49" i="4"/>
  <c r="BM49" i="4" s="1"/>
  <c r="BG49" i="4"/>
  <c r="BG85" i="4"/>
  <c r="BP85" i="4" s="1"/>
  <c r="BL85" i="4"/>
  <c r="BM85" i="4" s="1"/>
  <c r="BL104" i="4"/>
  <c r="BM104" i="4" s="1"/>
  <c r="BG104" i="4"/>
  <c r="BP104" i="4" s="1"/>
  <c r="BL96" i="4"/>
  <c r="BM96" i="4" s="1"/>
  <c r="BG96" i="4"/>
  <c r="BP96" i="4" s="1"/>
  <c r="BG50" i="4"/>
  <c r="BL50" i="4"/>
  <c r="BM50" i="4" s="1"/>
  <c r="BL59" i="4"/>
  <c r="BM59" i="4" s="1"/>
  <c r="BG59" i="4"/>
  <c r="BG51" i="4"/>
  <c r="BL51" i="4"/>
  <c r="BM51" i="4" s="1"/>
  <c r="BL52" i="4"/>
  <c r="BM52" i="4" s="1"/>
  <c r="BG52" i="4"/>
  <c r="BL106" i="4"/>
  <c r="BM106" i="4" s="1"/>
  <c r="BG106" i="4"/>
  <c r="BP106" i="4" s="1"/>
  <c r="BL113" i="4"/>
  <c r="BM113" i="4" s="1"/>
  <c r="BG113" i="4"/>
  <c r="BP113" i="4" s="1"/>
  <c r="BU105" i="4"/>
  <c r="BT105" i="4"/>
  <c r="BV105" i="4"/>
  <c r="BS105" i="4"/>
  <c r="BU110" i="4"/>
  <c r="BT110" i="4"/>
  <c r="BV110" i="4"/>
  <c r="BS110" i="4"/>
  <c r="BT100" i="4"/>
  <c r="BS100" i="4"/>
  <c r="BV100" i="4"/>
  <c r="BU100" i="4"/>
  <c r="BG66" i="4"/>
  <c r="BL66" i="4"/>
  <c r="BM66" i="4" s="1"/>
  <c r="BG67" i="4"/>
  <c r="BL67" i="4"/>
  <c r="BM67" i="4" s="1"/>
  <c r="BL92" i="4"/>
  <c r="BM92" i="4" s="1"/>
  <c r="BG92" i="4"/>
  <c r="BP92" i="4" s="1"/>
  <c r="BL90" i="4"/>
  <c r="BM90" i="4" s="1"/>
  <c r="BG90" i="4"/>
  <c r="BP90" i="4" s="1"/>
  <c r="BG83" i="4"/>
  <c r="BP83" i="4" s="1"/>
  <c r="BL83" i="4"/>
  <c r="BM83" i="4" s="1"/>
  <c r="BS80" i="4"/>
  <c r="BV80" i="4"/>
  <c r="BU80" i="4"/>
  <c r="BT80" i="4"/>
  <c r="BP73" i="4" l="1"/>
  <c r="O73" i="4"/>
  <c r="BP67" i="4"/>
  <c r="O67" i="4"/>
  <c r="BP66" i="4"/>
  <c r="O66" i="4"/>
  <c r="BP52" i="4"/>
  <c r="O52" i="4"/>
  <c r="BP51" i="4"/>
  <c r="O51" i="4"/>
  <c r="BP59" i="4"/>
  <c r="O59" i="4"/>
  <c r="BP50" i="4"/>
  <c r="O50" i="4"/>
  <c r="BP76" i="4"/>
  <c r="O76" i="4"/>
  <c r="BP56" i="4"/>
  <c r="O56" i="4"/>
  <c r="BP61" i="4"/>
  <c r="O61" i="4"/>
  <c r="BP71" i="4"/>
  <c r="O71" i="4"/>
  <c r="BP53" i="4"/>
  <c r="O53" i="4"/>
  <c r="BP62" i="4"/>
  <c r="O62" i="4"/>
  <c r="BP64" i="4"/>
  <c r="O64" i="4"/>
  <c r="BP72" i="4"/>
  <c r="O72" i="4"/>
  <c r="BP75" i="4"/>
  <c r="O75" i="4"/>
  <c r="BP63" i="4"/>
  <c r="O63" i="4"/>
  <c r="BP57" i="4"/>
  <c r="O57" i="4"/>
  <c r="BP54" i="4"/>
  <c r="O54" i="4"/>
  <c r="BP69" i="4"/>
  <c r="O69" i="4"/>
  <c r="BP58" i="4"/>
  <c r="O58" i="4"/>
  <c r="BP65" i="4"/>
  <c r="O65" i="4"/>
  <c r="BP74" i="4"/>
  <c r="O74" i="4"/>
  <c r="BP68" i="4"/>
  <c r="O68" i="4"/>
  <c r="BP49" i="4"/>
  <c r="O49" i="4"/>
  <c r="BP48" i="4"/>
  <c r="O48" i="4"/>
  <c r="BP42" i="4"/>
  <c r="O42" i="4"/>
  <c r="BP39" i="4"/>
  <c r="O39" i="4"/>
  <c r="BP38" i="4"/>
  <c r="O38" i="4"/>
  <c r="BP43" i="4"/>
  <c r="O43" i="4"/>
  <c r="BP46" i="4"/>
  <c r="O46" i="4"/>
  <c r="BP40" i="4"/>
  <c r="O40" i="4"/>
  <c r="BP44" i="4"/>
  <c r="O44" i="4"/>
  <c r="BP45" i="4"/>
  <c r="O45" i="4"/>
  <c r="BP47" i="4"/>
  <c r="O47" i="4"/>
  <c r="BT82" i="4"/>
  <c r="AW82" i="4" s="1"/>
  <c r="BT97" i="4"/>
  <c r="BV79" i="4"/>
  <c r="BT79" i="4"/>
  <c r="BU97" i="4"/>
  <c r="BV109" i="4"/>
  <c r="BS97" i="4"/>
  <c r="BS79" i="4"/>
  <c r="BU82" i="4"/>
  <c r="BV82" i="4"/>
  <c r="BS78" i="4"/>
  <c r="BT78" i="4"/>
  <c r="BU78" i="4"/>
  <c r="BP37" i="4"/>
  <c r="O37" i="4"/>
  <c r="BP41" i="4"/>
  <c r="O41" i="4"/>
  <c r="BS84" i="4"/>
  <c r="BT86" i="4"/>
  <c r="BV86" i="4"/>
  <c r="BV84" i="4"/>
  <c r="BS86" i="4"/>
  <c r="BT84" i="4"/>
  <c r="BV115" i="4"/>
  <c r="BT88" i="4"/>
  <c r="BS109" i="4"/>
  <c r="AW109" i="4" s="1"/>
  <c r="BV94" i="4"/>
  <c r="BS94" i="4"/>
  <c r="BU109" i="4"/>
  <c r="BT94" i="4"/>
  <c r="BS88" i="4"/>
  <c r="BU115" i="4"/>
  <c r="BS115" i="4"/>
  <c r="AW115" i="4" s="1"/>
  <c r="BU88" i="4"/>
  <c r="AW87" i="4"/>
  <c r="AW103" i="4"/>
  <c r="AW112" i="4"/>
  <c r="AW77" i="4"/>
  <c r="AW111" i="4"/>
  <c r="BS90" i="4"/>
  <c r="BU90" i="4"/>
  <c r="BT90" i="4"/>
  <c r="BV90" i="4"/>
  <c r="AW80" i="4"/>
  <c r="AW105" i="4"/>
  <c r="BT113" i="4"/>
  <c r="BV113" i="4"/>
  <c r="BS113" i="4"/>
  <c r="BU113" i="4"/>
  <c r="BS96" i="4"/>
  <c r="BU96" i="4"/>
  <c r="BT96" i="4"/>
  <c r="BV96" i="4"/>
  <c r="BS99" i="4"/>
  <c r="BV99" i="4"/>
  <c r="BU99" i="4"/>
  <c r="BT99" i="4"/>
  <c r="AW114" i="4"/>
  <c r="AW81" i="4"/>
  <c r="BT91" i="4"/>
  <c r="BS91" i="4"/>
  <c r="BV91" i="4"/>
  <c r="BU91" i="4"/>
  <c r="BT92" i="4"/>
  <c r="BU92" i="4"/>
  <c r="BS92" i="4"/>
  <c r="BV92" i="4"/>
  <c r="AW100" i="4"/>
  <c r="BT85" i="4"/>
  <c r="BV85" i="4"/>
  <c r="BU85" i="4"/>
  <c r="BS85" i="4"/>
  <c r="BM35" i="4"/>
  <c r="BU89" i="4"/>
  <c r="BS89" i="4"/>
  <c r="BT89" i="4"/>
  <c r="BV89" i="4"/>
  <c r="BU98" i="4"/>
  <c r="BV98" i="4"/>
  <c r="BT98" i="4"/>
  <c r="BS98" i="4"/>
  <c r="BU116" i="4"/>
  <c r="BS116" i="4"/>
  <c r="BT116" i="4"/>
  <c r="BV116" i="4"/>
  <c r="BS108" i="4"/>
  <c r="BV108" i="4"/>
  <c r="BU108" i="4"/>
  <c r="BT108" i="4"/>
  <c r="BT107" i="4"/>
  <c r="BS107" i="4"/>
  <c r="BU107" i="4"/>
  <c r="BV107" i="4"/>
  <c r="BV83" i="4"/>
  <c r="BS83" i="4"/>
  <c r="BT83" i="4"/>
  <c r="BU83" i="4"/>
  <c r="BS106" i="4"/>
  <c r="BU106" i="4"/>
  <c r="BV106" i="4"/>
  <c r="BT106" i="4"/>
  <c r="BU104" i="4"/>
  <c r="BV104" i="4"/>
  <c r="BS104" i="4"/>
  <c r="BT104" i="4"/>
  <c r="AW110" i="4"/>
  <c r="BT93" i="4"/>
  <c r="BS93" i="4"/>
  <c r="BU93" i="4"/>
  <c r="BV93" i="4"/>
  <c r="BU95" i="4"/>
  <c r="BT95" i="4"/>
  <c r="BV95" i="4"/>
  <c r="BS95" i="4"/>
  <c r="BU101" i="4"/>
  <c r="BV101" i="4"/>
  <c r="BT101" i="4"/>
  <c r="BS101" i="4"/>
  <c r="BV102" i="4"/>
  <c r="BU102" i="4"/>
  <c r="BT102" i="4"/>
  <c r="BS102" i="4"/>
  <c r="BP26" i="4" l="1"/>
  <c r="BR70" i="4" s="1"/>
  <c r="AW97" i="4"/>
  <c r="AW79" i="4"/>
  <c r="AW78" i="4"/>
  <c r="AW84" i="4"/>
  <c r="AW86" i="4"/>
  <c r="AW88" i="4"/>
  <c r="AW94" i="4"/>
  <c r="AW95" i="4"/>
  <c r="AW113" i="4"/>
  <c r="AW90" i="4"/>
  <c r="AW92" i="4"/>
  <c r="AW93" i="4"/>
  <c r="AW107" i="4"/>
  <c r="AW104" i="4"/>
  <c r="AW85" i="4"/>
  <c r="AW91" i="4"/>
  <c r="AW102" i="4"/>
  <c r="AW101" i="4"/>
  <c r="AW106" i="4"/>
  <c r="AW108" i="4"/>
  <c r="AW96" i="4"/>
  <c r="AW98" i="4"/>
  <c r="BO26" i="4"/>
  <c r="AR32" i="4"/>
  <c r="AW99" i="4"/>
  <c r="AW83" i="4"/>
  <c r="AW116" i="4"/>
  <c r="AW89" i="4"/>
  <c r="BR73" i="4" l="1"/>
  <c r="BR76" i="4"/>
  <c r="BR71" i="4"/>
  <c r="BR72" i="4"/>
  <c r="BR75" i="4"/>
  <c r="BR69" i="4"/>
  <c r="BR74" i="4"/>
  <c r="BR68" i="4"/>
  <c r="BR67" i="4"/>
  <c r="BR66" i="4"/>
  <c r="BR61" i="4"/>
  <c r="BR62" i="4"/>
  <c r="BR64" i="4"/>
  <c r="BR63" i="4"/>
  <c r="BR65" i="4"/>
  <c r="BR55" i="4"/>
  <c r="BR60" i="4"/>
  <c r="BR59" i="4"/>
  <c r="BR56" i="4"/>
  <c r="BR53" i="4"/>
  <c r="BR57" i="4"/>
  <c r="BR54" i="4"/>
  <c r="BR58" i="4"/>
  <c r="BR52" i="4"/>
  <c r="BR51" i="4"/>
  <c r="BR50" i="4"/>
  <c r="BR37" i="4"/>
  <c r="BR49" i="4"/>
  <c r="BR48" i="4"/>
  <c r="BP27" i="4"/>
  <c r="BR40" i="4"/>
  <c r="BP28" i="4"/>
  <c r="BV37" i="4" s="1"/>
  <c r="T37" i="4" s="1"/>
  <c r="BR41" i="4"/>
  <c r="BR38" i="4"/>
  <c r="BR46" i="4"/>
  <c r="BR43" i="4"/>
  <c r="BR47" i="4"/>
  <c r="BR42" i="4"/>
  <c r="BR39" i="4"/>
  <c r="BR45" i="4"/>
  <c r="BR44" i="4"/>
  <c r="BO28" i="4"/>
  <c r="BO34" i="4"/>
  <c r="BO27" i="4"/>
  <c r="S76" i="4"/>
  <c r="S100" i="4"/>
  <c r="T94" i="4"/>
  <c r="R78" i="4"/>
  <c r="T107" i="4"/>
  <c r="T93" i="4"/>
  <c r="R85" i="4"/>
  <c r="S41" i="4"/>
  <c r="S38" i="4"/>
  <c r="T78" i="4"/>
  <c r="S90" i="4"/>
  <c r="S61" i="4"/>
  <c r="Q97" i="4"/>
  <c r="T84" i="4"/>
  <c r="T79" i="4"/>
  <c r="R93" i="4"/>
  <c r="Q107" i="4"/>
  <c r="S40" i="4"/>
  <c r="T83" i="4"/>
  <c r="R82" i="4"/>
  <c r="R110" i="4"/>
  <c r="T108" i="4"/>
  <c r="R104" i="4"/>
  <c r="S107" i="4"/>
  <c r="S67" i="4"/>
  <c r="Q75" i="4"/>
  <c r="Q76" i="4"/>
  <c r="Q37" i="4"/>
  <c r="Q50" i="4"/>
  <c r="R96" i="4"/>
  <c r="T98" i="4"/>
  <c r="R90" i="4"/>
  <c r="Q110" i="4"/>
  <c r="R97" i="4"/>
  <c r="Q55" i="4"/>
  <c r="Q64" i="4"/>
  <c r="R111" i="4"/>
  <c r="S59" i="4"/>
  <c r="R86" i="4"/>
  <c r="Q89" i="4"/>
  <c r="T99" i="4"/>
  <c r="R92" i="4"/>
  <c r="Q43" i="4"/>
  <c r="Q41" i="4"/>
  <c r="Q84" i="4"/>
  <c r="S103" i="4"/>
  <c r="T95" i="4"/>
  <c r="Q83" i="4"/>
  <c r="T109" i="4"/>
  <c r="Q72" i="4"/>
  <c r="S89" i="4"/>
  <c r="R98" i="4"/>
  <c r="T113" i="4"/>
  <c r="R88" i="4"/>
  <c r="S111" i="4"/>
  <c r="Q51" i="4"/>
  <c r="Q113" i="4"/>
  <c r="Q111" i="4"/>
  <c r="S101" i="4"/>
  <c r="Q60" i="4"/>
  <c r="Q101" i="4"/>
  <c r="S77" i="4"/>
  <c r="S105" i="4"/>
  <c r="S58" i="4"/>
  <c r="S64" i="4"/>
  <c r="S80" i="4"/>
  <c r="Q115" i="4"/>
  <c r="S81" i="4"/>
  <c r="Q58" i="4"/>
  <c r="T103" i="4"/>
  <c r="R102" i="4"/>
  <c r="S43" i="4"/>
  <c r="S62" i="4"/>
  <c r="T115" i="4"/>
  <c r="R114" i="4"/>
  <c r="T101" i="4"/>
  <c r="R108" i="4"/>
  <c r="R100" i="4"/>
  <c r="Q42" i="4"/>
  <c r="S48" i="4"/>
  <c r="T105" i="4"/>
  <c r="T82" i="4"/>
  <c r="R95" i="4"/>
  <c r="Q104" i="4"/>
  <c r="S98" i="4"/>
  <c r="Q40" i="4"/>
  <c r="R80" i="4"/>
  <c r="Q95" i="4"/>
  <c r="Q65" i="4"/>
  <c r="Q67" i="4"/>
  <c r="T100" i="4"/>
  <c r="T90" i="4"/>
  <c r="Q46" i="4"/>
  <c r="S83" i="4"/>
  <c r="S46" i="4"/>
  <c r="S102" i="4"/>
  <c r="Q49" i="4"/>
  <c r="R116" i="4"/>
  <c r="R107" i="4"/>
  <c r="T91" i="4"/>
  <c r="Q114" i="4"/>
  <c r="R83" i="4"/>
  <c r="Q78" i="4"/>
  <c r="T89" i="4"/>
  <c r="S116" i="4"/>
  <c r="S115" i="4"/>
  <c r="S68" i="4"/>
  <c r="Q62" i="4"/>
  <c r="R77" i="4"/>
  <c r="T92" i="4"/>
  <c r="S45" i="4"/>
  <c r="Q109" i="4"/>
  <c r="Q71" i="4"/>
  <c r="S71" i="4"/>
  <c r="S70" i="4"/>
  <c r="S37" i="4"/>
  <c r="S39" i="4"/>
  <c r="Q91" i="4"/>
  <c r="S74" i="4"/>
  <c r="S95" i="4"/>
  <c r="R84" i="4"/>
  <c r="Q73" i="4"/>
  <c r="S49" i="4"/>
  <c r="S60" i="4"/>
  <c r="T110" i="4"/>
  <c r="Q57" i="4"/>
  <c r="S65" i="4"/>
  <c r="S87" i="4"/>
  <c r="T112" i="4"/>
  <c r="T104" i="4"/>
  <c r="Q81" i="4"/>
  <c r="S44" i="4"/>
  <c r="Q112" i="4"/>
  <c r="S69" i="4"/>
  <c r="S114" i="4"/>
  <c r="Q68" i="4"/>
  <c r="S57" i="4"/>
  <c r="S72" i="4"/>
  <c r="S104" i="4"/>
  <c r="T77" i="4"/>
  <c r="Q98" i="4"/>
  <c r="S88" i="4"/>
  <c r="R94" i="4"/>
  <c r="T81" i="4"/>
  <c r="Q93" i="4"/>
  <c r="Q86" i="4"/>
  <c r="S86" i="4"/>
  <c r="S75" i="4"/>
  <c r="Q39" i="4"/>
  <c r="Q77" i="4"/>
  <c r="Q59" i="4"/>
  <c r="T86" i="4"/>
  <c r="S99" i="4"/>
  <c r="S78" i="4"/>
  <c r="T96" i="4"/>
  <c r="T114" i="4"/>
  <c r="Q54" i="4"/>
  <c r="S108" i="4"/>
  <c r="S109" i="4"/>
  <c r="T106" i="4"/>
  <c r="Q92" i="4"/>
  <c r="S94" i="4"/>
  <c r="R79" i="4"/>
  <c r="Q96" i="4"/>
  <c r="R101" i="4"/>
  <c r="R113" i="4"/>
  <c r="T102" i="4"/>
  <c r="R103" i="4"/>
  <c r="R106" i="4"/>
  <c r="Q94" i="4"/>
  <c r="Q105" i="4"/>
  <c r="S51" i="4"/>
  <c r="S92" i="4"/>
  <c r="Q88" i="4"/>
  <c r="S54" i="4"/>
  <c r="S97" i="4"/>
  <c r="S96" i="4"/>
  <c r="Q87" i="4"/>
  <c r="S47" i="4"/>
  <c r="Q106" i="4"/>
  <c r="Q38" i="4"/>
  <c r="S93" i="4"/>
  <c r="R99" i="4"/>
  <c r="Q100" i="4"/>
  <c r="S91" i="4"/>
  <c r="Q47" i="4"/>
  <c r="Q63" i="4"/>
  <c r="R115" i="4"/>
  <c r="T116" i="4"/>
  <c r="R87" i="4"/>
  <c r="Q103" i="4"/>
  <c r="Q61" i="4"/>
  <c r="T111" i="4"/>
  <c r="T97" i="4"/>
  <c r="R89" i="4"/>
  <c r="S42" i="4"/>
  <c r="S63" i="4"/>
  <c r="Q66" i="4"/>
  <c r="Q69" i="4"/>
  <c r="S56" i="4"/>
  <c r="S73" i="4"/>
  <c r="S85" i="4"/>
  <c r="T80" i="4"/>
  <c r="S66" i="4"/>
  <c r="Q108" i="4"/>
  <c r="S53" i="4"/>
  <c r="Q52" i="4"/>
  <c r="Q48" i="4"/>
  <c r="S55" i="4"/>
  <c r="Q70" i="4"/>
  <c r="Q99" i="4"/>
  <c r="Q85" i="4"/>
  <c r="S82" i="4"/>
  <c r="R81" i="4"/>
  <c r="S50" i="4"/>
  <c r="Q102" i="4"/>
  <c r="S106" i="4"/>
  <c r="T88" i="4"/>
  <c r="Q90" i="4"/>
  <c r="S112" i="4"/>
  <c r="R109" i="4"/>
  <c r="T87" i="4"/>
  <c r="R91" i="4"/>
  <c r="Q74" i="4"/>
  <c r="T85" i="4"/>
  <c r="R105" i="4"/>
  <c r="Q44" i="4"/>
  <c r="Q80" i="4"/>
  <c r="Q79" i="4"/>
  <c r="Q116" i="4"/>
  <c r="S113" i="4"/>
  <c r="S79" i="4"/>
  <c r="S52" i="4"/>
  <c r="Q56" i="4"/>
  <c r="Q82" i="4"/>
  <c r="S110" i="4"/>
  <c r="R112" i="4"/>
  <c r="Q53" i="4"/>
  <c r="Q45" i="4"/>
  <c r="S84" i="4"/>
  <c r="BS109" i="9" l="1"/>
  <c r="BS70" i="4"/>
  <c r="BS55" i="4"/>
  <c r="BS60" i="4"/>
  <c r="BS68" i="4"/>
  <c r="BS58" i="4"/>
  <c r="BS74" i="4"/>
  <c r="BS65" i="4"/>
  <c r="BS54" i="4"/>
  <c r="BS69" i="4"/>
  <c r="BS66" i="4"/>
  <c r="BS67" i="4"/>
  <c r="BS52" i="4"/>
  <c r="BS59" i="4"/>
  <c r="BS76" i="4"/>
  <c r="BS62" i="4"/>
  <c r="BS72" i="4"/>
  <c r="BS56" i="4"/>
  <c r="BS57" i="4"/>
  <c r="BS61" i="4"/>
  <c r="BS53" i="4"/>
  <c r="BS64" i="4"/>
  <c r="BS75" i="4"/>
  <c r="BS51" i="4"/>
  <c r="BS50" i="4"/>
  <c r="BS71" i="4"/>
  <c r="BS63" i="4"/>
  <c r="BS73" i="4"/>
  <c r="BQ72" i="4"/>
  <c r="BU72" i="4" s="1"/>
  <c r="R72" i="4" s="1"/>
  <c r="BQ69" i="4"/>
  <c r="BU69" i="4" s="1"/>
  <c r="R69" i="4" s="1"/>
  <c r="BQ74" i="4"/>
  <c r="BU74" i="4" s="1"/>
  <c r="R74" i="4" s="1"/>
  <c r="BQ70" i="4"/>
  <c r="BU70" i="4" s="1"/>
  <c r="R70" i="4" s="1"/>
  <c r="BQ71" i="4"/>
  <c r="BU71" i="4" s="1"/>
  <c r="R71" i="4" s="1"/>
  <c r="BQ76" i="4"/>
  <c r="BU76" i="4" s="1"/>
  <c r="R76" i="4" s="1"/>
  <c r="BQ73" i="4"/>
  <c r="BU73" i="4" s="1"/>
  <c r="R73" i="4" s="1"/>
  <c r="BQ75" i="4"/>
  <c r="BU75" i="4" s="1"/>
  <c r="R75" i="4" s="1"/>
  <c r="BT49" i="4"/>
  <c r="BT70" i="4"/>
  <c r="BT55" i="4"/>
  <c r="BT60" i="4"/>
  <c r="BT68" i="4"/>
  <c r="BT54" i="4"/>
  <c r="BT74" i="4"/>
  <c r="BT65" i="4"/>
  <c r="BT58" i="4"/>
  <c r="AW58" i="4" s="1"/>
  <c r="BT66" i="4"/>
  <c r="BT67" i="4"/>
  <c r="BT52" i="4"/>
  <c r="BT59" i="4"/>
  <c r="BT76" i="4"/>
  <c r="BT62" i="4"/>
  <c r="BT72" i="4"/>
  <c r="BT56" i="4"/>
  <c r="BT57" i="4"/>
  <c r="BT61" i="4"/>
  <c r="BT53" i="4"/>
  <c r="BT64" i="4"/>
  <c r="BT75" i="4"/>
  <c r="BT51" i="4"/>
  <c r="BT50" i="4"/>
  <c r="BT71" i="4"/>
  <c r="BT63" i="4"/>
  <c r="BT69" i="4"/>
  <c r="BT73" i="4"/>
  <c r="BV50" i="4"/>
  <c r="T50" i="4" s="1"/>
  <c r="BV51" i="4"/>
  <c r="T51" i="4" s="1"/>
  <c r="BV52" i="4"/>
  <c r="T52" i="4" s="1"/>
  <c r="BV58" i="4"/>
  <c r="T58" i="4" s="1"/>
  <c r="BV54" i="4"/>
  <c r="T54" i="4" s="1"/>
  <c r="BV57" i="4"/>
  <c r="T57" i="4" s="1"/>
  <c r="BV53" i="4"/>
  <c r="T53" i="4" s="1"/>
  <c r="BV56" i="4"/>
  <c r="T56" i="4" s="1"/>
  <c r="BV59" i="4"/>
  <c r="T59" i="4" s="1"/>
  <c r="BV60" i="4"/>
  <c r="T60" i="4" s="1"/>
  <c r="BV55" i="4"/>
  <c r="T55" i="4" s="1"/>
  <c r="BV65" i="4"/>
  <c r="T65" i="4" s="1"/>
  <c r="BV63" i="4"/>
  <c r="T63" i="4" s="1"/>
  <c r="BV64" i="4"/>
  <c r="T64" i="4" s="1"/>
  <c r="BV62" i="4"/>
  <c r="T62" i="4" s="1"/>
  <c r="BV61" i="4"/>
  <c r="T61" i="4" s="1"/>
  <c r="BV66" i="4"/>
  <c r="T66" i="4" s="1"/>
  <c r="BV67" i="4"/>
  <c r="T67" i="4" s="1"/>
  <c r="BV68" i="4"/>
  <c r="T68" i="4" s="1"/>
  <c r="BV74" i="4"/>
  <c r="T74" i="4" s="1"/>
  <c r="BV69" i="4"/>
  <c r="T69" i="4" s="1"/>
  <c r="BV75" i="4"/>
  <c r="T75" i="4" s="1"/>
  <c r="BV72" i="4"/>
  <c r="T72" i="4" s="1"/>
  <c r="BV71" i="4"/>
  <c r="T71" i="4" s="1"/>
  <c r="BV76" i="4"/>
  <c r="T76" i="4" s="1"/>
  <c r="BV73" i="4"/>
  <c r="T73" i="4" s="1"/>
  <c r="BV70" i="4"/>
  <c r="T70" i="4" s="1"/>
  <c r="BQ66" i="4"/>
  <c r="BU66" i="4" s="1"/>
  <c r="R66" i="4" s="1"/>
  <c r="BQ62" i="4"/>
  <c r="BU62" i="4" s="1"/>
  <c r="R62" i="4" s="1"/>
  <c r="BQ65" i="4"/>
  <c r="BU65" i="4" s="1"/>
  <c r="R65" i="4" s="1"/>
  <c r="BQ61" i="4"/>
  <c r="BU61" i="4" s="1"/>
  <c r="R61" i="4" s="1"/>
  <c r="BQ64" i="4"/>
  <c r="BU64" i="4" s="1"/>
  <c r="R64" i="4" s="1"/>
  <c r="BQ63" i="4"/>
  <c r="BU63" i="4" s="1"/>
  <c r="R63" i="4" s="1"/>
  <c r="BQ67" i="4"/>
  <c r="BU67" i="4" s="1"/>
  <c r="R67" i="4" s="1"/>
  <c r="BQ68" i="4"/>
  <c r="BU68" i="4" s="1"/>
  <c r="R68" i="4" s="1"/>
  <c r="BQ59" i="4"/>
  <c r="BU59" i="4" s="1"/>
  <c r="R59" i="4" s="1"/>
  <c r="BQ55" i="4"/>
  <c r="BU55" i="4" s="1"/>
  <c r="R55" i="4" s="1"/>
  <c r="BQ53" i="4"/>
  <c r="BU53" i="4" s="1"/>
  <c r="R53" i="4" s="1"/>
  <c r="BQ54" i="4"/>
  <c r="BU54" i="4" s="1"/>
  <c r="R54" i="4" s="1"/>
  <c r="BQ57" i="4"/>
  <c r="BU57" i="4" s="1"/>
  <c r="R57" i="4" s="1"/>
  <c r="BQ60" i="4"/>
  <c r="BU60" i="4" s="1"/>
  <c r="R60" i="4" s="1"/>
  <c r="BQ58" i="4"/>
  <c r="BU58" i="4" s="1"/>
  <c r="R58" i="4" s="1"/>
  <c r="BQ56" i="4"/>
  <c r="BU56" i="4" s="1"/>
  <c r="R56" i="4" s="1"/>
  <c r="BQ51" i="4"/>
  <c r="BU51" i="4" s="1"/>
  <c r="R51" i="4" s="1"/>
  <c r="BQ50" i="4"/>
  <c r="BU50" i="4" s="1"/>
  <c r="R50" i="4" s="1"/>
  <c r="BQ52" i="4"/>
  <c r="BU52" i="4" s="1"/>
  <c r="R52" i="4" s="1"/>
  <c r="BS48" i="4"/>
  <c r="BS49" i="4"/>
  <c r="AW49" i="4" s="1"/>
  <c r="BV49" i="4"/>
  <c r="T49" i="4" s="1"/>
  <c r="BQ48" i="4"/>
  <c r="BQ49" i="4"/>
  <c r="BU49" i="4" s="1"/>
  <c r="R49" i="4" s="1"/>
  <c r="BV48" i="4"/>
  <c r="T48" i="4" s="1"/>
  <c r="BU48" i="4"/>
  <c r="R48" i="4" s="1"/>
  <c r="BT45" i="4"/>
  <c r="BT48" i="4"/>
  <c r="AW48" i="4" s="1"/>
  <c r="BV43" i="4"/>
  <c r="T43" i="4" s="1"/>
  <c r="BV45" i="4"/>
  <c r="T45" i="4" s="1"/>
  <c r="BT42" i="4"/>
  <c r="BV42" i="4"/>
  <c r="T42" i="4" s="1"/>
  <c r="BT44" i="4"/>
  <c r="BT47" i="4"/>
  <c r="BV46" i="4"/>
  <c r="T46" i="4" s="1"/>
  <c r="BV40" i="4"/>
  <c r="T40" i="4" s="1"/>
  <c r="BT37" i="4"/>
  <c r="BP29" i="4"/>
  <c r="BV41" i="4"/>
  <c r="T41" i="4" s="1"/>
  <c r="BT39" i="4"/>
  <c r="BT46" i="4"/>
  <c r="BT43" i="4"/>
  <c r="BT40" i="4"/>
  <c r="BT41" i="4"/>
  <c r="BT38" i="4"/>
  <c r="BV44" i="4"/>
  <c r="T44" i="4" s="1"/>
  <c r="BV47" i="4"/>
  <c r="T47" i="4" s="1"/>
  <c r="BV39" i="4"/>
  <c r="T39" i="4" s="1"/>
  <c r="BV38" i="4"/>
  <c r="T38" i="4" s="1"/>
  <c r="BS42" i="4"/>
  <c r="BS38" i="4"/>
  <c r="BS44" i="4"/>
  <c r="BS39" i="4"/>
  <c r="BS43" i="4"/>
  <c r="BS47" i="4"/>
  <c r="BS46" i="4"/>
  <c r="BS40" i="4"/>
  <c r="BS45" i="4"/>
  <c r="BQ46" i="4"/>
  <c r="BU46" i="4" s="1"/>
  <c r="R46" i="4" s="1"/>
  <c r="BQ42" i="4"/>
  <c r="BU42" i="4" s="1"/>
  <c r="R42" i="4" s="1"/>
  <c r="BQ43" i="4"/>
  <c r="BU43" i="4" s="1"/>
  <c r="R43" i="4" s="1"/>
  <c r="BQ40" i="4"/>
  <c r="BU40" i="4" s="1"/>
  <c r="R40" i="4" s="1"/>
  <c r="BQ38" i="4"/>
  <c r="BU38" i="4" s="1"/>
  <c r="R38" i="4" s="1"/>
  <c r="BQ47" i="4"/>
  <c r="BU47" i="4" s="1"/>
  <c r="R47" i="4" s="1"/>
  <c r="BQ39" i="4"/>
  <c r="BU39" i="4" s="1"/>
  <c r="R39" i="4" s="1"/>
  <c r="BQ44" i="4"/>
  <c r="BU44" i="4" s="1"/>
  <c r="R44" i="4" s="1"/>
  <c r="BQ45" i="4"/>
  <c r="BU45" i="4" s="1"/>
  <c r="R45" i="4" s="1"/>
  <c r="BO29" i="4"/>
  <c r="BS41" i="4"/>
  <c r="BS37" i="4"/>
  <c r="BQ37" i="4"/>
  <c r="BU37" i="4" s="1"/>
  <c r="R37" i="4" s="1"/>
  <c r="BS113" i="9" s="1"/>
  <c r="G92" i="9" s="1"/>
  <c r="BQ41" i="4"/>
  <c r="BU41" i="4" s="1"/>
  <c r="R41" i="4" s="1"/>
  <c r="G96" i="9" l="1"/>
  <c r="H96" i="9"/>
  <c r="BS108" i="9"/>
  <c r="AW73" i="4"/>
  <c r="AW63" i="4"/>
  <c r="AW71" i="4"/>
  <c r="AW50" i="4"/>
  <c r="AW51" i="4"/>
  <c r="AW75" i="4"/>
  <c r="AW64" i="4"/>
  <c r="AW53" i="4"/>
  <c r="AW61" i="4"/>
  <c r="AW57" i="4"/>
  <c r="AW56" i="4"/>
  <c r="AW72" i="4"/>
  <c r="AW62" i="4"/>
  <c r="AW76" i="4"/>
  <c r="AW59" i="4"/>
  <c r="AW52" i="4"/>
  <c r="AW67" i="4"/>
  <c r="AW66" i="4"/>
  <c r="AW69" i="4"/>
  <c r="AW54" i="4"/>
  <c r="AW65" i="4"/>
  <c r="AW74" i="4"/>
  <c r="AW68" i="4"/>
  <c r="AW60" i="4"/>
  <c r="AW55" i="4"/>
  <c r="AW70" i="4"/>
  <c r="AW45" i="4"/>
  <c r="AW43" i="4"/>
  <c r="AW42" i="4"/>
  <c r="AW37" i="4"/>
  <c r="AW44" i="4"/>
  <c r="AW47" i="4"/>
  <c r="AW41" i="4"/>
  <c r="AW39" i="4"/>
  <c r="BP30" i="4"/>
  <c r="S35" i="4"/>
  <c r="AW40" i="4"/>
  <c r="AW46" i="4"/>
  <c r="AW38" i="4"/>
  <c r="BO30" i="4"/>
  <c r="Q35" i="4"/>
  <c r="G95" i="9" l="1"/>
  <c r="H95" i="9"/>
  <c r="BS112" i="9"/>
  <c r="G91" i="9" s="1"/>
  <c r="AW35" i="4"/>
  <c r="T118" i="4" s="1"/>
  <c r="Q34" i="4"/>
  <c r="S118" i="4"/>
</calcChain>
</file>

<file path=xl/comments1.xml><?xml version="1.0" encoding="utf-8"?>
<comments xmlns="http://schemas.openxmlformats.org/spreadsheetml/2006/main">
  <authors>
    <author>Bruce Lightfoot</author>
  </authors>
  <commentList>
    <comment ref="AB26" authorId="0">
      <text>
        <r>
          <rPr>
            <b/>
            <sz val="8"/>
            <color indexed="81"/>
            <rFont val="Tahoma"/>
            <family val="2"/>
          </rPr>
          <t>Bruce Lightfoot:</t>
        </r>
        <r>
          <rPr>
            <sz val="8"/>
            <color indexed="81"/>
            <rFont val="Tahoma"/>
            <family val="2"/>
          </rPr>
          <t xml:space="preserve">
Modified formula assumes that Cu does not vary with Air Movement level and reads only from the Standard Air Movement zone of the named range. (Formerly used second zone when Air Movement = H.)</t>
        </r>
      </text>
    </comment>
    <comment ref="AD26" authorId="0">
      <text>
        <r>
          <rPr>
            <b/>
            <sz val="8"/>
            <color indexed="81"/>
            <rFont val="Tahoma"/>
            <family val="2"/>
          </rPr>
          <t>Bruce Lightfoot:</t>
        </r>
        <r>
          <rPr>
            <sz val="8"/>
            <color indexed="81"/>
            <rFont val="Tahoma"/>
            <family val="2"/>
          </rPr>
          <t xml:space="preserve">
Modified formula assumes that Cu does not vary with Air Movement level and reads only from the Standard Air Movement zone of the named range. (Formerly used second zone when Air Movement = H.)</t>
        </r>
      </text>
    </comment>
    <comment ref="AR26" authorId="0">
      <text>
        <r>
          <rPr>
            <b/>
            <sz val="9"/>
            <color indexed="81"/>
            <rFont val="Tahoma"/>
            <family val="2"/>
          </rPr>
          <t>Bruce Lightfoot:</t>
        </r>
        <r>
          <rPr>
            <sz val="9"/>
            <color indexed="81"/>
            <rFont val="Tahoma"/>
            <family val="2"/>
          </rPr>
          <t xml:space="preserve">
Array formula (for compatibility with Excel 2003) counts upper level input issues and inactive rows in the glazing elements table with flagged issues (but not alerts).</t>
        </r>
      </text>
    </comment>
    <comment ref="BO26" authorId="0">
      <text>
        <r>
          <rPr>
            <b/>
            <sz val="8"/>
            <color indexed="81"/>
            <rFont val="Tahoma"/>
            <family val="2"/>
          </rPr>
          <t>Bruce Lightfoot:</t>
        </r>
        <r>
          <rPr>
            <sz val="8"/>
            <color indexed="81"/>
            <rFont val="Tahoma"/>
            <family val="2"/>
          </rPr>
          <t xml:space="preserve">
Set to zero if ConductanceAccess is zero to avoid Divide by Zero errors. Result is not displayed.</t>
        </r>
      </text>
    </comment>
    <comment ref="AC27" authorId="0">
      <text>
        <r>
          <rPr>
            <b/>
            <sz val="8"/>
            <color indexed="81"/>
            <rFont val="Tahoma"/>
            <family val="2"/>
          </rPr>
          <t>Bruce Lightfoot:</t>
        </r>
        <r>
          <rPr>
            <sz val="8"/>
            <color indexed="81"/>
            <rFont val="Tahoma"/>
            <family val="2"/>
          </rPr>
          <t xml:space="preserve">
This formula and its Type B companion may be redundant.</t>
        </r>
      </text>
    </comment>
    <comment ref="AD27" authorId="0">
      <text>
        <r>
          <rPr>
            <b/>
            <sz val="8"/>
            <color indexed="81"/>
            <rFont val="Tahoma"/>
            <family val="2"/>
          </rPr>
          <t>Bruce Lightfoot:</t>
        </r>
        <r>
          <rPr>
            <sz val="8"/>
            <color indexed="81"/>
            <rFont val="Tahoma"/>
            <family val="2"/>
          </rPr>
          <t xml:space="preserve">
Formulae deleted after changing references in former dependent (below) to refer to equivalent for Type A.</t>
        </r>
      </text>
    </comment>
    <comment ref="AE27" authorId="0">
      <text>
        <r>
          <rPr>
            <b/>
            <sz val="8"/>
            <color indexed="81"/>
            <rFont val="Tahoma"/>
            <family val="2"/>
          </rPr>
          <t>Bruce Lightfoot:</t>
        </r>
        <r>
          <rPr>
            <sz val="8"/>
            <color indexed="81"/>
            <rFont val="Tahoma"/>
            <family val="2"/>
          </rPr>
          <t xml:space="preserve">
Formulae deleted after changing references in former dependent (below) to refer to equivalent for Type A.</t>
        </r>
      </text>
    </comment>
    <comment ref="B28" authorId="0">
      <text>
        <r>
          <rPr>
            <b/>
            <sz val="8"/>
            <color indexed="81"/>
            <rFont val="Tahoma"/>
            <family val="2"/>
          </rPr>
          <t>Storey :</t>
        </r>
        <r>
          <rPr>
            <sz val="8"/>
            <color indexed="81"/>
            <rFont val="Tahoma"/>
            <family val="2"/>
          </rPr>
          <t xml:space="preserve">
Each storey must be assessed on a separate calculator form.</t>
        </r>
      </text>
    </comment>
    <comment ref="AB28" authorId="0">
      <text>
        <r>
          <rPr>
            <b/>
            <sz val="8"/>
            <color indexed="81"/>
            <rFont val="Tahoma"/>
            <family val="2"/>
          </rPr>
          <t>Bruce Lightfoot:</t>
        </r>
        <r>
          <rPr>
            <sz val="8"/>
            <color indexed="81"/>
            <rFont val="Tahoma"/>
            <family val="2"/>
          </rPr>
          <t xml:space="preserve">
Reviewed and considered suitable for retention.</t>
        </r>
      </text>
    </comment>
    <comment ref="AC28" authorId="0">
      <text>
        <r>
          <rPr>
            <b/>
            <sz val="8"/>
            <color indexed="81"/>
            <rFont val="Tahoma"/>
            <family val="2"/>
          </rPr>
          <t>Bruce Lightfoot:</t>
        </r>
        <r>
          <rPr>
            <sz val="8"/>
            <color indexed="81"/>
            <rFont val="Tahoma"/>
            <family val="2"/>
          </rPr>
          <t xml:space="preserve">
Reviewed and considered suitable for retention.</t>
        </r>
      </text>
    </comment>
    <comment ref="S29" authorId="0">
      <text>
        <r>
          <rPr>
            <b/>
            <sz val="8"/>
            <color indexed="81"/>
            <rFont val="Tahoma"/>
            <family val="2"/>
          </rPr>
          <t>BCA reference:</t>
        </r>
        <r>
          <rPr>
            <sz val="8"/>
            <color indexed="81"/>
            <rFont val="Tahoma"/>
            <family val="2"/>
          </rPr>
          <t xml:space="preserve">
Cu x Area for zone 1 only. Cu only for zones 2-8.</t>
        </r>
      </text>
    </comment>
    <comment ref="AR29" authorId="0">
      <text>
        <r>
          <rPr>
            <b/>
            <sz val="8"/>
            <color indexed="81"/>
            <rFont val="Tahoma"/>
            <family val="2"/>
          </rPr>
          <t>Bruce Lightfoot:</t>
        </r>
        <r>
          <rPr>
            <sz val="8"/>
            <color indexed="81"/>
            <rFont val="Tahoma"/>
            <family val="2"/>
          </rPr>
          <t xml:space="preserve">
Tests whether flagged issues occur only in the last active row (typically during data input). If TRUE, message above calculated outcomes is hidden.</t>
        </r>
      </text>
    </comment>
    <comment ref="B30" authorId="0">
      <text>
        <r>
          <rPr>
            <b/>
            <sz val="8"/>
            <color indexed="81"/>
            <rFont val="Tahoma"/>
            <family val="2"/>
          </rPr>
          <t>BCA reference:</t>
        </r>
        <r>
          <rPr>
            <sz val="8"/>
            <color indexed="81"/>
            <rFont val="Tahoma"/>
            <family val="2"/>
          </rPr>
          <t xml:space="preserve">
Notes to Table 3.12.2.1 explain when 'Standard' and 'High' Air Movement levels apply and permit interpolation for values in between.
</t>
        </r>
        <r>
          <rPr>
            <b/>
            <sz val="8"/>
            <color indexed="81"/>
            <rFont val="Tahoma"/>
            <family val="2"/>
          </rPr>
          <t>Tip:</t>
        </r>
        <r>
          <rPr>
            <sz val="8"/>
            <color indexed="81"/>
            <rFont val="Tahoma"/>
            <family val="2"/>
          </rPr>
          <t xml:space="preserve">
For interpolation, calculate the multiple of the Standard requirement actually achieved and enter just the number (more than 1 but less than 2). A 'x Std' label will be added automatically.
Press Enter or Tab to leave the cell.</t>
        </r>
      </text>
    </comment>
    <comment ref="F32" authorId="0">
      <text>
        <r>
          <rPr>
            <b/>
            <sz val="8"/>
            <color indexed="81"/>
            <rFont val="Tahoma"/>
            <family val="2"/>
          </rPr>
          <t>Tip:</t>
        </r>
        <r>
          <rPr>
            <sz val="8"/>
            <color indexed="81"/>
            <rFont val="Tahoma"/>
            <family val="2"/>
          </rPr>
          <t xml:space="preserve">
Type the number of rows preferred (max 80) and press Enter or Tab to leave the cell. Follow the instruction that pops up beside this cell.</t>
        </r>
      </text>
    </comment>
    <comment ref="X32" authorId="0">
      <text>
        <r>
          <rPr>
            <b/>
            <sz val="8"/>
            <color indexed="81"/>
            <rFont val="Tahoma"/>
            <family val="2"/>
          </rPr>
          <t>Bruce Lightfoot:</t>
        </r>
        <r>
          <rPr>
            <sz val="8"/>
            <color indexed="81"/>
            <rFont val="Tahoma"/>
            <family val="2"/>
          </rPr>
          <t xml:space="preserve">
Font size in this cell sets height of this row for calculator form.</t>
        </r>
      </text>
    </comment>
    <comment ref="AC32" authorId="0">
      <text>
        <r>
          <rPr>
            <b/>
            <sz val="8"/>
            <color indexed="81"/>
            <rFont val="Tahoma"/>
            <family val="2"/>
          </rPr>
          <t>Bruce Lightfoot:</t>
        </r>
        <r>
          <rPr>
            <sz val="8"/>
            <color indexed="81"/>
            <rFont val="Tahoma"/>
            <family val="2"/>
          </rPr>
          <t xml:space="preserve">
Rounded to 1 decimal place to match decimals displayed on Calculator form (21.7.09)</t>
        </r>
      </text>
    </comment>
    <comment ref="Y34" authorId="0">
      <text>
        <r>
          <rPr>
            <b/>
            <sz val="8"/>
            <color indexed="81"/>
            <rFont val="Tahoma"/>
            <family val="2"/>
          </rPr>
          <t>Bruce Lightfoot:</t>
        </r>
        <r>
          <rPr>
            <sz val="8"/>
            <color indexed="81"/>
            <rFont val="Tahoma"/>
            <family val="2"/>
          </rPr>
          <t xml:space="preserve">
Row height controlled by unseen font in this cell to ensure sufficient height for text box over table titles (without obscuring borders).</t>
        </r>
      </text>
    </comment>
    <comment ref="AL34" authorId="0">
      <text>
        <r>
          <rPr>
            <b/>
            <sz val="8"/>
            <color indexed="81"/>
            <rFont val="Tahoma"/>
            <family val="2"/>
          </rPr>
          <t>Bruce Lightfoot:</t>
        </r>
        <r>
          <rPr>
            <sz val="8"/>
            <color indexed="81"/>
            <rFont val="Tahoma"/>
            <family val="2"/>
          </rPr>
          <t xml:space="preserve">
Tests can return TRUE only when a valid element size has been given.</t>
        </r>
      </text>
    </comment>
    <comment ref="AO34" authorId="0">
      <text>
        <r>
          <rPr>
            <b/>
            <sz val="8"/>
            <color indexed="81"/>
            <rFont val="Tahoma"/>
            <family val="2"/>
          </rPr>
          <t>Bruce Lightfoot:</t>
        </r>
        <r>
          <rPr>
            <sz val="8"/>
            <color indexed="81"/>
            <rFont val="Tahoma"/>
            <family val="2"/>
          </rPr>
          <t xml:space="preserve">
Tests can return TRUE only when a valid element size has been given.</t>
        </r>
      </text>
    </comment>
    <comment ref="B35" authorId="0">
      <text>
        <r>
          <rPr>
            <b/>
            <sz val="8"/>
            <color indexed="81"/>
            <rFont val="Tahoma"/>
            <family val="2"/>
          </rPr>
          <t>Tip:</t>
        </r>
        <r>
          <rPr>
            <sz val="8"/>
            <color indexed="81"/>
            <rFont val="Tahoma"/>
            <family val="2"/>
          </rPr>
          <t xml:space="preserve">
The arrow below controls the number of rows displayed in the table.
</t>
        </r>
        <r>
          <rPr>
            <b/>
            <sz val="8"/>
            <color indexed="81"/>
            <rFont val="Tahoma"/>
            <family val="2"/>
          </rPr>
          <t>First set the number of rows preferred above the table.</t>
        </r>
        <r>
          <rPr>
            <sz val="8"/>
            <color indexed="81"/>
            <rFont val="Tahoma"/>
            <family val="2"/>
          </rPr>
          <t xml:space="preserve"> Then click the arrow and select the single number set from the drop down list. </t>
        </r>
      </text>
    </comment>
    <comment ref="I35" authorId="0">
      <text>
        <r>
          <rPr>
            <b/>
            <sz val="8"/>
            <color indexed="81"/>
            <rFont val="Tahoma"/>
            <family val="2"/>
          </rPr>
          <t>Tip:</t>
        </r>
        <r>
          <rPr>
            <sz val="8"/>
            <color indexed="81"/>
            <rFont val="Tahoma"/>
            <family val="2"/>
          </rPr>
          <t xml:space="preserve">
The Calculator compares Height x Width (even if they are blank) with any Area given and uses the larger value in calculations.
Any Width or Area value NOT used will be shown in </t>
        </r>
        <r>
          <rPr>
            <i/>
            <sz val="8"/>
            <color indexed="23"/>
            <rFont val="Tahoma"/>
            <family val="2"/>
          </rPr>
          <t>grey italics</t>
        </r>
        <r>
          <rPr>
            <sz val="8"/>
            <color indexed="81"/>
            <rFont val="Tahoma"/>
            <family val="2"/>
          </rPr>
          <t xml:space="preserve"> and the value in the 'Area used' column will be in </t>
        </r>
        <r>
          <rPr>
            <b/>
            <sz val="8"/>
            <color indexed="52"/>
            <rFont val="Tahoma"/>
            <family val="2"/>
          </rPr>
          <t>orange bold</t>
        </r>
        <r>
          <rPr>
            <sz val="8"/>
            <color indexed="81"/>
            <rFont val="Tahoma"/>
            <family val="2"/>
          </rPr>
          <t xml:space="preserve"> font to show that there are conflicting inputs.</t>
        </r>
      </text>
    </comment>
    <comment ref="AI35" authorId="0">
      <text>
        <r>
          <rPr>
            <b/>
            <sz val="8"/>
            <color indexed="81"/>
            <rFont val="Tahoma"/>
            <family val="2"/>
          </rPr>
          <t>Bruce Lightfoot:</t>
        </r>
        <r>
          <rPr>
            <sz val="8"/>
            <color indexed="81"/>
            <rFont val="Tahoma"/>
            <family val="2"/>
          </rPr>
          <t xml:space="preserve">
No count since column below is for conditional formatting only.</t>
        </r>
      </text>
    </comment>
    <comment ref="BM35" authorId="0">
      <text>
        <r>
          <rPr>
            <b/>
            <sz val="8"/>
            <color indexed="81"/>
            <rFont val="Tahoma"/>
            <family val="2"/>
          </rPr>
          <t>Bruce Lightfoot:</t>
        </r>
        <r>
          <rPr>
            <sz val="8"/>
            <color indexed="81"/>
            <rFont val="Tahoma"/>
            <family val="2"/>
          </rPr>
          <t xml:space="preserve">
The conductance allowances for zones 2-8 are calculated by multiplying this result (only) by the nominated Cu value. For zone 1, this value is set to 1 and the allowance is the product of Cu and the Floor area.</t>
        </r>
      </text>
    </comment>
    <comment ref="BX35" authorId="0">
      <text>
        <r>
          <rPr>
            <b/>
            <sz val="8"/>
            <color indexed="81"/>
            <rFont val="Tahoma"/>
            <family val="2"/>
          </rPr>
          <t>Tip:</t>
        </r>
        <r>
          <rPr>
            <sz val="8"/>
            <color indexed="81"/>
            <rFont val="Tahoma"/>
            <family val="2"/>
          </rPr>
          <t xml:space="preserve">
</t>
        </r>
        <r>
          <rPr>
            <sz val="8"/>
            <color indexed="81"/>
            <rFont val="Tahoma"/>
            <family val="2"/>
          </rPr>
          <t>The Calculator compares height x width (even if they are blank) with any area given and uses the larger value in calculations</t>
        </r>
        <r>
          <rPr>
            <sz val="8"/>
            <color indexed="81"/>
            <rFont val="Tahoma"/>
            <family val="2"/>
          </rPr>
          <t>.
Any width or area value NOT used will be shown in grey italics and the value in the "area used" column will be in red bold font to show that there are conflicting inputs.</t>
        </r>
      </text>
    </comment>
    <comment ref="BY35" authorId="0">
      <text>
        <r>
          <rPr>
            <b/>
            <sz val="8"/>
            <color indexed="81"/>
            <rFont val="Tahoma"/>
            <family val="2"/>
          </rPr>
          <t>Tip:</t>
        </r>
        <r>
          <rPr>
            <sz val="8"/>
            <color indexed="81"/>
            <rFont val="Tahoma"/>
            <family val="2"/>
          </rPr>
          <t xml:space="preserve">
</t>
        </r>
        <r>
          <rPr>
            <sz val="8"/>
            <color indexed="81"/>
            <rFont val="Tahoma"/>
            <family val="2"/>
          </rPr>
          <t>The Calculator compares height x width (even if they are blank) with any area given and uses the larger value in calculations</t>
        </r>
        <r>
          <rPr>
            <sz val="8"/>
            <color indexed="81"/>
            <rFont val="Tahoma"/>
            <family val="2"/>
          </rPr>
          <t>.
Any width or area value NOT used will be shown in grey italics and the value in the "area used" column will be in red bold font to show that there are conflicting inputs.</t>
        </r>
      </text>
    </comment>
    <comment ref="BZ35" authorId="0">
      <text>
        <r>
          <rPr>
            <b/>
            <sz val="8"/>
            <color indexed="81"/>
            <rFont val="Tahoma"/>
            <family val="2"/>
          </rPr>
          <t>Tip:</t>
        </r>
        <r>
          <rPr>
            <sz val="8"/>
            <color indexed="81"/>
            <rFont val="Tahoma"/>
            <family val="2"/>
          </rPr>
          <t xml:space="preserve">
</t>
        </r>
        <r>
          <rPr>
            <sz val="8"/>
            <color indexed="81"/>
            <rFont val="Tahoma"/>
            <family val="2"/>
          </rPr>
          <t>The Calculator compares height x width (even if they are blank) with any area given and uses the larger value in calculations</t>
        </r>
        <r>
          <rPr>
            <sz val="8"/>
            <color indexed="81"/>
            <rFont val="Tahoma"/>
            <family val="2"/>
          </rPr>
          <t>.
Any width or area value NOT used will be shown in grey italics and the value in the "area used" column will be in red bold font to show that there are conflicting inputs.</t>
        </r>
      </text>
    </comment>
    <comment ref="C36" authorId="0">
      <text>
        <r>
          <rPr>
            <b/>
            <sz val="8"/>
            <color indexed="81"/>
            <rFont val="Tahoma"/>
            <family val="2"/>
          </rPr>
          <t>Tip:</t>
        </r>
        <r>
          <rPr>
            <sz val="8"/>
            <color indexed="81"/>
            <rFont val="Tahoma"/>
            <family val="2"/>
          </rPr>
          <t xml:space="preserve">
Glazing element identification.
Numbers 1 to 80 are shown by default but any identifying code can be used if preferred. (Longer descriptions can be used in next column.)</t>
        </r>
      </text>
    </comment>
    <comment ref="D36" authorId="0">
      <text>
        <r>
          <rPr>
            <b/>
            <sz val="8"/>
            <color indexed="81"/>
            <rFont val="Tahoma"/>
            <family val="2"/>
          </rPr>
          <t>Tip:</t>
        </r>
        <r>
          <rPr>
            <sz val="8"/>
            <color indexed="81"/>
            <rFont val="Tahoma"/>
            <family val="2"/>
          </rPr>
          <t xml:space="preserve">
This column can be used for (short) descriptions such as location or window type.</t>
        </r>
      </text>
    </comment>
    <comment ref="F36" authorId="0">
      <text>
        <r>
          <rPr>
            <b/>
            <sz val="8"/>
            <color indexed="81"/>
            <rFont val="Tahoma"/>
            <family val="2"/>
          </rPr>
          <t>BCA reference:</t>
        </r>
        <r>
          <rPr>
            <sz val="8"/>
            <color indexed="81"/>
            <rFont val="Tahoma"/>
            <family val="2"/>
          </rPr>
          <t xml:space="preserve">
Figure 3.12.2.1
</t>
        </r>
        <r>
          <rPr>
            <b/>
            <sz val="8"/>
            <color indexed="81"/>
            <rFont val="Tahoma"/>
            <family val="2"/>
          </rPr>
          <t>Tip:</t>
        </r>
        <r>
          <rPr>
            <sz val="8"/>
            <color indexed="81"/>
            <rFont val="Tahoma"/>
            <family val="2"/>
          </rPr>
          <t xml:space="preserve">
Use the initials of the orientation sectors shown in Figure 3.12.2.1 (N, NE, E, etc). A drop down list will be available when inputs above this table are complete.</t>
        </r>
      </text>
    </comment>
    <comment ref="G36" authorId="0">
      <text>
        <r>
          <rPr>
            <b/>
            <sz val="8"/>
            <color indexed="81"/>
            <rFont val="Tahoma"/>
            <family val="2"/>
          </rPr>
          <t>Tip:</t>
        </r>
        <r>
          <rPr>
            <sz val="8"/>
            <color indexed="81"/>
            <rFont val="Tahoma"/>
            <family val="2"/>
          </rPr>
          <t xml:space="preserve">
</t>
        </r>
        <r>
          <rPr>
            <sz val="8"/>
            <color indexed="81"/>
            <rFont val="Tahoma"/>
            <family val="2"/>
          </rPr>
          <t>Rectangular</t>
        </r>
        <r>
          <rPr>
            <sz val="8"/>
            <color indexed="81"/>
            <rFont val="Tahoma"/>
            <family val="2"/>
          </rPr>
          <t xml:space="preserve"> </t>
        </r>
        <r>
          <rPr>
            <sz val="8"/>
            <color indexed="81"/>
            <rFont val="Tahoma"/>
            <family val="2"/>
          </rPr>
          <t>glazing</t>
        </r>
        <r>
          <rPr>
            <sz val="8"/>
            <color indexed="81"/>
            <rFont val="Tahoma"/>
            <family val="2"/>
          </rPr>
          <t xml:space="preserve"> elements can be described by Height and Width or simply by Area. If Height and Width are used, do not enter a value for Area.
Non-rectangular elements must be described by Area and the Height must be given if a shading projection is used.
</t>
        </r>
        <r>
          <rPr>
            <b/>
            <sz val="8"/>
            <color indexed="81"/>
            <rFont val="Tahoma"/>
            <family val="2"/>
          </rPr>
          <t>In all cases, include the area of frames.</t>
        </r>
      </text>
    </comment>
    <comment ref="I36" authorId="0">
      <text>
        <r>
          <rPr>
            <b/>
            <sz val="8"/>
            <color indexed="81"/>
            <rFont val="Tahoma"/>
            <family val="2"/>
          </rPr>
          <t>Tip:</t>
        </r>
        <r>
          <rPr>
            <sz val="8"/>
            <color indexed="81"/>
            <rFont val="Tahoma"/>
            <family val="2"/>
          </rPr>
          <t xml:space="preserve">
</t>
        </r>
        <r>
          <rPr>
            <sz val="8"/>
            <color indexed="81"/>
            <rFont val="Tahoma"/>
            <family val="2"/>
          </rPr>
          <t>Glazing</t>
        </r>
        <r>
          <rPr>
            <sz val="8"/>
            <color indexed="81"/>
            <rFont val="Tahoma"/>
            <family val="2"/>
          </rPr>
          <t xml:space="preserve"> elements that share the same glass and frame type, face the same orientation sector and have the same shading P/H value can be combined into a single notional element whose Area can be recorded here.
The Area of individual </t>
        </r>
        <r>
          <rPr>
            <sz val="8"/>
            <color indexed="81"/>
            <rFont val="Tahoma"/>
            <family val="2"/>
          </rPr>
          <t>glazing</t>
        </r>
        <r>
          <rPr>
            <sz val="8"/>
            <color indexed="81"/>
            <rFont val="Tahoma"/>
            <family val="2"/>
          </rPr>
          <t xml:space="preserve"> elements can also be recorded here instead of listing Height and Width separately. </t>
        </r>
        <r>
          <rPr>
            <b/>
            <sz val="8"/>
            <color indexed="81"/>
            <rFont val="Tahoma"/>
            <family val="2"/>
          </rPr>
          <t>This is essential for non-rectangular shapes.</t>
        </r>
      </text>
    </comment>
    <comment ref="J36" authorId="0">
      <text>
        <r>
          <rPr>
            <b/>
            <sz val="8"/>
            <color indexed="81"/>
            <rFont val="Tahoma"/>
            <family val="2"/>
          </rPr>
          <t>Tip:</t>
        </r>
        <r>
          <rPr>
            <sz val="8"/>
            <color indexed="81"/>
            <rFont val="Tahoma"/>
            <family val="2"/>
          </rPr>
          <t xml:space="preserve">
U-Value data in NFRC 100-2001 format is based on the US National Fenestration Rating Council's NFRC 100-2001 Winter conditions.
Glazing systems that are simulated or physically tested, in accordance with NFRC or Australian Fenestration Rating Council (AFRC) procedures and protocols, are acceptable sources of such Total System U-Values.</t>
        </r>
      </text>
    </comment>
    <comment ref="K36" authorId="0">
      <text>
        <r>
          <rPr>
            <b/>
            <sz val="8"/>
            <color indexed="81"/>
            <rFont val="Tahoma"/>
            <family val="2"/>
          </rPr>
          <t>Tip:</t>
        </r>
        <r>
          <rPr>
            <sz val="8"/>
            <color indexed="81"/>
            <rFont val="Tahoma"/>
            <family val="2"/>
          </rPr>
          <t xml:space="preserve">
SHGC data in NFRC 100-2001 format is based on the US National Fenestration Rating Council's NFRC 100-2001 Summer conditions.
Glazing systems that are simulated or physically tested, in accordance with NFRC or Australian Fenestration Rating Council (AFRC) procedures and protocols, are acceptable sources of such Total System SHGCs.
</t>
        </r>
      </text>
    </comment>
    <comment ref="L36" authorId="0">
      <text>
        <r>
          <rPr>
            <b/>
            <sz val="8"/>
            <color indexed="81"/>
            <rFont val="Tahoma"/>
            <family val="2"/>
          </rPr>
          <t>BCA reference:</t>
        </r>
        <r>
          <rPr>
            <sz val="8"/>
            <color indexed="81"/>
            <rFont val="Tahoma"/>
            <family val="2"/>
          </rPr>
          <t xml:space="preserve">
Figure 3.12.2.2
</t>
        </r>
        <r>
          <rPr>
            <b/>
            <sz val="8"/>
            <color indexed="81"/>
            <rFont val="Tahoma"/>
            <family val="2"/>
          </rPr>
          <t>Tip:</t>
        </r>
        <r>
          <rPr>
            <sz val="8"/>
            <color indexed="81"/>
            <rFont val="Tahoma"/>
            <family val="2"/>
          </rPr>
          <t xml:space="preserve">
P is the horizontal distance from the glass face to the shadow casting edge of the projection. If shading is provided by a shading device in accordance with 3.12.2.2(b), enter </t>
        </r>
        <r>
          <rPr>
            <b/>
            <sz val="8"/>
            <color indexed="81"/>
            <rFont val="Tahoma"/>
            <family val="2"/>
          </rPr>
          <t>device</t>
        </r>
        <r>
          <rPr>
            <sz val="8"/>
            <color indexed="81"/>
            <rFont val="Tahoma"/>
            <family val="2"/>
          </rPr>
          <t xml:space="preserve">.
</t>
        </r>
        <r>
          <rPr>
            <i/>
            <sz val="8"/>
            <color indexed="12"/>
            <rFont val="Tahoma"/>
            <family val="2"/>
          </rPr>
          <t>Blue italics</t>
        </r>
        <r>
          <rPr>
            <sz val="8"/>
            <color indexed="81"/>
            <rFont val="Tahoma"/>
            <family val="2"/>
          </rPr>
          <t xml:space="preserve"> indicate either that an H value issue is present or that the P value shown has been discounted when calculating P/H. (See Tip for H.)</t>
        </r>
      </text>
    </comment>
    <comment ref="M36" authorId="0">
      <text>
        <r>
          <rPr>
            <b/>
            <sz val="8"/>
            <color indexed="81"/>
            <rFont val="Tahoma"/>
            <family val="2"/>
          </rPr>
          <t>BCA reference:</t>
        </r>
        <r>
          <rPr>
            <sz val="8"/>
            <color indexed="81"/>
            <rFont val="Tahoma"/>
            <family val="2"/>
          </rPr>
          <t xml:space="preserve">
Figure 3.12.2.2
</t>
        </r>
        <r>
          <rPr>
            <b/>
            <sz val="8"/>
            <color indexed="81"/>
            <rFont val="Tahoma"/>
            <family val="2"/>
          </rPr>
          <t>Tip:</t>
        </r>
        <r>
          <rPr>
            <sz val="8"/>
            <color indexed="81"/>
            <rFont val="Tahoma"/>
            <family val="2"/>
          </rPr>
          <t xml:space="preserve">
H is the vertical distance from the </t>
        </r>
        <r>
          <rPr>
            <b/>
            <sz val="8"/>
            <color indexed="81"/>
            <rFont val="Tahoma"/>
            <family val="2"/>
          </rPr>
          <t>base</t>
        </r>
        <r>
          <rPr>
            <sz val="8"/>
            <color indexed="81"/>
            <rFont val="Tahoma"/>
            <family val="2"/>
          </rPr>
          <t xml:space="preserve"> of the </t>
        </r>
        <r>
          <rPr>
            <sz val="8"/>
            <color indexed="81"/>
            <rFont val="Tahoma"/>
            <family val="2"/>
          </rPr>
          <t>glazing</t>
        </r>
        <r>
          <rPr>
            <sz val="8"/>
            <color indexed="81"/>
            <rFont val="Tahoma"/>
            <family val="2"/>
          </rPr>
          <t xml:space="preserve"> to the shadow casting edge of the projection.
When the edge is more than 0.5m above the head of the </t>
        </r>
        <r>
          <rPr>
            <sz val="8"/>
            <color indexed="81"/>
            <rFont val="Tahoma"/>
            <family val="2"/>
          </rPr>
          <t>glazing,</t>
        </r>
        <r>
          <rPr>
            <sz val="8"/>
            <color indexed="81"/>
            <rFont val="Tahoma"/>
            <family val="2"/>
          </rPr>
          <t xml:space="preserve"> the Calculator will use half of the value of P shown at left.</t>
        </r>
      </text>
    </comment>
    <comment ref="N36" authorId="0">
      <text>
        <r>
          <rPr>
            <b/>
            <sz val="8"/>
            <color indexed="81"/>
            <rFont val="Tahoma"/>
            <family val="2"/>
          </rPr>
          <t>Tip:</t>
        </r>
        <r>
          <rPr>
            <sz val="8"/>
            <color indexed="81"/>
            <rFont val="Tahoma"/>
            <family val="2"/>
          </rPr>
          <t xml:space="preserve">
</t>
        </r>
        <r>
          <rPr>
            <i/>
            <sz val="8"/>
            <color indexed="10"/>
            <rFont val="Tahoma"/>
            <family val="2"/>
          </rPr>
          <t>Red italics</t>
        </r>
        <r>
          <rPr>
            <sz val="8"/>
            <color indexed="81"/>
            <rFont val="Tahoma"/>
            <family val="2"/>
          </rPr>
          <t xml:space="preserve"> indicate that the value of P has been halved because H exceeds the glazing element height by more than 0.5m.
</t>
        </r>
        <r>
          <rPr>
            <b/>
            <sz val="8"/>
            <color indexed="52"/>
            <rFont val="Tahoma"/>
            <family val="2"/>
          </rPr>
          <t>Orange bold</t>
        </r>
        <r>
          <rPr>
            <sz val="8"/>
            <color indexed="81"/>
            <rFont val="Tahoma"/>
            <family val="2"/>
          </rPr>
          <t xml:space="preserve"> font indicates that either the P/H value exceeds the limit of the exposure factor table or shading is provided by a shading device (which must be in accordance with 3.12.2.2(b)). Maximum shading credit is given in both cases.</t>
        </r>
      </text>
    </comment>
    <comment ref="P36" authorId="0">
      <text>
        <r>
          <rPr>
            <b/>
            <sz val="8"/>
            <color indexed="81"/>
            <rFont val="Tahoma"/>
            <family val="2"/>
          </rPr>
          <t>Tip:</t>
        </r>
        <r>
          <rPr>
            <sz val="8"/>
            <color indexed="81"/>
            <rFont val="Tahoma"/>
            <family val="2"/>
          </rPr>
          <t xml:space="preserve">
This is the area used in  calculations. It is either the Height multiplied by the Width (when both are given) or any figure from the Area column - whichever is the larger.</t>
        </r>
      </text>
    </comment>
    <comment ref="Q36" authorId="0">
      <text>
        <r>
          <rPr>
            <b/>
            <sz val="8"/>
            <color indexed="81"/>
            <rFont val="Tahoma"/>
            <family val="2"/>
          </rPr>
          <t>Tip:</t>
        </r>
        <r>
          <rPr>
            <sz val="8"/>
            <color indexed="81"/>
            <rFont val="Tahoma"/>
            <family val="2"/>
          </rPr>
          <t xml:space="preserve">
"winter access" refers to the sum of Area1 x SHGC1 x EW1 etc for all glazing elements listed.</t>
        </r>
      </text>
    </comment>
    <comment ref="R36" authorId="0">
      <text>
        <r>
          <rPr>
            <b/>
            <sz val="8"/>
            <color indexed="81"/>
            <rFont val="Tahoma"/>
            <family val="2"/>
          </rPr>
          <t>Tip:</t>
        </r>
        <r>
          <rPr>
            <sz val="8"/>
            <color indexed="81"/>
            <rFont val="Tahoma"/>
            <family val="2"/>
          </rPr>
          <t xml:space="preserve">
'</t>
        </r>
        <r>
          <rPr>
            <b/>
            <sz val="8"/>
            <color indexed="81"/>
            <rFont val="Tahoma"/>
            <family val="2"/>
          </rPr>
          <t>E</t>
        </r>
        <r>
          <rPr>
            <b/>
            <sz val="8"/>
            <color indexed="81"/>
            <rFont val="Tahoma"/>
            <family val="2"/>
          </rPr>
          <t>lement share</t>
        </r>
        <r>
          <rPr>
            <sz val="8"/>
            <color indexed="81"/>
            <rFont val="Tahoma"/>
            <family val="2"/>
          </rPr>
          <t xml:space="preserve">' refers to the </t>
        </r>
        <r>
          <rPr>
            <b/>
            <sz val="8"/>
            <color indexed="81"/>
            <rFont val="Tahoma"/>
            <family val="2"/>
          </rPr>
          <t>first percentage figure</t>
        </r>
        <r>
          <rPr>
            <sz val="8"/>
            <color indexed="81"/>
            <rFont val="Tahoma"/>
            <family val="2"/>
          </rPr>
          <t xml:space="preserve">. It is the percentage contribution that the </t>
        </r>
        <r>
          <rPr>
            <b/>
            <sz val="8"/>
            <color indexed="81"/>
            <rFont val="Tahoma"/>
            <family val="2"/>
          </rPr>
          <t>individual glazing element</t>
        </r>
        <r>
          <rPr>
            <sz val="8"/>
            <color indexed="81"/>
            <rFont val="Tahoma"/>
            <family val="2"/>
          </rPr>
          <t xml:space="preserve"> makes to the aggregate conductance outcome for its floor type. The figure will be 100% when there is only one </t>
        </r>
        <r>
          <rPr>
            <sz val="8"/>
            <color indexed="81"/>
            <rFont val="Tahoma"/>
            <family val="2"/>
          </rPr>
          <t>glazing</t>
        </r>
        <r>
          <rPr>
            <sz val="8"/>
            <color indexed="81"/>
            <rFont val="Tahoma"/>
            <family val="2"/>
          </rPr>
          <t xml:space="preserve"> element for that floor type.
'</t>
        </r>
        <r>
          <rPr>
            <b/>
            <sz val="8"/>
            <color indexed="81"/>
            <rFont val="Tahoma"/>
            <family val="2"/>
          </rPr>
          <t>% of allowance used</t>
        </r>
        <r>
          <rPr>
            <sz val="8"/>
            <color indexed="81"/>
            <rFont val="Tahoma"/>
            <family val="2"/>
          </rPr>
          <t>'</t>
        </r>
        <r>
          <rPr>
            <sz val="8"/>
            <color indexed="81"/>
            <rFont val="Tahoma"/>
            <family val="2"/>
          </rPr>
          <t xml:space="preserve"> refers to the second percentage figure. It is the portion of the conductance allowance consumed by </t>
        </r>
        <r>
          <rPr>
            <b/>
            <sz val="8"/>
            <color indexed="81"/>
            <rFont val="Tahoma"/>
            <family val="2"/>
          </rPr>
          <t>all glazing elements</t>
        </r>
        <r>
          <rPr>
            <sz val="8"/>
            <color indexed="81"/>
            <rFont val="Tahoma"/>
            <family val="2"/>
          </rPr>
          <t xml:space="preserve"> for the floor type. This value will be greater than 100% when the aggregate conductance of the elements exceeds the conductance allowance. </t>
        </r>
      </text>
    </comment>
    <comment ref="T36" authorId="0">
      <text>
        <r>
          <rPr>
            <b/>
            <sz val="8"/>
            <color indexed="81"/>
            <rFont val="Tahoma"/>
            <family val="2"/>
          </rPr>
          <t>Tip:</t>
        </r>
        <r>
          <rPr>
            <sz val="8"/>
            <color indexed="81"/>
            <rFont val="Tahoma"/>
            <family val="2"/>
          </rPr>
          <t xml:space="preserve">
'</t>
        </r>
        <r>
          <rPr>
            <b/>
            <sz val="8"/>
            <color indexed="81"/>
            <rFont val="Tahoma"/>
            <family val="2"/>
          </rPr>
          <t>E</t>
        </r>
        <r>
          <rPr>
            <b/>
            <sz val="8"/>
            <color indexed="81"/>
            <rFont val="Tahoma"/>
            <family val="2"/>
          </rPr>
          <t>lement share</t>
        </r>
        <r>
          <rPr>
            <sz val="8"/>
            <color indexed="81"/>
            <rFont val="Tahoma"/>
            <family val="2"/>
          </rPr>
          <t xml:space="preserve">' refers to the </t>
        </r>
        <r>
          <rPr>
            <b/>
            <sz val="8"/>
            <color indexed="81"/>
            <rFont val="Tahoma"/>
            <family val="2"/>
          </rPr>
          <t>first percentage figure</t>
        </r>
        <r>
          <rPr>
            <sz val="8"/>
            <color indexed="81"/>
            <rFont val="Tahoma"/>
            <family val="2"/>
          </rPr>
          <t xml:space="preserve">. It is the percentage contribution that the </t>
        </r>
        <r>
          <rPr>
            <b/>
            <sz val="8"/>
            <color indexed="81"/>
            <rFont val="Tahoma"/>
            <family val="2"/>
          </rPr>
          <t>individual glazing element</t>
        </r>
        <r>
          <rPr>
            <sz val="8"/>
            <color indexed="81"/>
            <rFont val="Tahoma"/>
            <family val="2"/>
          </rPr>
          <t xml:space="preserve"> makes to the aggregate solar heat gain outcome for its floor type. The figure will be 100% when there is only one </t>
        </r>
        <r>
          <rPr>
            <sz val="8"/>
            <color indexed="81"/>
            <rFont val="Tahoma"/>
            <family val="2"/>
          </rPr>
          <t>glazing</t>
        </r>
        <r>
          <rPr>
            <sz val="8"/>
            <color indexed="81"/>
            <rFont val="Tahoma"/>
            <family val="2"/>
          </rPr>
          <t xml:space="preserve"> element for that floor type.
'</t>
        </r>
        <r>
          <rPr>
            <b/>
            <sz val="8"/>
            <color indexed="81"/>
            <rFont val="Tahoma"/>
            <family val="2"/>
          </rPr>
          <t>% of allowance used</t>
        </r>
        <r>
          <rPr>
            <sz val="8"/>
            <color indexed="81"/>
            <rFont val="Tahoma"/>
            <family val="2"/>
          </rPr>
          <t>'</t>
        </r>
        <r>
          <rPr>
            <sz val="8"/>
            <color indexed="81"/>
            <rFont val="Tahoma"/>
            <family val="2"/>
          </rPr>
          <t xml:space="preserve"> refers to the second percentage figure. It is the portion of the solar heat gain allowance consumed by </t>
        </r>
        <r>
          <rPr>
            <b/>
            <sz val="8"/>
            <color indexed="81"/>
            <rFont val="Tahoma"/>
            <family val="2"/>
          </rPr>
          <t>all glazing elements</t>
        </r>
        <r>
          <rPr>
            <sz val="8"/>
            <color indexed="81"/>
            <rFont val="Tahoma"/>
            <family val="2"/>
          </rPr>
          <t xml:space="preserve"> for the floor type. This value will be greater than 100% when the aggregate solar heat gain of the elements exceeds the solar heat gain allowance. </t>
        </r>
      </text>
    </comment>
    <comment ref="Z36" authorId="0">
      <text>
        <r>
          <rPr>
            <b/>
            <sz val="8"/>
            <color indexed="81"/>
            <rFont val="Tahoma"/>
            <family val="2"/>
          </rPr>
          <t>Bruce Lightfoot:</t>
        </r>
        <r>
          <rPr>
            <sz val="8"/>
            <color indexed="81"/>
            <rFont val="Tahoma"/>
            <family val="2"/>
          </rPr>
          <t xml:space="preserve">
Values in this column are 1 or 0 only. 1 appears when the row is 'active' and allows counting of 'active' rows presently displayed.</t>
        </r>
      </text>
    </comment>
    <comment ref="AB36" authorId="0">
      <text>
        <r>
          <rPr>
            <b/>
            <sz val="9"/>
            <color indexed="81"/>
            <rFont val="Tahoma"/>
            <family val="2"/>
          </rPr>
          <t>Bruce Lightfoot:</t>
        </r>
        <r>
          <rPr>
            <sz val="9"/>
            <color indexed="81"/>
            <rFont val="Tahoma"/>
            <family val="2"/>
          </rPr>
          <t xml:space="preserve">
Counts all entries to the right of the ID column in each row.</t>
        </r>
      </text>
    </comment>
    <comment ref="AC36" authorId="0">
      <text>
        <r>
          <rPr>
            <b/>
            <sz val="8"/>
            <color indexed="81"/>
            <rFont val="Tahoma"/>
            <family val="2"/>
          </rPr>
          <t>Bruce Lightfoot:</t>
        </r>
        <r>
          <rPr>
            <sz val="8"/>
            <color indexed="81"/>
            <rFont val="Tahoma"/>
            <family val="2"/>
          </rPr>
          <t xml:space="preserve">
A row becomes 'active' once a valid orientation sector has been entered. This indicates only that the row is ready to accept the additional inputs needed for calculations.</t>
        </r>
      </text>
    </comment>
    <comment ref="AD36" authorId="0">
      <text>
        <r>
          <rPr>
            <b/>
            <sz val="8"/>
            <color indexed="81"/>
            <rFont val="Tahoma"/>
            <family val="2"/>
          </rPr>
          <t>Bruce Lightfoot:</t>
        </r>
        <r>
          <rPr>
            <sz val="8"/>
            <color indexed="81"/>
            <rFont val="Tahoma"/>
            <family val="2"/>
          </rPr>
          <t xml:space="preserve">
"data" refers only to the inputs to the right of the Orientation column.</t>
        </r>
      </text>
    </comment>
    <comment ref="AE36" authorId="0">
      <text>
        <r>
          <rPr>
            <b/>
            <sz val="9"/>
            <color indexed="81"/>
            <rFont val="Tahoma"/>
            <family val="2"/>
          </rPr>
          <t>Bruce Lightfoot:</t>
        </r>
        <r>
          <rPr>
            <sz val="9"/>
            <color indexed="81"/>
            <rFont val="Tahoma"/>
            <family val="2"/>
          </rPr>
          <t xml:space="preserve">
Long label (not wrapped) is for use in input alerts.</t>
        </r>
      </text>
    </comment>
    <comment ref="AF36" authorId="0">
      <text>
        <r>
          <rPr>
            <b/>
            <sz val="8"/>
            <color indexed="81"/>
            <rFont val="Tahoma"/>
            <family val="2"/>
          </rPr>
          <t>Bruce Lightfoot:</t>
        </r>
        <r>
          <rPr>
            <sz val="8"/>
            <color indexed="81"/>
            <rFont val="Tahoma"/>
            <family val="2"/>
          </rPr>
          <t xml:space="preserve">
Conditional formatting limitations in pre 2007 versions prevent this condition being shown by colour.</t>
        </r>
      </text>
    </comment>
    <comment ref="AH36" authorId="0">
      <text>
        <r>
          <rPr>
            <b/>
            <sz val="9"/>
            <color indexed="81"/>
            <rFont val="Tahoma"/>
            <family val="2"/>
          </rPr>
          <t>Bruce Lightfoot:</t>
        </r>
        <r>
          <rPr>
            <sz val="9"/>
            <color indexed="81"/>
            <rFont val="Tahoma"/>
            <family val="2"/>
          </rPr>
          <t xml:space="preserve">
Long label (not wrapped) is for use in input alerts.</t>
        </r>
      </text>
    </comment>
    <comment ref="AI36" authorId="0">
      <text>
        <r>
          <rPr>
            <b/>
            <sz val="8"/>
            <color indexed="81"/>
            <rFont val="Tahoma"/>
            <family val="2"/>
          </rPr>
          <t>Bruce Lightfoot:</t>
        </r>
        <r>
          <rPr>
            <sz val="8"/>
            <color indexed="81"/>
            <rFont val="Tahoma"/>
            <family val="2"/>
          </rPr>
          <t xml:space="preserve">
Can evaluate to TRUE only when a width figure has been given.</t>
        </r>
      </text>
    </comment>
    <comment ref="AJ36" authorId="0">
      <text>
        <r>
          <rPr>
            <b/>
            <sz val="9"/>
            <color indexed="81"/>
            <rFont val="Tahoma"/>
            <family val="2"/>
          </rPr>
          <t>Bruce Lightfoot:</t>
        </r>
        <r>
          <rPr>
            <sz val="9"/>
            <color indexed="81"/>
            <rFont val="Tahoma"/>
            <family val="2"/>
          </rPr>
          <t xml:space="preserve">
Evaluation is suppressed until Size details have been provided.</t>
        </r>
      </text>
    </comment>
    <comment ref="AK36" authorId="0">
      <text>
        <r>
          <rPr>
            <b/>
            <sz val="9"/>
            <color indexed="81"/>
            <rFont val="Tahoma"/>
            <family val="2"/>
          </rPr>
          <t>Bruce Lightfoot:</t>
        </r>
        <r>
          <rPr>
            <sz val="9"/>
            <color indexed="81"/>
            <rFont val="Tahoma"/>
            <family val="2"/>
          </rPr>
          <t xml:space="preserve">
Separator shown in this heading will be used when both U-Value and SHGC are needed.</t>
        </r>
      </text>
    </comment>
    <comment ref="AR36" authorId="0">
      <text>
        <r>
          <rPr>
            <b/>
            <sz val="9"/>
            <color indexed="81"/>
            <rFont val="Tahoma"/>
            <family val="2"/>
          </rPr>
          <t>Bruce Lightfoot:</t>
        </r>
        <r>
          <rPr>
            <sz val="9"/>
            <color indexed="81"/>
            <rFont val="Tahoma"/>
            <family val="2"/>
          </rPr>
          <t xml:space="preserve">
Note that some issues are not flagged until preceding issues have been cleared. This total does not necessarily include all issues present at any one time.</t>
        </r>
      </text>
    </comment>
    <comment ref="AS36" authorId="0">
      <text>
        <r>
          <rPr>
            <b/>
            <sz val="8"/>
            <color indexed="81"/>
            <rFont val="Tahoma"/>
            <family val="2"/>
          </rPr>
          <t>Bruce Lightfoot:</t>
        </r>
        <r>
          <rPr>
            <sz val="8"/>
            <color indexed="81"/>
            <rFont val="Tahoma"/>
            <family val="2"/>
          </rPr>
          <t xml:space="preserve">
"Advice" label will be used when the next row of the table has no data anywhere in the row.</t>
        </r>
      </text>
    </comment>
    <comment ref="AT36" authorId="0">
      <text>
        <r>
          <rPr>
            <b/>
            <sz val="8"/>
            <color indexed="81"/>
            <rFont val="Tahoma"/>
            <family val="2"/>
          </rPr>
          <t>Bruce Lightfoot:</t>
        </r>
        <r>
          <rPr>
            <sz val="8"/>
            <color indexed="81"/>
            <rFont val="Tahoma"/>
            <family val="2"/>
          </rPr>
          <t xml:space="preserve">
Test can return TRUE only when a glazing height (h) has been given.</t>
        </r>
      </text>
    </comment>
    <comment ref="BC36" authorId="0">
      <text>
        <r>
          <rPr>
            <b/>
            <sz val="8"/>
            <color indexed="81"/>
            <rFont val="Tahoma"/>
            <family val="2"/>
          </rPr>
          <t xml:space="preserve">Bruce Lightfoot:
</t>
        </r>
        <r>
          <rPr>
            <sz val="8"/>
            <color indexed="81"/>
            <rFont val="Tahoma"/>
            <family val="2"/>
          </rPr>
          <t>Font set to 8 point since t</t>
        </r>
        <r>
          <rPr>
            <sz val="8"/>
            <color indexed="81"/>
            <rFont val="Tahoma"/>
            <family val="2"/>
          </rPr>
          <t>his column may include FALSE.</t>
        </r>
      </text>
    </comment>
    <comment ref="BD36" authorId="0">
      <text>
        <r>
          <rPr>
            <b/>
            <sz val="8"/>
            <color indexed="81"/>
            <rFont val="Tahoma"/>
            <family val="2"/>
          </rPr>
          <t>Bruce Lightfoot:</t>
        </r>
        <r>
          <rPr>
            <sz val="8"/>
            <color indexed="81"/>
            <rFont val="Tahoma"/>
            <family val="2"/>
          </rPr>
          <t xml:space="preserve">
10.00 appears for active elements when Zone is zero to avoid lookup failures and downstream effects.</t>
        </r>
      </text>
    </comment>
    <comment ref="BG36" authorId="0">
      <text>
        <r>
          <rPr>
            <b/>
            <sz val="8"/>
            <color indexed="81"/>
            <rFont val="Tahoma"/>
            <family val="2"/>
          </rPr>
          <t>Bruce Lightfoot:</t>
        </r>
        <r>
          <rPr>
            <sz val="8"/>
            <color indexed="81"/>
            <rFont val="Tahoma"/>
            <family val="2"/>
          </rPr>
          <t xml:space="preserve">
Interpolated E value. (Labelled "actual" to suit column width.)
10.00 will appear when Zone is zero.</t>
        </r>
      </text>
    </comment>
    <comment ref="BI36" authorId="0">
      <text>
        <r>
          <rPr>
            <b/>
            <sz val="8"/>
            <color indexed="81"/>
            <rFont val="Tahoma"/>
            <family val="2"/>
          </rPr>
          <t>Bruce Lightfoot:</t>
        </r>
        <r>
          <rPr>
            <sz val="8"/>
            <color indexed="81"/>
            <rFont val="Tahoma"/>
            <family val="2"/>
          </rPr>
          <t xml:space="preserve">
10.00 appears for active elements when Zone is zero to avoid lookup failures and downstream effects.</t>
        </r>
      </text>
    </comment>
    <comment ref="BL36" authorId="0">
      <text>
        <r>
          <rPr>
            <b/>
            <sz val="8"/>
            <color indexed="81"/>
            <rFont val="Tahoma"/>
            <family val="2"/>
          </rPr>
          <t>Bruce Lightfoot:</t>
        </r>
        <r>
          <rPr>
            <sz val="8"/>
            <color indexed="81"/>
            <rFont val="Tahoma"/>
            <family val="2"/>
          </rPr>
          <t xml:space="preserve">
Interpolated E value. (Labelled "actual" to suit column width.)
10.00 will appear when Zone is zero.</t>
        </r>
      </text>
    </comment>
    <comment ref="BM36" authorId="0">
      <text>
        <r>
          <rPr>
            <b/>
            <sz val="8"/>
            <color indexed="81"/>
            <rFont val="Tahoma"/>
            <family val="2"/>
          </rPr>
          <t>Bruce Lightfoot:</t>
        </r>
        <r>
          <rPr>
            <sz val="8"/>
            <color indexed="81"/>
            <rFont val="Tahoma"/>
            <family val="2"/>
          </rPr>
          <t xml:space="preserve">
These results are referred to "Access" and their sum is multiplied with Cu (for zones 2-8).</t>
        </r>
      </text>
    </comment>
    <comment ref="BO36" authorId="0">
      <text>
        <r>
          <rPr>
            <b/>
            <sz val="8"/>
            <color indexed="81"/>
            <rFont val="Tahoma"/>
            <family val="2"/>
          </rPr>
          <t>Bruce Lightfoot:</t>
        </r>
        <r>
          <rPr>
            <sz val="8"/>
            <color indexed="81"/>
            <rFont val="Tahoma"/>
            <family val="2"/>
          </rPr>
          <t xml:space="preserve">
These values accumulate to form the numerator of the fraction in the left hand side of the Conductance equation. The denominator is transferred to the right hand side by using it to multiply Cu and create the Conductance allowance.</t>
        </r>
      </text>
    </comment>
    <comment ref="BQ36" authorId="0">
      <text>
        <r>
          <rPr>
            <b/>
            <sz val="8"/>
            <color indexed="81"/>
            <rFont val="Tahoma"/>
            <family val="2"/>
          </rPr>
          <t>Bruce Lightfoot:</t>
        </r>
        <r>
          <rPr>
            <sz val="8"/>
            <color indexed="81"/>
            <rFont val="Tahoma"/>
            <family val="2"/>
          </rPr>
          <t xml:space="preserve">
Formulae adjusted to refer to combined result 18.10.09.</t>
        </r>
      </text>
    </comment>
    <comment ref="BU36" authorId="0">
      <text>
        <r>
          <rPr>
            <b/>
            <sz val="8"/>
            <color indexed="81"/>
            <rFont val="Tahoma"/>
            <family val="2"/>
          </rPr>
          <t>Bruce Lightfoot:</t>
        </r>
        <r>
          <rPr>
            <sz val="8"/>
            <color indexed="81"/>
            <rFont val="Tahoma"/>
            <family val="2"/>
          </rPr>
          <t xml:space="preserve">
"Label" is the string that appears in the "% share of % of allowance" column.</t>
        </r>
      </text>
    </comment>
    <comment ref="AW37" authorId="0">
      <text>
        <r>
          <rPr>
            <b/>
            <sz val="8"/>
            <color indexed="81"/>
            <rFont val="Tahoma"/>
            <family val="2"/>
          </rPr>
          <t>Bruce Lightfoot:</t>
        </r>
        <r>
          <rPr>
            <sz val="8"/>
            <color indexed="81"/>
            <rFont val="Tahoma"/>
            <family val="2"/>
          </rPr>
          <t xml:space="preserve">
Formula tests for completion of inputs before allowing display of compliance failures.</t>
        </r>
      </text>
    </comment>
    <comment ref="M150" authorId="0">
      <text>
        <r>
          <rPr>
            <b/>
            <sz val="9"/>
            <color indexed="81"/>
            <rFont val="Tahoma"/>
            <family val="2"/>
          </rPr>
          <t>Bruce Lightfoot:</t>
        </r>
        <r>
          <rPr>
            <sz val="9"/>
            <color indexed="81"/>
            <rFont val="Tahoma"/>
            <family val="2"/>
          </rPr>
          <t xml:space="preserve">
This count refers to the lengths of alert strings calculated below.</t>
        </r>
      </text>
    </comment>
    <comment ref="N150" authorId="0">
      <text>
        <r>
          <rPr>
            <b/>
            <sz val="9"/>
            <color indexed="81"/>
            <rFont val="Tahoma"/>
            <family val="2"/>
          </rPr>
          <t>Bruce Lightfoot:</t>
        </r>
        <r>
          <rPr>
            <sz val="9"/>
            <color indexed="81"/>
            <rFont val="Tahoma"/>
            <family val="2"/>
          </rPr>
          <t xml:space="preserve">
This count refers to the lengths of alert strings calculated below.</t>
        </r>
      </text>
    </comment>
    <comment ref="Q150" authorId="0">
      <text>
        <r>
          <rPr>
            <b/>
            <sz val="9"/>
            <color indexed="81"/>
            <rFont val="Tahoma"/>
            <family val="2"/>
          </rPr>
          <t>Bruce Lightfoot:</t>
        </r>
        <r>
          <rPr>
            <sz val="9"/>
            <color indexed="81"/>
            <rFont val="Tahoma"/>
            <family val="2"/>
          </rPr>
          <t xml:space="preserve">
Sum of Alerts and Issues</t>
        </r>
      </text>
    </comment>
    <comment ref="H154" authorId="0">
      <text>
        <r>
          <rPr>
            <b/>
            <sz val="8"/>
            <color indexed="81"/>
            <rFont val="Tahoma"/>
            <family val="2"/>
          </rPr>
          <t>Bruce Lightfoot:</t>
        </r>
        <r>
          <rPr>
            <sz val="8"/>
            <color indexed="81"/>
            <rFont val="Tahoma"/>
            <family val="2"/>
          </rPr>
          <t xml:space="preserve">
Leading spaces to control alignment and coverage of input box title</t>
        </r>
      </text>
    </comment>
    <comment ref="H155" authorId="0">
      <text>
        <r>
          <rPr>
            <b/>
            <sz val="8"/>
            <color indexed="81"/>
            <rFont val="Tahoma"/>
            <family val="2"/>
          </rPr>
          <t>Bruce Lightfoot:</t>
        </r>
        <r>
          <rPr>
            <sz val="8"/>
            <color indexed="81"/>
            <rFont val="Tahoma"/>
            <family val="2"/>
          </rPr>
          <t xml:space="preserve">
Leading space added to text box message 9.6.09</t>
        </r>
      </text>
    </comment>
    <comment ref="E156" authorId="0">
      <text>
        <r>
          <rPr>
            <b/>
            <sz val="8"/>
            <color indexed="81"/>
            <rFont val="Tahoma"/>
            <family val="2"/>
          </rPr>
          <t>Bruce Lightfoot:</t>
        </r>
        <r>
          <rPr>
            <sz val="8"/>
            <color indexed="81"/>
            <rFont val="Tahoma"/>
            <family val="2"/>
          </rPr>
          <t xml:space="preserve">
'Glazing' means at least one glazing element has a sector assigned.</t>
        </r>
      </text>
    </comment>
    <comment ref="H156" authorId="0">
      <text>
        <r>
          <rPr>
            <b/>
            <sz val="8"/>
            <color indexed="81"/>
            <rFont val="Tahoma"/>
            <family val="2"/>
          </rPr>
          <t>Bruce Lightfoot:</t>
        </r>
        <r>
          <rPr>
            <sz val="8"/>
            <color indexed="81"/>
            <rFont val="Tahoma"/>
            <family val="2"/>
          </rPr>
          <t xml:space="preserve">
Leading spaces added to text box contents 9.6.09 to control alignment</t>
        </r>
      </text>
    </comment>
    <comment ref="E158" authorId="0">
      <text>
        <r>
          <rPr>
            <b/>
            <sz val="8"/>
            <color indexed="81"/>
            <rFont val="Tahoma"/>
            <family val="2"/>
          </rPr>
          <t>Bruce Lightfoot:</t>
        </r>
        <r>
          <rPr>
            <sz val="8"/>
            <color indexed="81"/>
            <rFont val="Tahoma"/>
            <family val="2"/>
          </rPr>
          <t xml:space="preserve">
"prior" refers to preceding inputs (in cursor order)</t>
        </r>
      </text>
    </comment>
    <comment ref="E159" authorId="0">
      <text>
        <r>
          <rPr>
            <b/>
            <sz val="8"/>
            <color indexed="81"/>
            <rFont val="Tahoma"/>
            <family val="2"/>
          </rPr>
          <t>Bruce Lightfoot:</t>
        </r>
        <r>
          <rPr>
            <sz val="8"/>
            <color indexed="81"/>
            <rFont val="Tahoma"/>
            <family val="2"/>
          </rPr>
          <t xml:space="preserve">
SOU changed to Storey 9.6.09</t>
        </r>
      </text>
    </comment>
    <comment ref="H159" authorId="0">
      <text>
        <r>
          <rPr>
            <b/>
            <sz val="8"/>
            <color indexed="81"/>
            <rFont val="Tahoma"/>
            <family val="2"/>
          </rPr>
          <t>Bruce Lightfoot:</t>
        </r>
        <r>
          <rPr>
            <sz val="8"/>
            <color indexed="81"/>
            <rFont val="Tahoma"/>
            <family val="2"/>
          </rPr>
          <t xml:space="preserve">
Leading spaces added to location error message over normal title when text box is in cell to left.</t>
        </r>
      </text>
    </comment>
    <comment ref="H172" authorId="0">
      <text>
        <r>
          <rPr>
            <b/>
            <sz val="8"/>
            <color indexed="81"/>
            <rFont val="Tahoma"/>
            <family val="2"/>
          </rPr>
          <t>Bruce Lightfoot:</t>
        </r>
        <r>
          <rPr>
            <sz val="8"/>
            <color indexed="81"/>
            <rFont val="Tahoma"/>
            <family val="2"/>
          </rPr>
          <t xml:space="preserve">
Additional condition needed here (in contrast to cells above) due to multiple uses of TopInputsOK. Alert message changed 9.6.09 to suit restricted width in title row.</t>
        </r>
      </text>
    </comment>
    <comment ref="H181" authorId="0">
      <text>
        <r>
          <rPr>
            <b/>
            <sz val="8"/>
            <color indexed="81"/>
            <rFont val="Tahoma"/>
            <family val="2"/>
          </rPr>
          <t>Bruce Lightfoot:</t>
        </r>
        <r>
          <rPr>
            <sz val="8"/>
            <color indexed="81"/>
            <rFont val="Tahoma"/>
            <family val="2"/>
          </rPr>
          <t xml:space="preserve">
This formula formerly supplied an error alert to a text box that is no longer used. Error is now flagged by data validation constraints.</t>
        </r>
      </text>
    </comment>
  </commentList>
</comments>
</file>

<file path=xl/comments2.xml><?xml version="1.0" encoding="utf-8"?>
<comments xmlns="http://schemas.openxmlformats.org/spreadsheetml/2006/main">
  <authors>
    <author>James Bertram</author>
  </authors>
  <commentList>
    <comment ref="G23" authorId="0">
      <text>
        <r>
          <rPr>
            <b/>
            <sz val="9"/>
            <color indexed="81"/>
            <rFont val="Tahoma"/>
            <family val="2"/>
          </rPr>
          <t>James Bertram:</t>
        </r>
        <r>
          <rPr>
            <sz val="9"/>
            <color indexed="81"/>
            <rFont val="Tahoma"/>
            <family val="2"/>
          </rPr>
          <t xml:space="preserve">
This column classifies glazing as added (new) unless nominated as existing.
Protocol B2.1.1 and B2.1.2 are whole-of-storey external glazing calculations.  When glazing is nominated as "existing" in this column, Protocol nominated glazing performance values must be used on the Glazing Calculator.</t>
        </r>
      </text>
    </comment>
    <comment ref="H23" authorId="0">
      <text>
        <r>
          <rPr>
            <b/>
            <sz val="9"/>
            <color indexed="81"/>
            <rFont val="Tahoma"/>
            <family val="2"/>
          </rPr>
          <t>James Bertram:</t>
        </r>
        <r>
          <rPr>
            <sz val="9"/>
            <color indexed="81"/>
            <rFont val="Tahoma"/>
            <family val="2"/>
          </rPr>
          <t xml:space="preserve">
This classification is for Protocol B4.1 calculations.
Only nominate "Yes" if glazing is "Existing" AND "part of the building work", and "No" if the glazing is "Existing" but not part of the building work.
When "No" applies, the glazing is excluded from air movement calculations.</t>
        </r>
      </text>
    </comment>
    <comment ref="J26" authorId="0">
      <text>
        <r>
          <rPr>
            <b/>
            <sz val="9"/>
            <color indexed="81"/>
            <rFont val="Tahoma"/>
            <family val="2"/>
          </rPr>
          <t>James Bertram:</t>
        </r>
        <r>
          <rPr>
            <sz val="9"/>
            <color indexed="81"/>
            <rFont val="Tahoma"/>
            <family val="2"/>
          </rPr>
          <t xml:space="preserve">
Height = vertical dimension from centreline of the transom to the top of the frame.
No value required if full height openable, calculation will use the overall frame height.</t>
        </r>
      </text>
    </comment>
    <comment ref="K26" authorId="0">
      <text>
        <r>
          <rPr>
            <b/>
            <sz val="9"/>
            <color indexed="81"/>
            <rFont val="Tahoma"/>
            <family val="2"/>
          </rPr>
          <t>James Bertram:</t>
        </r>
        <r>
          <rPr>
            <sz val="9"/>
            <color indexed="81"/>
            <rFont val="Tahoma"/>
            <family val="2"/>
          </rPr>
          <t xml:space="preserve">
Width=percentage of the overall glazing width that opens.
For example: a two lite slider with one fixed and one openable = 50%, a three lite slider with two fixed and one openable = 33%.</t>
        </r>
      </text>
    </comment>
    <comment ref="G29" authorId="0">
      <text>
        <r>
          <rPr>
            <b/>
            <sz val="9"/>
            <color indexed="81"/>
            <rFont val="Tahoma"/>
            <family val="2"/>
          </rPr>
          <t>James Bertram:</t>
        </r>
        <r>
          <rPr>
            <sz val="9"/>
            <color indexed="81"/>
            <rFont val="Tahoma"/>
            <family val="2"/>
          </rPr>
          <t xml:space="preserve">
RED="Existing" selected but glazing not shown on GLAZING CALCULATOR</t>
        </r>
      </text>
    </comment>
    <comment ref="H29" authorId="0">
      <text>
        <r>
          <rPr>
            <b/>
            <sz val="9"/>
            <color indexed="81"/>
            <rFont val="Tahoma"/>
            <family val="2"/>
          </rPr>
          <t>James Bertram:</t>
        </r>
        <r>
          <rPr>
            <sz val="9"/>
            <color indexed="81"/>
            <rFont val="Tahoma"/>
            <family val="2"/>
          </rPr>
          <t xml:space="preserve">
RED="Yes" or "No" nominated but the glazing is NOT nominated as "Existing" (glazing not flagged as "Existing" is calculated as "New"), or glazing is nominated as existing and "Yes" or "No" has not been entered.</t>
        </r>
      </text>
    </comment>
    <comment ref="J29" authorId="0">
      <text>
        <r>
          <rPr>
            <b/>
            <sz val="9"/>
            <color indexed="81"/>
            <rFont val="Tahoma"/>
            <family val="2"/>
          </rPr>
          <t>James Bertram:</t>
        </r>
        <r>
          <rPr>
            <sz val="9"/>
            <color indexed="81"/>
            <rFont val="Tahoma"/>
            <family val="2"/>
          </rPr>
          <t xml:space="preserve">
RED=Height from transom is greater than overall frame height, or no height entered into the GLAZING CALCULATOR, or value entered but glazing is nominated as not part the building work</t>
        </r>
      </text>
    </comment>
    <comment ref="K29" authorId="0">
      <text>
        <r>
          <rPr>
            <b/>
            <sz val="9"/>
            <color indexed="81"/>
            <rFont val="Tahoma"/>
            <family val="2"/>
          </rPr>
          <t>James Bertram:</t>
        </r>
        <r>
          <rPr>
            <sz val="9"/>
            <color indexed="81"/>
            <rFont val="Tahoma"/>
            <family val="2"/>
          </rPr>
          <t xml:space="preserve">
RED=percentage entered but no width entered into the GLAZING CALCULATOR or glazing nominated as not part of building work, or no percentage entered and width entered into the GLAZING CALCULATOR or "dot" selected. </t>
        </r>
      </text>
    </comment>
    <comment ref="E71" authorId="0">
      <text>
        <r>
          <rPr>
            <b/>
            <sz val="9"/>
            <color indexed="81"/>
            <rFont val="Tahoma"/>
            <family val="2"/>
          </rPr>
          <t>James Bertram:</t>
        </r>
        <r>
          <rPr>
            <sz val="9"/>
            <color indexed="81"/>
            <rFont val="Tahoma"/>
            <family val="2"/>
          </rPr>
          <t xml:space="preserve">
RED=width entered but no height entered.</t>
        </r>
      </text>
    </comment>
    <comment ref="F71" authorId="0">
      <text>
        <r>
          <rPr>
            <b/>
            <sz val="9"/>
            <color indexed="81"/>
            <rFont val="Tahoma"/>
            <family val="2"/>
          </rPr>
          <t>James Bertram:</t>
        </r>
        <r>
          <rPr>
            <sz val="9"/>
            <color indexed="81"/>
            <rFont val="Tahoma"/>
            <family val="2"/>
          </rPr>
          <t xml:space="preserve">
RED=height entered but no width entered.</t>
        </r>
      </text>
    </comment>
    <comment ref="G71" authorId="0">
      <text>
        <r>
          <rPr>
            <b/>
            <sz val="9"/>
            <color indexed="81"/>
            <rFont val="Tahoma"/>
            <family val="2"/>
          </rPr>
          <t>James Bertram:</t>
        </r>
        <r>
          <rPr>
            <sz val="9"/>
            <color indexed="81"/>
            <rFont val="Tahoma"/>
            <family val="2"/>
          </rPr>
          <t xml:space="preserve">
RED="Existing" selected but no glazing dimensions entered.</t>
        </r>
      </text>
    </comment>
  </commentList>
</comments>
</file>

<file path=xl/sharedStrings.xml><?xml version="1.0" encoding="utf-8"?>
<sst xmlns="http://schemas.openxmlformats.org/spreadsheetml/2006/main" count="834" uniqueCount="613">
  <si>
    <t>Note:</t>
  </si>
  <si>
    <t>NE</t>
  </si>
  <si>
    <t>SE</t>
  </si>
  <si>
    <t>P/H</t>
  </si>
  <si>
    <t xml:space="preserve"> P/H
</t>
  </si>
  <si>
    <r>
      <t xml:space="preserve">P
</t>
    </r>
    <r>
      <rPr>
        <sz val="8"/>
        <rFont val="Arial"/>
        <family val="2"/>
      </rPr>
      <t>(m)</t>
    </r>
  </si>
  <si>
    <r>
      <t xml:space="preserve">H
</t>
    </r>
    <r>
      <rPr>
        <sz val="8"/>
        <rFont val="Arial"/>
        <family val="2"/>
      </rPr>
      <t>(m)</t>
    </r>
  </si>
  <si>
    <t>SW</t>
  </si>
  <si>
    <t>W</t>
  </si>
  <si>
    <t>N</t>
  </si>
  <si>
    <t>E</t>
  </si>
  <si>
    <t>S</t>
  </si>
  <si>
    <t>NW</t>
  </si>
  <si>
    <t>SHADING</t>
  </si>
  <si>
    <t>Notes</t>
  </si>
  <si>
    <t>The visible glazing calculator form relies on off-form calculations to the right of the form and below it. These calculations can be displayed by using outlining controls.</t>
  </si>
  <si>
    <t xml:space="preserve">Data validation constrains "Climate zone" and "Sector faced" values to those shown in BCA tables, "G" to the limits of the DTS shading provisions and "Facade areas" to positive values only. </t>
  </si>
  <si>
    <t>An area can be provided in place of height and width (and the height and width cells will be shaded grey) but, when shading is declared, the glazing height must be given to allow checking that H value is valid.</t>
  </si>
  <si>
    <t>Results of compliance checking are not displayed in the form until all local input issues and errors have been rectified.</t>
  </si>
  <si>
    <t>Notes:</t>
  </si>
  <si>
    <t>This sheet contains instructions for use of the Glazing Calculator.</t>
  </si>
  <si>
    <t>These may be in note form or as annotations to screenshots (once produced).</t>
  </si>
  <si>
    <t>Adding and changing glazing details:</t>
  </si>
  <si>
    <t>The Calculator has been designed to identify anticipated input errors but may not trap all invalid inputs.</t>
  </si>
  <si>
    <t>Printing:</t>
  </si>
  <si>
    <t>Operating system:</t>
  </si>
  <si>
    <t>Tips for using the Glazing Calculator:</t>
  </si>
  <si>
    <t>Size</t>
  </si>
  <si>
    <t>Performance</t>
  </si>
  <si>
    <t>In the body of the form, conditional formatting changes the appearance of cells when they are "active" (sector listed), "incomplete" (essential data missing) or "in error" (data invalid or part of a non-complying façade).</t>
  </si>
  <si>
    <t>Yellow filled cells on the Calculator form are accessible for user input. (Other cells generally cannot be selected or edited, except as noted below for the glazing elements table.)</t>
  </si>
  <si>
    <t>Type A</t>
  </si>
  <si>
    <t>Type B</t>
  </si>
  <si>
    <t>Calculation formulae refer to lookup tables located on a separate sheet (usually hidden). The "HELP" button on the top right of the form hyperlinks to a separate sheet of basic instructions.</t>
  </si>
  <si>
    <t>Conditional formulae and formatting provide advisory messages to assist data input for new users. Their operation is explained below the form in a dedicated section of notes.</t>
  </si>
  <si>
    <t>Displaying the Calculator form:</t>
  </si>
  <si>
    <t>In the explanatory notes that pop up on the form and in the off-form calculations, the terms "orientations" and "sectors" are interchangeable in many contexts.</t>
  </si>
  <si>
    <t>Any of the yellow filled cells can be selected and edited. Adjoining yellow filled cells can be selected in a block (or range) to clear their contents at the same time.</t>
  </si>
  <si>
    <t>Hyperlinks allow navigation between the Calculator and this sheet and this sheet and screenshots.</t>
  </si>
  <si>
    <t>This sheet contains annotated screenshots of the Glazing Calculator.</t>
  </si>
  <si>
    <t>Hyperlinks allow navigation between this sheet, the Help screen and the Calculator form.</t>
  </si>
  <si>
    <t>1.</t>
  </si>
  <si>
    <t>2.</t>
  </si>
  <si>
    <t>Titles of screenshots are by formulae from Help sheet.</t>
  </si>
  <si>
    <t>3.</t>
  </si>
  <si>
    <t>status</t>
  </si>
  <si>
    <t>NoZoneTableActive</t>
  </si>
  <si>
    <t>ActiveA</t>
  </si>
  <si>
    <t>ActiveB</t>
  </si>
  <si>
    <t>Glazing elements table display</t>
  </si>
  <si>
    <t>row active</t>
  </si>
  <si>
    <t>CALCULATION DATA</t>
  </si>
  <si>
    <t>H - h &gt; 0.5m</t>
  </si>
  <si>
    <r>
      <t xml:space="preserve">SUMMER </t>
    </r>
    <r>
      <rPr>
        <i/>
        <sz val="10"/>
        <color indexed="10"/>
        <rFont val="Arial"/>
        <family val="2"/>
      </rPr>
      <t>(taken as December - February in all locations)</t>
    </r>
  </si>
  <si>
    <t>CONSTANTS FOR CONDUCTANCE AND SOLAR HEAT GAIN</t>
  </si>
  <si>
    <r>
      <t>C</t>
    </r>
    <r>
      <rPr>
        <vertAlign val="subscript"/>
        <sz val="10"/>
        <rFont val="Arial"/>
        <family val="2"/>
      </rPr>
      <t>U</t>
    </r>
  </si>
  <si>
    <r>
      <t>C</t>
    </r>
    <r>
      <rPr>
        <vertAlign val="subscript"/>
        <sz val="10"/>
        <rFont val="Arial"/>
        <family val="2"/>
      </rPr>
      <t>SHGC</t>
    </r>
  </si>
  <si>
    <t>Table 3.12.2.1</t>
  </si>
  <si>
    <t>Floor in direct contact with the ground</t>
  </si>
  <si>
    <t>Standard</t>
  </si>
  <si>
    <t>High</t>
  </si>
  <si>
    <t>Suspended floor</t>
  </si>
  <si>
    <t>climate zone</t>
  </si>
  <si>
    <t>CuA</t>
  </si>
  <si>
    <t>CshgcA</t>
  </si>
  <si>
    <t>CuB</t>
  </si>
  <si>
    <t>CshgcB</t>
  </si>
  <si>
    <t>Headings are names of cells below</t>
  </si>
  <si>
    <t>Projections</t>
  </si>
  <si>
    <t xml:space="preserve"> ID</t>
  </si>
  <si>
    <r>
      <t>C</t>
    </r>
    <r>
      <rPr>
        <vertAlign val="subscript"/>
        <sz val="8"/>
        <rFont val="Arial"/>
        <family val="2"/>
      </rPr>
      <t>SHGC</t>
    </r>
    <r>
      <rPr>
        <sz val="8"/>
        <rFont val="Arial"/>
        <family val="2"/>
      </rPr>
      <t xml:space="preserve"> x Area</t>
    </r>
  </si>
  <si>
    <t>inputs OK</t>
  </si>
  <si>
    <t>filled cells</t>
  </si>
  <si>
    <t>visible failure</t>
  </si>
  <si>
    <t>h x w &lt;&gt; area</t>
  </si>
  <si>
    <t>width ignored</t>
  </si>
  <si>
    <t>DudSize</t>
  </si>
  <si>
    <t>DudPerformance</t>
  </si>
  <si>
    <t>DudShading</t>
  </si>
  <si>
    <t>P/H &gt; 2</t>
  </si>
  <si>
    <t>shading active</t>
  </si>
  <si>
    <t>P/H above</t>
  </si>
  <si>
    <t>P/H below</t>
  </si>
  <si>
    <t>P/H interval</t>
  </si>
  <si>
    <t>% interval</t>
  </si>
  <si>
    <t>sector</t>
  </si>
  <si>
    <t>Element outcomes</t>
  </si>
  <si>
    <t>solar heat gain</t>
  </si>
  <si>
    <t>% condct</t>
  </si>
  <si>
    <t>% SHG</t>
  </si>
  <si>
    <t>agg condct fails</t>
  </si>
  <si>
    <t>agg SHG fails</t>
  </si>
  <si>
    <t>DudTableInputs</t>
  </si>
  <si>
    <t>TopInputsOK</t>
  </si>
  <si>
    <t>ALLOWANCES</t>
  </si>
  <si>
    <t>TableEntries</t>
  </si>
  <si>
    <t>VisibleFailures</t>
  </si>
  <si>
    <t>RowsActive</t>
  </si>
  <si>
    <t>RowsOK</t>
  </si>
  <si>
    <t>ShowPassSHG</t>
  </si>
  <si>
    <t>ShowPassCond</t>
  </si>
  <si>
    <t>Keep row below glazing elements table blank to ensure intended operation of autofilter for rows</t>
  </si>
  <si>
    <t>NoSector</t>
  </si>
  <si>
    <t>filled data</t>
  </si>
  <si>
    <t>OrphanData</t>
  </si>
  <si>
    <t>RowsWithData</t>
  </si>
  <si>
    <t>First3Inputs</t>
  </si>
  <si>
    <t>Orientations</t>
  </si>
  <si>
    <r>
      <t>ConstantsA</t>
    </r>
    <r>
      <rPr>
        <sz val="8"/>
        <color indexed="12"/>
        <rFont val="Arial"/>
        <family val="2"/>
      </rPr>
      <t xml:space="preserve"> (contains 2 areas)</t>
    </r>
  </si>
  <si>
    <r>
      <t>ConstantsB</t>
    </r>
    <r>
      <rPr>
        <sz val="8"/>
        <color indexed="12"/>
        <rFont val="Arial"/>
        <family val="2"/>
      </rPr>
      <t xml:space="preserve"> (contains 2 areas)</t>
    </r>
  </si>
  <si>
    <t>EmptyA</t>
  </si>
  <si>
    <t>SectorsInA</t>
  </si>
  <si>
    <t>IMPORTANT NOTICE AND DISCLAIMER IN RESPECT OF THE GLAZING CALCULATOR</t>
  </si>
  <si>
    <t>issue / advice messages</t>
  </si>
  <si>
    <t>InputIssues</t>
  </si>
  <si>
    <t>AllInputsOK</t>
  </si>
  <si>
    <t>master cell for confirmation of inputs</t>
  </si>
  <si>
    <t>Allowance zero when no zone is shown (possible #DIV/0 errors)</t>
  </si>
  <si>
    <t>Error and alert messages:</t>
  </si>
  <si>
    <t>AdviceIssuesOnly</t>
  </si>
  <si>
    <t>Exposure</t>
  </si>
  <si>
    <t>invalid P</t>
  </si>
  <si>
    <t>RowsAvailable</t>
  </si>
  <si>
    <t>RowsDisplayed</t>
  </si>
  <si>
    <t>row</t>
  </si>
  <si>
    <t>show</t>
  </si>
  <si>
    <t>LastActive</t>
  </si>
  <si>
    <t>active shown</t>
  </si>
  <si>
    <t>ActiveDisplayed</t>
  </si>
  <si>
    <t>ActiveHidden</t>
  </si>
  <si>
    <t>% share of allowance (rounded up)</t>
  </si>
  <si>
    <t>move+size</t>
  </si>
  <si>
    <t>move only</t>
  </si>
  <si>
    <t>no move or size</t>
  </si>
  <si>
    <t>rows available in form</t>
  </si>
  <si>
    <t>rows currently displayed</t>
  </si>
  <si>
    <t>first 3 inputs complete</t>
  </si>
  <si>
    <t>Glazing elements inputs</t>
  </si>
  <si>
    <t>shading H needed</t>
  </si>
  <si>
    <t>row height</t>
  </si>
  <si>
    <r>
      <t xml:space="preserve">Height
</t>
    </r>
    <r>
      <rPr>
        <sz val="8"/>
        <rFont val="Arial"/>
        <family val="2"/>
      </rPr>
      <t>(m)</t>
    </r>
  </si>
  <si>
    <r>
      <t xml:space="preserve">Width
</t>
    </r>
    <r>
      <rPr>
        <sz val="8"/>
        <rFont val="Arial"/>
        <family val="2"/>
      </rPr>
      <t>(m)</t>
    </r>
  </si>
  <si>
    <r>
      <t xml:space="preserve">Area
</t>
    </r>
    <r>
      <rPr>
        <sz val="8"/>
        <rFont val="Arial"/>
        <family val="2"/>
      </rPr>
      <t>(m²)</t>
    </r>
  </si>
  <si>
    <t>Element share
of % of
allowance used</t>
  </si>
  <si>
    <r>
      <t xml:space="preserve">Area used
</t>
    </r>
    <r>
      <rPr>
        <sz val="8"/>
        <rFont val="Arial"/>
        <family val="2"/>
      </rPr>
      <t>(m²)</t>
    </r>
  </si>
  <si>
    <r>
      <t xml:space="preserve">P&amp;H </t>
    </r>
    <r>
      <rPr>
        <sz val="8"/>
        <rFont val="Arial"/>
        <family val="2"/>
      </rPr>
      <t xml:space="preserve">or </t>
    </r>
    <r>
      <rPr>
        <b/>
        <sz val="8"/>
        <rFont val="Arial"/>
        <family val="2"/>
      </rPr>
      <t>device</t>
    </r>
  </si>
  <si>
    <t>These Help instructions can be printed (using File | Print) for ready reference while using the Calculator form.</t>
  </si>
  <si>
    <t>Version history:</t>
  </si>
  <si>
    <t>1.01:</t>
  </si>
  <si>
    <t>1.00:</t>
  </si>
  <si>
    <t>•</t>
  </si>
  <si>
    <t>Added this Version history to the Help screen.</t>
  </si>
  <si>
    <t>First public issue.</t>
  </si>
  <si>
    <t>Added a new note 3 to Help notes and revised text of note 18 (formerly note 17).</t>
  </si>
  <si>
    <t>Enhanced input cues for data needed above the glazing elements table.</t>
  </si>
  <si>
    <t>A record of changes made to each version of the Glazing Calculator appears at the end of this Help section. (Scroll down to see the version history.)</t>
  </si>
  <si>
    <t>1.02:</t>
  </si>
  <si>
    <t>Changed second row title of Floor type table to "Area of floor" to match term in Clause 3.12.2.1(a).</t>
  </si>
  <si>
    <t>Fixed display of glazing percentages below Floor type table when both floor types are used.</t>
  </si>
  <si>
    <t>Added input tips (describing Floor types A and B) to the input cells for "Area of floor".</t>
  </si>
  <si>
    <t>DifferenceA / InterpolatedA</t>
  </si>
  <si>
    <t>DifferenceB / InterpolatedB</t>
  </si>
  <si>
    <t xml:space="preserve"> </t>
  </si>
  <si>
    <t>Enabled interpolation of Air Movement levels between Standard and High</t>
  </si>
  <si>
    <t>Users' worksheet:</t>
  </si>
  <si>
    <t>Updated screenshots.</t>
  </si>
  <si>
    <t>Use of this worksheet is optional and responsibility for its contents and consequences remains entirely with the user.</t>
  </si>
  <si>
    <t>This worksheet has been added at the request of industry for recording notes and making calculations (where desired).</t>
  </si>
  <si>
    <t>Added a worksheet for users' notes and calculations (and displayed worksheet tabs for access).</t>
  </si>
  <si>
    <t>Calculation of air movement levels, for example, may be done on the users' worksheet. Cells can be linked by formulae to the Calculator input cells or to cells in other Excel files.</t>
  </si>
  <si>
    <t>To maintain the integrity of the Calculator, this sheet is protected causing some unavoidable restrictions on the functions available.</t>
  </si>
  <si>
    <t>All cells below row 8 are accessible for user input, editing and formatting, subject to the limitations due to protection.</t>
  </si>
  <si>
    <t>Orientation</t>
  </si>
  <si>
    <t>CLIMATE ZONE 1</t>
  </si>
  <si>
    <t>CLIMATE ZONE 2</t>
  </si>
  <si>
    <t>CLIMATE ZONE 3</t>
  </si>
  <si>
    <t>CLIMATE ZONE 4</t>
  </si>
  <si>
    <t>CLIMATE ZONE 5</t>
  </si>
  <si>
    <t>CLIMATE ZONE 6</t>
  </si>
  <si>
    <t>CLIMATE ZONE 7</t>
  </si>
  <si>
    <t>CLIMATE ZONE 8</t>
  </si>
  <si>
    <t>Darwin</t>
  </si>
  <si>
    <t>Brisbane</t>
  </si>
  <si>
    <t>Longreach</t>
  </si>
  <si>
    <t>Wagga Wagga</t>
  </si>
  <si>
    <t>Sydney</t>
  </si>
  <si>
    <t>Melbourne</t>
  </si>
  <si>
    <t>Hobart</t>
  </si>
  <si>
    <t>Canberra</t>
  </si>
  <si>
    <t>glazing height</t>
  </si>
  <si>
    <t>overhang</t>
  </si>
  <si>
    <r>
      <t xml:space="preserve">WINTER </t>
    </r>
    <r>
      <rPr>
        <i/>
        <sz val="10"/>
        <color indexed="12"/>
        <rFont val="Arial"/>
        <family val="2"/>
      </rPr>
      <t>(taken as June - August in all listed locations)</t>
    </r>
  </si>
  <si>
    <t>Adjust height value to vary calculated overhangs. Overhangs are for information only and are not precedents for the Calculator.</t>
  </si>
  <si>
    <t>Values in the condensed summer exposure factors tables below have been confirmed as consistent in every instance with the related values in the former larger tables (21.6.09)</t>
  </si>
  <si>
    <t>Data on this sheet has been pasted from the Exposure sheet of Glazing constants derivations v1.1.xlsx (21.6.09)</t>
  </si>
  <si>
    <t>Constants are rounded to 3 decimal places and Exposure factors to 2 for consistency with manual calculations using printed values.</t>
  </si>
  <si>
    <t>Summer exposure factor tables are condensed from their former versions since the calculator interpolates values as needed.</t>
  </si>
  <si>
    <t>Table 3.12.2.2</t>
  </si>
  <si>
    <t>3.12.2.2a</t>
  </si>
  <si>
    <t>3.12.2.2b</t>
  </si>
  <si>
    <t>Used for indexing of multipart named ranges for exposure factors</t>
  </si>
  <si>
    <t>EXPOSURE FACTORS FOR CONDUCTANCE AND SOLAR HEAT GAIN</t>
  </si>
  <si>
    <t>Summer and winter tables form multipart named ranges for lookup purposes</t>
  </si>
  <si>
    <t>Conductance exposure factors are not used for Zone 1 but a dummy table is provided to suit the lookup mechanism which uses multipart named ranges.</t>
  </si>
  <si>
    <t xml:space="preserve">The tables now show only the P/H values directly available in the output of Terry Williamson's program SOLSHAD. </t>
  </si>
  <si>
    <t>Values updated to match effect of Public Draft stringency (adjusted for revised Conductance method).</t>
  </si>
  <si>
    <t>Table values are in 8 point font to constrain column widths.</t>
  </si>
  <si>
    <r>
      <t>C</t>
    </r>
    <r>
      <rPr>
        <vertAlign val="subscript"/>
        <sz val="8"/>
        <rFont val="Arial"/>
        <family val="2"/>
      </rPr>
      <t>U</t>
    </r>
  </si>
  <si>
    <r>
      <t>C</t>
    </r>
    <r>
      <rPr>
        <vertAlign val="subscript"/>
        <sz val="8"/>
        <rFont val="Arial"/>
        <family val="2"/>
      </rPr>
      <t>SHGC</t>
    </r>
  </si>
  <si>
    <t>Solar heat gain exposure factors</t>
  </si>
  <si>
    <t>condct A x U</t>
  </si>
  <si>
    <t>valid Exposure factor types</t>
  </si>
  <si>
    <t>Conductance factors / access</t>
  </si>
  <si>
    <t>ValidExposures (Dynamic range for Exposure Factors display)</t>
  </si>
  <si>
    <t>SHGC x
Es x area</t>
  </si>
  <si>
    <t>The Glazing Calculator has been developed by the ABCB to assist in developing a better understanding of glazing energy efficiency parameters.
While the ABCB believes that the Glazing Calculator, if used correctly, will produce accurate results, it is provided "as is" and without
any representation or warranty of any kind, including that it is fit for any purpose or of merchantable quality, or functions as intended or at all. 
Your use of the Glazing Calculator is entirely at your own risk and the ABCB accepts no liability of any kind.</t>
  </si>
  <si>
    <t>Es</t>
  </si>
  <si>
    <t>Ew</t>
  </si>
  <si>
    <t>Ew / Es</t>
  </si>
  <si>
    <t>Constants table</t>
  </si>
  <si>
    <t>CuA / CshgcA</t>
  </si>
  <si>
    <t>CuB / CshgcB</t>
  </si>
  <si>
    <t>MultipleAir / SuffixAir</t>
  </si>
  <si>
    <t>(Values for Standard Air Movement only</t>
  </si>
  <si>
    <t>AreaApercent / AreaBpercent</t>
  </si>
  <si>
    <t>CuWeighted / CshgcWeighted</t>
  </si>
  <si>
    <t>Zone and Building inputs</t>
  </si>
  <si>
    <t>Floor and Air inputs</t>
  </si>
  <si>
    <t>SHG</t>
  </si>
  <si>
    <t>Cond</t>
  </si>
  <si>
    <t>AllowedSHG</t>
  </si>
  <si>
    <t>Es
above</t>
  </si>
  <si>
    <t>Es
below</t>
  </si>
  <si>
    <t>Es
interval</t>
  </si>
  <si>
    <t>Ew
above</t>
  </si>
  <si>
    <t>Ew
below</t>
  </si>
  <si>
    <t>Ew interval</t>
  </si>
  <si>
    <t>actual Ew</t>
  </si>
  <si>
    <t>actual Es</t>
  </si>
  <si>
    <t>A x SHGC x Ew</t>
  </si>
  <si>
    <t>allowance minus outcome</t>
  </si>
  <si>
    <t>count of failed elements</t>
  </si>
  <si>
    <t>Aggregated elements outcome</t>
  </si>
  <si>
    <t>Outcomes (for reporting)</t>
  </si>
  <si>
    <t>AllowedCond</t>
  </si>
  <si>
    <t>GlazingAreaA</t>
  </si>
  <si>
    <t>FailedCondAFailedSHGA</t>
  </si>
  <si>
    <t>Conductance label</t>
  </si>
  <si>
    <t>Solar Heat Gain label</t>
  </si>
  <si>
    <t>Glazing / no Zone</t>
  </si>
  <si>
    <t xml:space="preserve"> no Glazing / no Building</t>
  </si>
  <si>
    <t>Glazing / no Building</t>
  </si>
  <si>
    <t>Glazing / no Storey</t>
  </si>
  <si>
    <t>Floor A / Air</t>
  </si>
  <si>
    <t>Floor B / Air</t>
  </si>
  <si>
    <t>active rows displayed</t>
  </si>
  <si>
    <t>active rows NOT displayed</t>
  </si>
  <si>
    <t>NoGlazing</t>
  </si>
  <si>
    <t>Glazing schedule inactive</t>
  </si>
  <si>
    <t>Glazing / no Floor</t>
  </si>
  <si>
    <t>no Glazing / Building / no Zone</t>
  </si>
  <si>
    <t>no Glazing / prior / no Storey</t>
  </si>
  <si>
    <t>no Glazing / prior / no Floor</t>
  </si>
  <si>
    <t>no Glazing / prior / no Air</t>
  </si>
  <si>
    <t>Glazing / no Air</t>
  </si>
  <si>
    <t>zone</t>
  </si>
  <si>
    <t>Cu</t>
  </si>
  <si>
    <t>Cshgc</t>
  </si>
  <si>
    <t>essential</t>
  </si>
  <si>
    <t>high mass walls AND CSOG OR internal masonry (both on lowest storey)</t>
  </si>
  <si>
    <t>high mass walls AND R0.5 AND CSOG OR internal masonry (both on lowest storey)</t>
  </si>
  <si>
    <t>high mass walls AND CSOG AND internal masonry (both on lowest storey)</t>
  </si>
  <si>
    <t>high mass walls</t>
  </si>
  <si>
    <t>high mass walls AND R1.0</t>
  </si>
  <si>
    <t>high mass walls AND R0.5</t>
  </si>
  <si>
    <t>Table 3.12.1.3b Climate zone 1 Option (a)(ii)</t>
  </si>
  <si>
    <t>Table 3.12.1.3b Climate zone 2 Option (a)(ii)</t>
  </si>
  <si>
    <t>Table 3.12.1.3b Climate zone 3 Option (a)(ii)</t>
  </si>
  <si>
    <t>Table 3.12.1.3b Climate zone 4 Option (a)(i)</t>
  </si>
  <si>
    <t>Table 3.12.1.3b Climate zone 4 Option (b)</t>
  </si>
  <si>
    <t>Table 3.12.1.3b Climate zone 5 Option (a)(ii)</t>
  </si>
  <si>
    <t>Table 3.12.1.3b Climate zone 5 Option (b)(ii)</t>
  </si>
  <si>
    <t>Table 3.12.1.3b Climate zone 6 Option (a)(i)</t>
  </si>
  <si>
    <t>Table 3.12.1.3b Climate zone 6 Option (b)</t>
  </si>
  <si>
    <t>Table 3.12.1.3b Climate zone 7 Option (a)(i)</t>
  </si>
  <si>
    <t>Table 3.12.1.3b Climate zone 7 Option (b)(i)</t>
  </si>
  <si>
    <t>Count of Options available in Zone</t>
  </si>
  <si>
    <t>Wall concession n/a for Zone</t>
  </si>
  <si>
    <t>Cu column label</t>
  </si>
  <si>
    <t>Checks only for presence of Building, Zone and Storey inputs. Does not evaluate whether glazing schedule is active.</t>
  </si>
  <si>
    <t>Sectors / no Floor / no Air</t>
  </si>
  <si>
    <t>count of Sectors in schedule</t>
  </si>
  <si>
    <t>Valid options for wall concession inputs</t>
  </si>
  <si>
    <t>Dynamic range below to limit list to options available in zone</t>
  </si>
  <si>
    <t>string</t>
  </si>
  <si>
    <t>Sectors / no Floor / Air</t>
  </si>
  <si>
    <t>Sectors / Floor / no Air</t>
  </si>
  <si>
    <t>No wall insulation concession used</t>
  </si>
  <si>
    <t xml:space="preserve">Floor Construction </t>
  </si>
  <si>
    <t>Glazing element</t>
  </si>
  <si>
    <t>2.00:</t>
  </si>
  <si>
    <t>First public issue of extensively revised version for use with BCA 2010.</t>
  </si>
  <si>
    <t>Identified issues concerning inputs above the glazing elements table are flagged above the input cells.</t>
  </si>
  <si>
    <t>DIV/0 error trap precedes logic test</t>
  </si>
  <si>
    <r>
      <t xml:space="preserve">Updates to this file may be available for download from the ABCB website from time to time.
The file name will include the version number. </t>
    </r>
    <r>
      <rPr>
        <b/>
        <sz val="10"/>
        <rFont val="Arial"/>
        <family val="2"/>
      </rPr>
      <t>The latest version should always be used.</t>
    </r>
  </si>
  <si>
    <t>Light green filled cells to the right of the table contain calculations whose results can be seen but not edited. To change results, change the user inputs.</t>
  </si>
  <si>
    <t>Input issues in each row of the glazing elements table are identified in bold red font to the right of the row (overlaying the calculations area).</t>
  </si>
  <si>
    <t xml:space="preserve">Direct contact </t>
  </si>
  <si>
    <t xml:space="preserve">Suspended </t>
  </si>
  <si>
    <t>1.03:</t>
  </si>
  <si>
    <t>Merged building description text box to become one cell.</t>
  </si>
  <si>
    <t>Added additional explanatory information for entering Standard and High Air Movement levels.</t>
  </si>
  <si>
    <t>2.01:</t>
  </si>
  <si>
    <t>Changed "NFRC" to "AFRC" in headings of Total U-Value and SHGC columns.</t>
  </si>
  <si>
    <t>(AFRC refers to the Australian Fenestration Rating Council. See cell comments in headings,)</t>
  </si>
  <si>
    <t>2.02:</t>
  </si>
  <si>
    <t>Fixed display of constants at upper right of form for Suspended floors.</t>
  </si>
  <si>
    <t>Increased the maximum number of rows available in the glazing elements table from 40 to 80.</t>
  </si>
  <si>
    <t>This version of the glazing calculator is valid only for BCA 2010 Volume Two and later (until notified otherwise).</t>
  </si>
  <si>
    <t>Conditional formatting applies light yellow shading to each row of the glazing elements table once a sector has been declared.</t>
  </si>
  <si>
    <t>Checks presence of upper inputs, validity of Wall concession and whether glazing schedule is active.</t>
  </si>
  <si>
    <t>upper inputs all present / Table inactive</t>
  </si>
  <si>
    <t>no Sector given</t>
  </si>
  <si>
    <t>Size needed (Height &amp; Width or Area)</t>
  </si>
  <si>
    <t>glazing Height needed</t>
  </si>
  <si>
    <t>shading H without P</t>
  </si>
  <si>
    <t>Row skipped (OK if intentional)</t>
  </si>
  <si>
    <t xml:space="preserve"> &amp; </t>
  </si>
  <si>
    <t>issues flagged</t>
  </si>
  <si>
    <t>When all input cells at the top of the Calculator form are blank, advisory messages (for new users) will appear in sequence above each of the cells needing input. A cell with an input advice message will also be coloured green until data is entered. Press Enter or Tab after typing inputs to move to the next available cell.</t>
  </si>
  <si>
    <t>Calculator outcomes cannot be displayed until all input issues have been resolved (which will clear any colour highlighting and advisory messages). Several messages may appear in sequence for the same row as issues are resolved.</t>
  </si>
  <si>
    <t>A protected worksheet with most cells accessible has been provided for users' notes and calculations. (Protection is essential to maintain the integrity of the Calculator but does restrict the functions and operations available to the user.) The Worksheet can be accessed by selecting its tab at the bottom of the Excel window.</t>
  </si>
  <si>
    <t xml:space="preserve">In the glazing elements table, all white cells below the heading rows are accessible but they are not yellow filled by default. Accessible cells in each row will be yellow filled once an orientation sector has been given. </t>
  </si>
  <si>
    <t>Details above the glazing elements table (including at least one Floor type) and at least one glazing element must be supplied for Calculator outcomes to be displayed.</t>
  </si>
  <si>
    <t>If copying data between cells, always use Paste Special | Paste Values to avoid formatting errors on the Calculator form.</t>
  </si>
  <si>
    <t>Number of rows for table below</t>
  </si>
  <si>
    <t>alert
/issue</t>
  </si>
  <si>
    <t>Element issues (excluding alerts) plus upper input issues</t>
  </si>
  <si>
    <t>Sectors available</t>
  </si>
  <si>
    <t>OrientationsA (Dynamic range for Sectors selection)</t>
  </si>
  <si>
    <t>Drop down list (if UpperInputsAlerts =0)</t>
  </si>
  <si>
    <t>UpperInputsAlerts</t>
  </si>
  <si>
    <t>UpperInputsIssues</t>
  </si>
  <si>
    <t>UpperInputsFlagged</t>
  </si>
  <si>
    <t>Negative values are failures</t>
  </si>
  <si>
    <t>In addition to the information offered here, the ABCB has prepared a document to explain the changes</t>
  </si>
  <si>
    <t>The Help button shown on the top right of the Calculator form, the coloured band behind the form title and the coloured background are not intended to print as part of the form (to reduce ink or toner usage).</t>
  </si>
  <si>
    <t>Facing sector</t>
  </si>
  <si>
    <t>Revised Help notes and screenshots to suit Calculator changes.</t>
  </si>
  <si>
    <t>The input cell for the number of rows preferred will not accept numbers that would cause data used by calculations to be hidden. (This data includes inputs to the 'Facing sector' column and those to its right.)  A warning message will be displayed if this is attempted.</t>
  </si>
  <si>
    <t>The Calculator form can be printed using the File | Print menu.</t>
  </si>
  <si>
    <t>VentPending</t>
  </si>
  <si>
    <t>OrphanVent</t>
  </si>
  <si>
    <t>NoWallConcession</t>
  </si>
  <si>
    <t>no Glazing / prior / Concession blank</t>
  </si>
  <si>
    <t>Glazing / prior / Concession blank</t>
  </si>
  <si>
    <t>to the Volume Two glazing provisions introduced with BCA 2010. It is available for download from the</t>
  </si>
  <si>
    <t>ABCB website.</t>
  </si>
  <si>
    <t>Modified Calculator formatting and error reporting for compatibility with Excel 2010 on Windows and 2011 on Mac.</t>
  </si>
  <si>
    <t>The Glazing Calculator has been developed in the Windows ® versions of Microsoft Excel ® 2003 and 2007/10. Two separate file formats (.xls and .xlsx) are offered due to formatting incompatibilities between Excel versions.</t>
  </si>
  <si>
    <t>To remove unwanted data, select the cell or range, right click to show the context menu and select Clear Contents from that menu. Alternatively (in Windows), use the Delete key.</t>
  </si>
  <si>
    <t xml:space="preserve">Calculator outcomes resulting in a "tick" are valid only if all of the input details comply with BCA elemental DTS requirements. The claimed Air Movement level must be verified by separate calculation since this is not checked by the Calculator.
</t>
  </si>
  <si>
    <r>
      <t>2.03</t>
    </r>
    <r>
      <rPr>
        <sz val="10"/>
        <rFont val="Arial"/>
        <family val="2"/>
      </rPr>
      <t xml:space="preserve"> (December 2011):</t>
    </r>
  </si>
  <si>
    <t xml:space="preserve">The Calculator form has been designed for viewing as a whole "page" with 10 rows visible in the glazing elements table (at 100% zoom - assuming a minimum screen resolution of 1024 x 768 pixels). </t>
  </si>
  <si>
    <r>
      <rPr>
        <sz val="10"/>
        <rFont val="Arial"/>
        <family val="2"/>
      </rPr>
      <t>The .xlsx file is suitable for use in the 2007 and 2010 versions of Excel for Windows and in the 2011 version of Excel for Apple Mac ®.</t>
    </r>
    <r>
      <rPr>
        <sz val="10"/>
        <rFont val="Arial"/>
        <family val="2"/>
      </rPr>
      <t xml:space="preserve"> These Help instructions and the screenshots refer to the Windows version and may not fully reflect the Mac interface.</t>
    </r>
  </si>
  <si>
    <r>
      <rPr>
        <sz val="10"/>
        <rFont val="Arial"/>
        <family val="2"/>
      </rPr>
      <t>Some users may need to adjust the screen zoom setting to see the whole form at once.</t>
    </r>
    <r>
      <rPr>
        <sz val="10"/>
        <rFont val="Arial"/>
        <family val="2"/>
      </rPr>
      <t xml:space="preserve"> The worksheet background does not change when zoom settings are altered and also does not print.</t>
    </r>
  </si>
  <si>
    <r>
      <t>Users with</t>
    </r>
    <r>
      <rPr>
        <b/>
        <sz val="10"/>
        <rFont val="Arial"/>
        <family val="2"/>
      </rPr>
      <t xml:space="preserve"> Excel 2002 (Excel XP) or later for Windows and 2011 for Mac</t>
    </r>
    <r>
      <rPr>
        <sz val="10"/>
        <rFont val="Arial"/>
        <family val="2"/>
      </rPr>
      <t xml:space="preserve"> can change the number of rows visible by using the arrow to the left of the 'ID' heading near the top left of the glazing elements table. First set the number of rows preferred (maximum 80) in the input cell immediately above the table and press Enter. Next, click the arrow beside 'ID' and select that number in the drop-down list which opens. (The number set will be the only number shown in the list.)</t>
    </r>
  </si>
  <si>
    <t>Missing inputs anywhere on the form are generally highlighted by tan fill. Invalid inputs or those which may be contributing to outcomes failures are highlighted by orange fill.</t>
  </si>
  <si>
    <t>The print area has been pre-set to allow printing as one or more A4 pages (landscape format), depending on the number of rows displayed in the form. Some margins may need to be adjusted to suit some printers (particularly inkjets).</t>
  </si>
  <si>
    <r>
      <t xml:space="preserve">Total System
U-Value
</t>
    </r>
    <r>
      <rPr>
        <sz val="8"/>
        <rFont val="Arial"/>
        <family val="2"/>
      </rPr>
      <t>(AFRC)</t>
    </r>
  </si>
  <si>
    <r>
      <t xml:space="preserve">Total System SHGC
</t>
    </r>
    <r>
      <rPr>
        <sz val="8"/>
        <rFont val="Arial"/>
        <family val="2"/>
      </rPr>
      <t>(AFRC)</t>
    </r>
  </si>
  <si>
    <t>Copyright © 2013 – Australian Government, State and Territory Governments of Australia. All Rights Reserved</t>
  </si>
  <si>
    <r>
      <t>Description</t>
    </r>
    <r>
      <rPr>
        <sz val="8"/>
        <rFont val="Arial"/>
        <family val="2"/>
      </rPr>
      <t xml:space="preserve"> 
(optional)</t>
    </r>
  </si>
  <si>
    <r>
      <t xml:space="preserve">2.04 </t>
    </r>
    <r>
      <rPr>
        <sz val="10"/>
        <rFont val="Arial"/>
        <family val="2"/>
      </rPr>
      <t>(May 2013):</t>
    </r>
  </si>
  <si>
    <t>BCA VOLUME TWO GLAZING CALCULATOR (first issued with BCA 2013)</t>
  </si>
  <si>
    <t>Calculator version (2.04):</t>
  </si>
  <si>
    <r>
      <t xml:space="preserve">Version 2.04 of the Glazing Calculator was first issued for use under Part 3.12.2 External </t>
    </r>
    <r>
      <rPr>
        <i/>
        <sz val="10"/>
        <rFont val="Arial"/>
        <family val="2"/>
      </rPr>
      <t>Glazing</t>
    </r>
    <r>
      <rPr>
        <sz val="10"/>
        <rFont val="Arial"/>
        <family val="2"/>
      </rPr>
      <t xml:space="preserve"> of BCA 2013 Volume Two (Housing Provisions).</t>
    </r>
  </si>
  <si>
    <t>Changed "Total U-Value" and "SHGC" to "Total System U-Value" and "Total System SHGC"
to reflect changes to BCA 2013.</t>
  </si>
  <si>
    <t>Total System U-Value</t>
  </si>
  <si>
    <t>Total System SHGC</t>
  </si>
  <si>
    <t>Original</t>
  </si>
  <si>
    <t>Amd No.</t>
  </si>
  <si>
    <t>Date</t>
  </si>
  <si>
    <t>Description</t>
  </si>
  <si>
    <t>Word and BC menu list</t>
  </si>
  <si>
    <t>Not applicable</t>
  </si>
  <si>
    <t>Climate zone</t>
  </si>
  <si>
    <t>Yes</t>
  </si>
  <si>
    <t>No</t>
  </si>
  <si>
    <t>BC_YN</t>
  </si>
  <si>
    <t>ID</t>
  </si>
  <si>
    <t>H(m)</t>
  </si>
  <si>
    <t>W(m)</t>
  </si>
  <si>
    <t>Existing</t>
  </si>
  <si>
    <t>(m)</t>
  </si>
  <si>
    <t>Ventilation opening calculations</t>
  </si>
  <si>
    <t>Frame m2</t>
  </si>
  <si>
    <t>Less frame</t>
  </si>
  <si>
    <t>HxW m2 overall</t>
  </si>
  <si>
    <t>H x 2 x F</t>
  </si>
  <si>
    <t>W x % x 2 x F</t>
  </si>
  <si>
    <t>H x W x %</t>
  </si>
  <si>
    <t>Ventilation opening area</t>
  </si>
  <si>
    <t>less frame area</t>
  </si>
  <si>
    <t>BC_FanEvap</t>
  </si>
  <si>
    <t>None</t>
  </si>
  <si>
    <t>Fan</t>
  </si>
  <si>
    <t>Evap</t>
  </si>
  <si>
    <t>Habitable room list</t>
  </si>
  <si>
    <t>BC_WAZones</t>
  </si>
  <si>
    <t>BC_AirMove</t>
  </si>
  <si>
    <t>Without a fan or evaporative cooler</t>
  </si>
  <si>
    <t>With a fan</t>
  </si>
  <si>
    <t>With an evaporative cooler</t>
  </si>
  <si>
    <t>Minimum total ventilation opening area as a percentage of the floor area for each habitable room</t>
  </si>
  <si>
    <t>Table 3.12.4.1 Provision for air movement</t>
  </si>
  <si>
    <t>●</t>
  </si>
  <si>
    <t>Total m2 ventilation opening area for each room</t>
  </si>
  <si>
    <t>Area</t>
  </si>
  <si>
    <t>None, fan, evap</t>
  </si>
  <si>
    <t>Room data missing check (outcomes reported are for ROW K-Y input data)</t>
  </si>
  <si>
    <t>Pass</t>
  </si>
  <si>
    <t>Fail</t>
  </si>
  <si>
    <t>Data</t>
  </si>
  <si>
    <t>Standard air movement percentage</t>
  </si>
  <si>
    <t xml:space="preserve">Required ventilation opening m2 </t>
  </si>
  <si>
    <t>Calculated ventilation opening m2</t>
  </si>
  <si>
    <t>Non-compliant</t>
  </si>
  <si>
    <t>Countif outcomes</t>
  </si>
  <si>
    <t>Countif "Evap"</t>
  </si>
  <si>
    <t>Total ventilation area m2 for the storey</t>
  </si>
  <si>
    <t>Total required ventilation area m2 for the storey</t>
  </si>
  <si>
    <t>Per room, Calc less Req'd m2</t>
  </si>
  <si>
    <t>Total Calc less Total Required</t>
  </si>
  <si>
    <t>Countif "None"</t>
  </si>
  <si>
    <t>Outcome</t>
  </si>
  <si>
    <t>m2</t>
  </si>
  <si>
    <t>Space</t>
  </si>
  <si>
    <t>Building</t>
  </si>
  <si>
    <t>Max Conductance % allowance</t>
  </si>
  <si>
    <t>Retain existing performance</t>
  </si>
  <si>
    <t>Comply with 3.12.1.2</t>
  </si>
  <si>
    <t>Area (m2)</t>
  </si>
  <si>
    <t>Height (m)</t>
  </si>
  <si>
    <t>Width (%)</t>
  </si>
  <si>
    <t>Building sealing</t>
  </si>
  <si>
    <t>Compliance report text</t>
  </si>
  <si>
    <t>Note: External walls shaded as per Fig 3.12.1.2</t>
  </si>
  <si>
    <t>B3.1 (existing building sealing)</t>
  </si>
  <si>
    <t>Protocol B4.1.1 (existing air movement)</t>
  </si>
  <si>
    <t>Protocol B4.1.2 (breeze path connected to an existing ventilation opening)</t>
  </si>
  <si>
    <t>Applies</t>
  </si>
  <si>
    <t>BC_Apply</t>
  </si>
  <si>
    <t>Air movement text when Region D exemption = NO</t>
  </si>
  <si>
    <t>Note: Building work to comply with Part 3.8.5</t>
  </si>
  <si>
    <t>Text used when exemption=NO</t>
  </si>
  <si>
    <t>Room description</t>
  </si>
  <si>
    <t>Floor area of the room</t>
  </si>
  <si>
    <t>Nominate if the room is with or without a ceiling fan or evaporative cooler</t>
  </si>
  <si>
    <r>
      <t xml:space="preserve">Place a "Dot" to correlate ventilation opening </t>
    </r>
    <r>
      <rPr>
        <b/>
        <sz val="8"/>
        <rFont val="Arial"/>
        <family val="2"/>
      </rPr>
      <t>and the room it serves</t>
    </r>
  </si>
  <si>
    <t>width</t>
  </si>
  <si>
    <t>Nominal frame</t>
  </si>
  <si>
    <t>Nominate if:</t>
  </si>
  <si>
    <r>
      <rPr>
        <i/>
        <sz val="8"/>
        <rFont val="Arial"/>
        <family val="2"/>
      </rPr>
      <t>Glazing</t>
    </r>
    <r>
      <rPr>
        <sz val="8"/>
        <rFont val="Arial"/>
        <family val="2"/>
      </rPr>
      <t xml:space="preserve"> as nominated on the GLAZING CALCULATOR</t>
    </r>
  </si>
  <si>
    <t>Existing (incl altered) glazing</t>
  </si>
  <si>
    <t>Existing glazing AND part of building work</t>
  </si>
  <si>
    <t>Blank</t>
  </si>
  <si>
    <r>
      <rPr>
        <b/>
        <i/>
        <sz val="8"/>
        <color theme="0"/>
        <rFont val="Arial"/>
        <family val="2"/>
      </rPr>
      <t>Ventilation opening</t>
    </r>
    <r>
      <rPr>
        <b/>
        <sz val="8"/>
        <color theme="0"/>
        <rFont val="Arial"/>
        <family val="2"/>
      </rPr>
      <t xml:space="preserve"> size</t>
    </r>
  </si>
  <si>
    <t>Storey assessed:</t>
  </si>
  <si>
    <t>Ground</t>
  </si>
  <si>
    <t>Air movement data entry error count</t>
  </si>
  <si>
    <t>Dots</t>
  </si>
  <si>
    <t>ERROR=TRUE</t>
  </si>
  <si>
    <r>
      <rPr>
        <b/>
        <i/>
        <sz val="8"/>
        <rFont val="Arial"/>
        <family val="2"/>
      </rPr>
      <t xml:space="preserve">Ventilation opening </t>
    </r>
    <r>
      <rPr>
        <b/>
        <sz val="8"/>
        <rFont val="Arial"/>
        <family val="2"/>
      </rPr>
      <t>outcome for each habitable room</t>
    </r>
  </si>
  <si>
    <t>Countif=TRUE=error</t>
  </si>
  <si>
    <t>Sum of errors for all data rows in header</t>
  </si>
  <si>
    <t>Calculated less required area</t>
  </si>
  <si>
    <t>Dot countif</t>
  </si>
  <si>
    <t>BCA Table 3.12.2.1 GLAZING CALCULATOR air movement value(s):</t>
  </si>
  <si>
    <t>(does not apply for Climate Zone 6)</t>
  </si>
  <si>
    <r>
      <rPr>
        <u/>
        <sz val="8"/>
        <rFont val="Arial"/>
        <family val="2"/>
      </rPr>
      <t>AND</t>
    </r>
    <r>
      <rPr>
        <sz val="8"/>
        <rFont val="Arial"/>
        <family val="2"/>
      </rPr>
      <t xml:space="preserve"> ceiling fan(s) nominated for each habitable room:</t>
    </r>
  </si>
  <si>
    <t>3.12.4.3(c) Ceiling fan floor area</t>
  </si>
  <si>
    <t>900mm diam</t>
  </si>
  <si>
    <t>1200mm diam</t>
  </si>
  <si>
    <t>Air movement text for DATASHEET</t>
  </si>
  <si>
    <t>BCA Climate Zone 6:</t>
  </si>
  <si>
    <t>Countif="Existing+Yes"=no whole-of-building assessment</t>
  </si>
  <si>
    <r>
      <t xml:space="preserve">Min </t>
    </r>
    <r>
      <rPr>
        <i/>
        <sz val="8"/>
        <rFont val="Arial"/>
        <family val="2"/>
      </rPr>
      <t xml:space="preserve">required </t>
    </r>
    <r>
      <rPr>
        <sz val="8"/>
        <rFont val="Arial"/>
        <family val="2"/>
      </rPr>
      <t>m2</t>
    </r>
  </si>
  <si>
    <r>
      <t xml:space="preserve">When each </t>
    </r>
    <r>
      <rPr>
        <i/>
        <sz val="8"/>
        <rFont val="Arial"/>
        <family val="2"/>
      </rPr>
      <t>habitable room</t>
    </r>
    <r>
      <rPr>
        <sz val="8"/>
        <rFont val="Arial"/>
        <family val="2"/>
      </rPr>
      <t xml:space="preserve"> that is part of the building work are included, using:</t>
    </r>
  </si>
  <si>
    <t>Note 1:</t>
  </si>
  <si>
    <r>
      <t xml:space="preserve">When </t>
    </r>
    <r>
      <rPr>
        <u/>
        <sz val="8"/>
        <rFont val="Arial"/>
        <family val="2"/>
      </rPr>
      <t>ALL</t>
    </r>
    <r>
      <rPr>
        <sz val="8"/>
        <rFont val="Arial"/>
        <family val="2"/>
      </rPr>
      <t xml:space="preserve"> </t>
    </r>
    <r>
      <rPr>
        <i/>
        <sz val="8"/>
        <rFont val="Arial"/>
        <family val="2"/>
      </rPr>
      <t>habitable rooms</t>
    </r>
    <r>
      <rPr>
        <sz val="8"/>
        <rFont val="Arial"/>
        <family val="2"/>
      </rPr>
      <t xml:space="preserve"> for the storey are included, using:</t>
    </r>
  </si>
  <si>
    <t>Note 2(a):</t>
  </si>
  <si>
    <t>Note 2(b):</t>
  </si>
  <si>
    <t>PLUS the following number of fans per habitable room:</t>
  </si>
  <si>
    <t>900mm diam, or</t>
  </si>
  <si>
    <t>Interpolated value</t>
  </si>
  <si>
    <t>or</t>
  </si>
  <si>
    <t>Protocol B2.1.1 or B2.1.2 outcome:</t>
  </si>
  <si>
    <t>GLAZING CALCULATOR outcomes:</t>
  </si>
  <si>
    <t>Conductance</t>
  </si>
  <si>
    <t>Solar Heat Gain</t>
  </si>
  <si>
    <t>Protocol B2.1.1 proportion calculation outcomes:</t>
  </si>
  <si>
    <t>External glazing</t>
  </si>
  <si>
    <t>Glazing area</t>
  </si>
  <si>
    <t>Note: non-glazed openings not included</t>
  </si>
  <si>
    <r>
      <t xml:space="preserve">Area of all </t>
    </r>
    <r>
      <rPr>
        <i/>
        <sz val="8"/>
        <rFont val="Arial"/>
        <family val="2"/>
      </rPr>
      <t>glazing</t>
    </r>
    <r>
      <rPr>
        <sz val="8"/>
        <rFont val="Arial"/>
        <family val="2"/>
      </rPr>
      <t xml:space="preserve"> of the storey</t>
    </r>
  </si>
  <si>
    <r>
      <t xml:space="preserve">Area of new </t>
    </r>
    <r>
      <rPr>
        <i/>
        <sz val="8"/>
        <rFont val="Arial"/>
        <family val="2"/>
      </rPr>
      <t>glazing</t>
    </r>
  </si>
  <si>
    <r>
      <t xml:space="preserve">Area of existing </t>
    </r>
    <r>
      <rPr>
        <i/>
        <sz val="8"/>
        <rFont val="Arial"/>
        <family val="2"/>
      </rPr>
      <t>glazing</t>
    </r>
  </si>
  <si>
    <r>
      <t xml:space="preserve">Percentage of new </t>
    </r>
    <r>
      <rPr>
        <i/>
        <sz val="8"/>
        <rFont val="Arial"/>
        <family val="2"/>
      </rPr>
      <t>glazing</t>
    </r>
    <r>
      <rPr>
        <sz val="8"/>
        <rFont val="Arial"/>
        <family val="2"/>
      </rPr>
      <t xml:space="preserve"> area:</t>
    </r>
  </si>
  <si>
    <t>Max Solar Heat Gain % allowance</t>
  </si>
  <si>
    <t>Total</t>
  </si>
  <si>
    <t>Glazing calculator percentage outcomes</t>
  </si>
  <si>
    <t>Solar heat gain</t>
  </si>
  <si>
    <t>Check for #Value outcome and show as ""</t>
  </si>
  <si>
    <t>Existing roof construction</t>
  </si>
  <si>
    <t>New</t>
  </si>
  <si>
    <t>Added roof construction</t>
  </si>
  <si>
    <r>
      <rPr>
        <b/>
        <i/>
        <sz val="8"/>
        <color theme="0"/>
        <rFont val="Arial"/>
        <family val="2"/>
      </rPr>
      <t>Habitable room(s)</t>
    </r>
    <r>
      <rPr>
        <b/>
        <sz val="8"/>
        <color theme="0"/>
        <rFont val="Arial"/>
        <family val="2"/>
      </rPr>
      <t xml:space="preserve"> nominated as part of the building work for the storey</t>
    </r>
  </si>
  <si>
    <t>(second option)</t>
  </si>
  <si>
    <t>Alteration to existing roof</t>
  </si>
  <si>
    <t>Values outside Table</t>
  </si>
  <si>
    <t>Existing wall construction</t>
  </si>
  <si>
    <t>Added wall construction</t>
  </si>
  <si>
    <t>Alteration to existing wall</t>
  </si>
  <si>
    <t>Any error in any column</t>
  </si>
  <si>
    <t>TOTAL Calc is less than Req'd</t>
  </si>
  <si>
    <t>shading to all walls invoked.</t>
  </si>
  <si>
    <t>Worksheet publisher notices</t>
  </si>
  <si>
    <t>BC_Storeys</t>
  </si>
  <si>
    <t>First</t>
  </si>
  <si>
    <t>Second</t>
  </si>
  <si>
    <t>Third</t>
  </si>
  <si>
    <t>3.12.1.3(a) Fail</t>
  </si>
  <si>
    <t>Air movement</t>
  </si>
  <si>
    <t>Existing floor construction</t>
  </si>
  <si>
    <t>Added floor construction</t>
  </si>
  <si>
    <t>Nominal</t>
  </si>
  <si>
    <t>GLAZING &amp; AIR M/MENT D/SHEET(s) report calculations per storey for:</t>
  </si>
  <si>
    <t>New glazing percentage:</t>
  </si>
  <si>
    <t>Calculated m2</t>
  </si>
  <si>
    <t xml:space="preserve">Glazing nominated to verify GLAZING CALCULATOR outcomes. </t>
  </si>
  <si>
    <t>BC_AirMoveSelect</t>
  </si>
  <si>
    <t>BC_AirMoveSelect_6</t>
  </si>
  <si>
    <t>Text used to error check drop-down</t>
  </si>
  <si>
    <t>Climate zone: Not applicable</t>
  </si>
  <si>
    <t>Version</t>
  </si>
  <si>
    <t xml:space="preserve">BCA </t>
  </si>
  <si>
    <t>Protocol v:</t>
  </si>
  <si>
    <t>01 May 2014</t>
  </si>
  <si>
    <r>
      <t xml:space="preserve">Required minimum total </t>
    </r>
    <r>
      <rPr>
        <i/>
        <sz val="8"/>
        <rFont val="Arial"/>
        <family val="2"/>
      </rPr>
      <t>ventilation opening</t>
    </r>
    <r>
      <rPr>
        <sz val="8"/>
        <rFont val="Arial"/>
        <family val="2"/>
      </rPr>
      <t xml:space="preserve"> area as a percentage of the floor area</t>
    </r>
  </si>
  <si>
    <t>GLAZING &amp; AIR MOVE'T DATASHEET</t>
  </si>
  <si>
    <r>
      <rPr>
        <b/>
        <i/>
        <sz val="8"/>
        <rFont val="Arial"/>
        <family val="2"/>
      </rPr>
      <t xml:space="preserve">Glazing </t>
    </r>
    <r>
      <rPr>
        <b/>
        <sz val="8"/>
        <rFont val="Arial"/>
        <family val="2"/>
      </rPr>
      <t>nominated as part of the building work for the storey</t>
    </r>
  </si>
  <si>
    <r>
      <rPr>
        <b/>
        <sz val="8"/>
        <rFont val="Arial"/>
        <family val="2"/>
      </rPr>
      <t>Open-exchange-use:</t>
    </r>
    <r>
      <rPr>
        <sz val="8"/>
        <rFont val="Arial"/>
        <family val="2"/>
      </rPr>
      <t xml:space="preserve"> This publication has been developed by Building Commons.  Building Commission WA is granted open-exchange use and distribution rights.</t>
    </r>
  </si>
  <si>
    <r>
      <rPr>
        <b/>
        <sz val="8"/>
        <rFont val="Arial"/>
        <family val="2"/>
      </rPr>
      <t xml:space="preserve">Disclaimer: </t>
    </r>
    <r>
      <rPr>
        <sz val="8"/>
        <rFont val="Arial"/>
        <family val="2"/>
      </rPr>
      <t>The purpose of this publication is to provide building professionals with a guide to the application of the WA Alterations &amp; Additions Protocol for Energy Efficiency (Protocol) to existing Class 1 buildings in Western Australia.  This publication is only a guide and may not apply in every instance.  Building professionals must familiarise themselves with the Protocol.  The publisher gives no undertakings, guarantees, or warranties concerning the accuracy, completeness or fitness for purpose of this publication.  To the maximum extent permissible by law, the publisher excludes liability for loss suffered by any person resulting in any way from the use of or reliance upon this publication.</t>
    </r>
  </si>
  <si>
    <t>BCA 3.12.4 "Not applicable":</t>
  </si>
  <si>
    <t>BCA 3.12.4.1(c)  Region D exemption applies:</t>
  </si>
  <si>
    <r>
      <t xml:space="preserve">Other </t>
    </r>
    <r>
      <rPr>
        <b/>
        <i/>
        <sz val="8"/>
        <rFont val="Arial"/>
        <family val="2"/>
      </rPr>
      <t>ventilation openings</t>
    </r>
    <r>
      <rPr>
        <b/>
        <sz val="8"/>
        <rFont val="Arial"/>
        <family val="2"/>
      </rPr>
      <t xml:space="preserve"> that contribute to building work air movement (not listed on Glazing Calculator)</t>
    </r>
  </si>
  <si>
    <t>Air movement does not apply (5% ventilation opening indicates Part 3.8.5 compliance).</t>
  </si>
  <si>
    <t>pre 2012</t>
  </si>
  <si>
    <t>2012 onward</t>
  </si>
  <si>
    <t>Values derived from modelling data</t>
  </si>
  <si>
    <t>BC_DataColumn</t>
  </si>
  <si>
    <t>BC_DataTable</t>
  </si>
  <si>
    <t>Direct</t>
  </si>
  <si>
    <t>Suspended</t>
  </si>
  <si>
    <t>Edit calculated values to show whole numbers in Protocol schedule</t>
  </si>
  <si>
    <t>Outcome values used to interpolate case specific % allowance</t>
  </si>
  <si>
    <t>Use Concatenate to search</t>
  </si>
  <si>
    <t>Glazing calculator wall concession text</t>
  </si>
  <si>
    <t>SGH Constant</t>
  </si>
  <si>
    <t>Direct Standard</t>
  </si>
  <si>
    <t>Direct High</t>
  </si>
  <si>
    <t>Suspended Standard</t>
  </si>
  <si>
    <t>Suspended High</t>
  </si>
  <si>
    <t>% Std to High</t>
  </si>
  <si>
    <t>Convert Glaz Calc Air Movement input data to number</t>
  </si>
  <si>
    <t>Adjust for greater than Std Air Move</t>
  </si>
  <si>
    <t>(if large decimal points are used, could under report)</t>
  </si>
  <si>
    <t>Floor</t>
  </si>
  <si>
    <t>Direct proportion</t>
  </si>
  <si>
    <t>Suspended proportion</t>
  </si>
  <si>
    <t>Proportion for floor types</t>
  </si>
  <si>
    <t>Adjust outcome for 0-10% and +80% thresholds</t>
  </si>
  <si>
    <t>Proportion for glazing types</t>
  </si>
  <si>
    <t>Adjust for 2012+ glazing thresholds</t>
  </si>
  <si>
    <t>0-10%</t>
  </si>
  <si>
    <r>
      <t>&gt;10%</t>
    </r>
    <r>
      <rPr>
        <b/>
        <sz val="8"/>
        <rFont val="Calibri"/>
        <family val="2"/>
      </rPr>
      <t>≤</t>
    </r>
    <r>
      <rPr>
        <b/>
        <sz val="8"/>
        <rFont val="Arial"/>
        <family val="2"/>
      </rPr>
      <t>80%</t>
    </r>
  </si>
  <si>
    <t>&gt;80%</t>
  </si>
  <si>
    <t>Glazing</t>
  </si>
  <si>
    <t>Pre 2012</t>
  </si>
  <si>
    <t>2012+</t>
  </si>
  <si>
    <t>Reverse calc 2 &amp; 3 for error checking</t>
  </si>
  <si>
    <t>Proportioning of glazing types</t>
  </si>
  <si>
    <t>Proportion of floor types</t>
  </si>
  <si>
    <t>Colour=difference in values</t>
  </si>
  <si>
    <t>Climate Zone</t>
  </si>
  <si>
    <t>SHG Constants</t>
  </si>
  <si>
    <t>BC_WAZones_Glaz</t>
  </si>
  <si>
    <t>Table 3.12.2.1 (Excerpt)</t>
  </si>
  <si>
    <t>BC_SHG_Constants</t>
  </si>
  <si>
    <t>BC_Glaz_F_A</t>
  </si>
  <si>
    <t>IF(AirMovement=ET18,1,IF(AirMovement=ET19,2,MID(AirMovement,1,4)))</t>
  </si>
  <si>
    <t>VALUE(MID(Calculator!R37,FIND(" ",Calculator!R37,FIND(" ",Calculator!R37)+1)+1,4))</t>
  </si>
  <si>
    <t>MF49-(MF49*(MD60*($MH$63-1)))</t>
  </si>
  <si>
    <t>Note 2</t>
  </si>
  <si>
    <t>Note 1</t>
  </si>
  <si>
    <r>
      <t xml:space="preserve">BCA 3.12.2: External </t>
    </r>
    <r>
      <rPr>
        <i/>
        <sz val="8"/>
        <rFont val="Arial"/>
        <family val="2"/>
      </rPr>
      <t>glazing</t>
    </r>
    <r>
      <rPr>
        <sz val="8"/>
        <rFont val="Arial"/>
        <family val="2"/>
      </rPr>
      <t xml:space="preserve"> is a per storey assessment.  Building work undertaken on more than one storey </t>
    </r>
    <r>
      <rPr>
        <i/>
        <sz val="8"/>
        <rFont val="Arial"/>
        <family val="2"/>
      </rPr>
      <t>requires</t>
    </r>
    <r>
      <rPr>
        <sz val="8"/>
        <rFont val="Arial"/>
        <family val="2"/>
      </rPr>
      <t xml:space="preserve"> additional Glazing calculations.</t>
    </r>
  </si>
  <si>
    <t>BCA 3.12.4: Air movement is not a per storey assessment, but the simplied calculation method is based on per storey Glazing Calculator data.</t>
  </si>
  <si>
    <r>
      <t xml:space="preserve">For </t>
    </r>
    <r>
      <rPr>
        <b/>
        <sz val="8"/>
        <rFont val="Arial"/>
        <family val="2"/>
      </rPr>
      <t>Protocol B2.1.1 and B2.1.2</t>
    </r>
    <r>
      <rPr>
        <sz val="8"/>
        <rFont val="Arial"/>
        <family val="2"/>
      </rPr>
      <t xml:space="preserve"> this DATASHEET reports additional storey </t>
    </r>
    <r>
      <rPr>
        <i/>
        <sz val="8"/>
        <rFont val="Arial"/>
        <family val="2"/>
      </rPr>
      <t>glazing</t>
    </r>
    <r>
      <rPr>
        <sz val="8"/>
        <rFont val="Arial"/>
        <family val="2"/>
      </rPr>
      <t xml:space="preserve"> that is nominated as existing to allow for verification of performance values, and calculated air movement values, used on the GLAZING CALCULATOR report.</t>
    </r>
    <r>
      <rPr>
        <b/>
        <u/>
        <sz val="8"/>
        <rFont val="Arial"/>
        <family val="2"/>
      </rPr>
      <t/>
    </r>
  </si>
  <si>
    <r>
      <t xml:space="preserve">For </t>
    </r>
    <r>
      <rPr>
        <b/>
        <sz val="8"/>
        <rFont val="Arial"/>
        <family val="2"/>
      </rPr>
      <t>Protocol B4.1</t>
    </r>
    <r>
      <rPr>
        <sz val="8"/>
        <rFont val="Arial"/>
        <family val="2"/>
      </rPr>
      <t xml:space="preserve"> this DATASHEET reports additional storey air movement calculations for nominated </t>
    </r>
    <r>
      <rPr>
        <i/>
        <sz val="8"/>
        <rFont val="Arial"/>
        <family val="2"/>
      </rPr>
      <t>habitable rooms.</t>
    </r>
  </si>
  <si>
    <t>Additional notes that apply for this DATASHEET</t>
  </si>
  <si>
    <t>07 Feb 2015</t>
  </si>
  <si>
    <t>Correction to "High" air movement outcome</t>
  </si>
</sst>
</file>

<file path=xl/styles.xml><?xml version="1.0" encoding="utf-8"?>
<styleSheet xmlns="http://schemas.openxmlformats.org/spreadsheetml/2006/main" xmlns:mc="http://schemas.openxmlformats.org/markup-compatibility/2006" xmlns:x14ac="http://schemas.microsoft.com/office/spreadsheetml/2009/9/ac" mc:Ignorable="x14ac">
  <numFmts count="31">
    <numFmt numFmtId="164" formatCode="General\°"/>
    <numFmt numFmtId="165" formatCode="General&quot;°&quot;"/>
    <numFmt numFmtId="166" formatCode="#,##0_ ;[Red]\-#,##0\ "/>
    <numFmt numFmtId="167" formatCode="0.00_ ;[Red]\-0.00\ "/>
    <numFmt numFmtId="168" formatCode="0_ ;[Red]\-0\ "/>
    <numFmt numFmtId="169" formatCode="0.0_ ;[Red]\-0.0\ "/>
    <numFmt numFmtId="170" formatCode="0.000_ ;[Red]\-0.000\ "/>
    <numFmt numFmtId="171" formatCode="0.00;;"/>
    <numFmt numFmtId="172" formatCode="General&quot;m²&quot;"/>
    <numFmt numFmtId="173" formatCode="0.000"/>
    <numFmt numFmtId="174" formatCode="#,##0.00_ ;[Red]\-#,##0.00\ "/>
    <numFmt numFmtId="175" formatCode="0."/>
    <numFmt numFmtId="176" formatCode="0.00;;0"/>
    <numFmt numFmtId="177" formatCode="0%;;0"/>
    <numFmt numFmtId="178" formatCode="0%;\-0%;0"/>
    <numFmt numFmtId="179" formatCode="0.0\ ;;"/>
    <numFmt numFmtId="180" formatCode="0.00\ ;;"/>
    <numFmt numFmtId="181" formatCode="0.0&quot;m²&quot;;;"/>
    <numFmt numFmtId="182" formatCode="General&quot;m²&quot;;;"/>
    <numFmt numFmtId="183" formatCode="0&quot;m²&quot;;;"/>
    <numFmt numFmtId="184" formatCode="0.000_ ;[Red]\-0.000_ ;&quot;inactive&quot;;"/>
    <numFmt numFmtId="185" formatCode="General&quot; x Std&quot;"/>
    <numFmt numFmtId="186" formatCode="0.0"/>
    <numFmt numFmtId="187" formatCode="0.0_ ;[Red]\-0.0\ ;"/>
    <numFmt numFmtId="188" formatCode="0%;;"/>
    <numFmt numFmtId="189" formatCode="0.000;;"/>
    <numFmt numFmtId="190" formatCode="0.0%"/>
    <numFmt numFmtId="191" formatCode="#,##0.000_);[Red]\(#,##0.000\)"/>
    <numFmt numFmtId="192" formatCode="#,##0.00_);[Red]\(#,##0.00\)"/>
    <numFmt numFmtId="193" formatCode="0.000%"/>
    <numFmt numFmtId="194" formatCode="0.00000%"/>
  </numFmts>
  <fonts count="112">
    <font>
      <sz val="10"/>
      <name val="Arial"/>
    </font>
    <font>
      <sz val="10"/>
      <name val="Arial"/>
      <family val="2"/>
    </font>
    <font>
      <sz val="8"/>
      <name val="Arial"/>
      <family val="2"/>
    </font>
    <font>
      <b/>
      <sz val="10"/>
      <color indexed="12"/>
      <name val="Arial"/>
      <family val="2"/>
    </font>
    <font>
      <i/>
      <sz val="10"/>
      <color indexed="12"/>
      <name val="Arial"/>
      <family val="2"/>
    </font>
    <font>
      <i/>
      <sz val="10"/>
      <color indexed="10"/>
      <name val="Arial"/>
      <family val="2"/>
    </font>
    <font>
      <i/>
      <sz val="10"/>
      <name val="Arial"/>
      <family val="2"/>
    </font>
    <font>
      <b/>
      <sz val="10"/>
      <name val="Arial"/>
      <family val="2"/>
    </font>
    <font>
      <b/>
      <sz val="8"/>
      <name val="Arial"/>
      <family val="2"/>
    </font>
    <font>
      <b/>
      <i/>
      <sz val="8"/>
      <name val="Arial"/>
      <family val="2"/>
    </font>
    <font>
      <sz val="10"/>
      <color indexed="23"/>
      <name val="Arial"/>
      <family val="2"/>
    </font>
    <font>
      <b/>
      <i/>
      <sz val="10"/>
      <name val="Arial"/>
      <family val="2"/>
    </font>
    <font>
      <b/>
      <sz val="8"/>
      <color indexed="81"/>
      <name val="Tahoma"/>
      <family val="2"/>
    </font>
    <font>
      <sz val="8"/>
      <color indexed="81"/>
      <name val="Tahoma"/>
      <family val="2"/>
    </font>
    <font>
      <sz val="8"/>
      <name val="Arial"/>
      <family val="2"/>
    </font>
    <font>
      <b/>
      <sz val="12"/>
      <name val="Arial"/>
      <family val="2"/>
    </font>
    <font>
      <sz val="10"/>
      <color indexed="23"/>
      <name val="Arial"/>
      <family val="2"/>
    </font>
    <font>
      <b/>
      <i/>
      <sz val="10"/>
      <color indexed="23"/>
      <name val="Arial"/>
      <family val="2"/>
    </font>
    <font>
      <b/>
      <sz val="8"/>
      <color indexed="9"/>
      <name val="Arial"/>
      <family val="2"/>
    </font>
    <font>
      <i/>
      <sz val="10"/>
      <color indexed="23"/>
      <name val="Arial"/>
      <family val="2"/>
    </font>
    <font>
      <sz val="8"/>
      <color indexed="9"/>
      <name val="Arial"/>
      <family val="2"/>
    </font>
    <font>
      <sz val="8"/>
      <color indexed="9"/>
      <name val="Arial"/>
      <family val="2"/>
    </font>
    <font>
      <b/>
      <i/>
      <sz val="10"/>
      <color indexed="9"/>
      <name val="Arial"/>
      <family val="2"/>
    </font>
    <font>
      <b/>
      <sz val="8"/>
      <color indexed="10"/>
      <name val="Arial"/>
      <family val="2"/>
    </font>
    <font>
      <sz val="8"/>
      <color indexed="23"/>
      <name val="Arial"/>
      <family val="2"/>
    </font>
    <font>
      <sz val="10"/>
      <name val="Arial"/>
      <family val="2"/>
    </font>
    <font>
      <b/>
      <sz val="8"/>
      <color indexed="23"/>
      <name val="Arial"/>
      <family val="2"/>
    </font>
    <font>
      <sz val="10"/>
      <color indexed="22"/>
      <name val="Arial"/>
      <family val="2"/>
    </font>
    <font>
      <sz val="8"/>
      <color indexed="23"/>
      <name val="Arial"/>
      <family val="2"/>
    </font>
    <font>
      <b/>
      <i/>
      <sz val="10"/>
      <color indexed="10"/>
      <name val="Arial"/>
      <family val="2"/>
    </font>
    <font>
      <i/>
      <sz val="10"/>
      <color indexed="9"/>
      <name val="Arial"/>
      <family val="2"/>
    </font>
    <font>
      <i/>
      <sz val="8"/>
      <color indexed="12"/>
      <name val="Arial"/>
      <family val="2"/>
    </font>
    <font>
      <b/>
      <i/>
      <sz val="10"/>
      <color indexed="17"/>
      <name val="Arial"/>
      <family val="2"/>
    </font>
    <font>
      <vertAlign val="subscript"/>
      <sz val="10"/>
      <name val="Arial"/>
      <family val="2"/>
    </font>
    <font>
      <b/>
      <sz val="12"/>
      <color indexed="10"/>
      <name val="Arial"/>
      <family val="2"/>
    </font>
    <font>
      <vertAlign val="subscript"/>
      <sz val="8"/>
      <name val="Arial"/>
      <family val="2"/>
    </font>
    <font>
      <i/>
      <sz val="8"/>
      <color indexed="55"/>
      <name val="Arial"/>
      <family val="2"/>
    </font>
    <font>
      <i/>
      <sz val="8"/>
      <color indexed="10"/>
      <name val="Tahoma"/>
      <family val="2"/>
    </font>
    <font>
      <sz val="10"/>
      <color indexed="9"/>
      <name val="Arial"/>
      <family val="2"/>
    </font>
    <font>
      <i/>
      <sz val="8"/>
      <color indexed="12"/>
      <name val="Tahoma"/>
      <family val="2"/>
    </font>
    <font>
      <i/>
      <sz val="8"/>
      <color indexed="10"/>
      <name val="Arial"/>
      <family val="2"/>
    </font>
    <font>
      <sz val="8"/>
      <color indexed="12"/>
      <name val="Arial"/>
      <family val="2"/>
    </font>
    <font>
      <b/>
      <sz val="10"/>
      <color indexed="23"/>
      <name val="Arial"/>
      <family val="2"/>
    </font>
    <font>
      <b/>
      <sz val="16"/>
      <color indexed="9"/>
      <name val="Arial"/>
      <family val="2"/>
    </font>
    <font>
      <sz val="16"/>
      <color indexed="9"/>
      <name val="Arial"/>
      <family val="2"/>
    </font>
    <font>
      <sz val="20"/>
      <name val="Arial"/>
      <family val="2"/>
    </font>
    <font>
      <b/>
      <i/>
      <sz val="10"/>
      <color indexed="53"/>
      <name val="Arial"/>
      <family val="2"/>
    </font>
    <font>
      <i/>
      <sz val="10"/>
      <color indexed="53"/>
      <name val="Arial"/>
      <family val="2"/>
    </font>
    <font>
      <b/>
      <sz val="10"/>
      <color indexed="10"/>
      <name val="Arial"/>
      <family val="2"/>
    </font>
    <font>
      <i/>
      <sz val="8"/>
      <color indexed="23"/>
      <name val="Arial"/>
      <family val="2"/>
    </font>
    <font>
      <b/>
      <sz val="72"/>
      <color indexed="9"/>
      <name val="Wingdings"/>
      <charset val="2"/>
    </font>
    <font>
      <sz val="72"/>
      <name val="Arial"/>
      <family val="2"/>
    </font>
    <font>
      <sz val="10"/>
      <color indexed="10"/>
      <name val="Arial"/>
      <family val="2"/>
    </font>
    <font>
      <b/>
      <sz val="16"/>
      <name val="Arial"/>
      <family val="2"/>
    </font>
    <font>
      <b/>
      <sz val="24"/>
      <color indexed="43"/>
      <name val="Arial"/>
      <family val="2"/>
    </font>
    <font>
      <sz val="10"/>
      <color indexed="22"/>
      <name val="Arial"/>
      <family val="2"/>
    </font>
    <font>
      <sz val="10"/>
      <color indexed="10"/>
      <name val="Arial"/>
      <family val="2"/>
    </font>
    <font>
      <b/>
      <sz val="10"/>
      <color indexed="10"/>
      <name val="Arial"/>
      <family val="2"/>
    </font>
    <font>
      <b/>
      <sz val="10"/>
      <color indexed="12"/>
      <name val="Arial"/>
      <family val="2"/>
    </font>
    <font>
      <sz val="10"/>
      <color indexed="12"/>
      <name val="Arial"/>
      <family val="2"/>
    </font>
    <font>
      <i/>
      <sz val="10"/>
      <color indexed="12"/>
      <name val="Arial"/>
      <family val="2"/>
    </font>
    <font>
      <b/>
      <sz val="12"/>
      <color indexed="12"/>
      <name val="Arial"/>
      <family val="2"/>
    </font>
    <font>
      <b/>
      <sz val="10"/>
      <color indexed="23"/>
      <name val="Arial"/>
      <family val="2"/>
    </font>
    <font>
      <i/>
      <sz val="10"/>
      <color indexed="23"/>
      <name val="Arial"/>
      <family val="2"/>
    </font>
    <font>
      <sz val="12"/>
      <name val="Arial"/>
      <family val="2"/>
    </font>
    <font>
      <sz val="10"/>
      <color indexed="23"/>
      <name val="Arial"/>
      <family val="2"/>
    </font>
    <font>
      <sz val="14"/>
      <name val="Arial"/>
      <family val="2"/>
    </font>
    <font>
      <i/>
      <sz val="8"/>
      <name val="Arial"/>
      <family val="2"/>
    </font>
    <font>
      <sz val="8"/>
      <name val="Arial"/>
      <family val="2"/>
    </font>
    <font>
      <sz val="8"/>
      <color indexed="23"/>
      <name val="Arial"/>
      <family val="2"/>
    </font>
    <font>
      <sz val="2"/>
      <color indexed="9"/>
      <name val="Arial"/>
      <family val="2"/>
    </font>
    <font>
      <b/>
      <sz val="10"/>
      <name val="Arial"/>
      <family val="2"/>
    </font>
    <font>
      <sz val="10"/>
      <name val="Arial"/>
      <family val="2"/>
    </font>
    <font>
      <i/>
      <sz val="8"/>
      <color indexed="23"/>
      <name val="Tahoma"/>
      <family val="2"/>
    </font>
    <font>
      <b/>
      <i/>
      <sz val="10"/>
      <color rgb="FFFF0000"/>
      <name val="Arial"/>
      <family val="2"/>
    </font>
    <font>
      <sz val="10"/>
      <color theme="0"/>
      <name val="Arial"/>
      <family val="2"/>
    </font>
    <font>
      <sz val="9"/>
      <color indexed="81"/>
      <name val="Tahoma"/>
      <family val="2"/>
    </font>
    <font>
      <b/>
      <sz val="9"/>
      <color indexed="81"/>
      <name val="Tahoma"/>
      <family val="2"/>
    </font>
    <font>
      <sz val="10"/>
      <color theme="1" tint="0.499984740745262"/>
      <name val="Arial"/>
      <family val="2"/>
    </font>
    <font>
      <b/>
      <sz val="10"/>
      <color theme="1" tint="0.499984740745262"/>
      <name val="Arial"/>
      <family val="2"/>
    </font>
    <font>
      <sz val="8"/>
      <color indexed="22"/>
      <name val="Arial"/>
      <family val="2"/>
    </font>
    <font>
      <sz val="8"/>
      <color rgb="FF808080"/>
      <name val="Arial"/>
      <family val="2"/>
    </font>
    <font>
      <i/>
      <sz val="8"/>
      <color theme="0"/>
      <name val="Arial"/>
      <family val="2"/>
    </font>
    <font>
      <i/>
      <sz val="10"/>
      <color rgb="FF969696"/>
      <name val="Arial"/>
      <family val="2"/>
    </font>
    <font>
      <sz val="8"/>
      <color rgb="FF0000FF"/>
      <name val="Arial"/>
      <family val="2"/>
    </font>
    <font>
      <i/>
      <sz val="10"/>
      <color rgb="FFFF0000"/>
      <name val="Arial"/>
      <family val="2"/>
    </font>
    <font>
      <sz val="8"/>
      <color rgb="FFFF0000"/>
      <name val="Arial"/>
      <family val="2"/>
    </font>
    <font>
      <i/>
      <sz val="10"/>
      <color rgb="FF0000FF"/>
      <name val="Arial"/>
      <family val="2"/>
    </font>
    <font>
      <b/>
      <i/>
      <sz val="10"/>
      <color rgb="FF008000"/>
      <name val="Arial"/>
      <family val="2"/>
    </font>
    <font>
      <b/>
      <i/>
      <sz val="8"/>
      <color rgb="FFFF0000"/>
      <name val="Arial"/>
      <family val="2"/>
    </font>
    <font>
      <b/>
      <i/>
      <sz val="9"/>
      <color rgb="FFFF0000"/>
      <name val="Arial"/>
      <family val="2"/>
    </font>
    <font>
      <b/>
      <i/>
      <sz val="8"/>
      <color theme="0"/>
      <name val="Arial"/>
      <family val="2"/>
    </font>
    <font>
      <b/>
      <i/>
      <sz val="8"/>
      <color indexed="17"/>
      <name val="Arial"/>
      <family val="2"/>
    </font>
    <font>
      <b/>
      <i/>
      <sz val="8"/>
      <color indexed="10"/>
      <name val="Arial"/>
      <family val="2"/>
    </font>
    <font>
      <i/>
      <sz val="8"/>
      <color indexed="9"/>
      <name val="Arial"/>
      <family val="2"/>
    </font>
    <font>
      <b/>
      <sz val="8"/>
      <color indexed="52"/>
      <name val="Tahoma"/>
      <family val="2"/>
    </font>
    <font>
      <b/>
      <sz val="10"/>
      <color rgb="FF0000FF"/>
      <name val="Arial"/>
      <family val="2"/>
    </font>
    <font>
      <sz val="10"/>
      <color rgb="FF0000FF"/>
      <name val="Arial"/>
      <family val="2"/>
    </font>
    <font>
      <b/>
      <i/>
      <sz val="10"/>
      <color rgb="FF0000FF"/>
      <name val="Arial"/>
      <family val="2"/>
    </font>
    <font>
      <b/>
      <sz val="12"/>
      <color rgb="FF0000FF"/>
      <name val="Arial"/>
      <family val="2"/>
    </font>
    <font>
      <b/>
      <sz val="8"/>
      <color theme="0"/>
      <name val="Arial"/>
      <family val="2"/>
    </font>
    <font>
      <i/>
      <sz val="8"/>
      <color rgb="FF0000FF"/>
      <name val="Arial"/>
      <family val="2"/>
    </font>
    <font>
      <sz val="8"/>
      <color theme="0" tint="-0.499984740745262"/>
      <name val="Arial"/>
      <family val="2"/>
    </font>
    <font>
      <sz val="7"/>
      <name val="Arial"/>
      <family val="2"/>
    </font>
    <font>
      <sz val="8"/>
      <name val="Calibri"/>
      <family val="2"/>
    </font>
    <font>
      <i/>
      <sz val="8"/>
      <color rgb="FFFF0000"/>
      <name val="Arial"/>
      <family val="2"/>
    </font>
    <font>
      <sz val="8"/>
      <color theme="0"/>
      <name val="Arial"/>
      <family val="2"/>
    </font>
    <font>
      <b/>
      <sz val="14"/>
      <color theme="0"/>
      <name val="Arial"/>
      <family val="2"/>
    </font>
    <font>
      <u/>
      <sz val="8"/>
      <name val="Arial"/>
      <family val="2"/>
    </font>
    <font>
      <b/>
      <u/>
      <sz val="8"/>
      <name val="Arial"/>
      <family val="2"/>
    </font>
    <font>
      <sz val="7.5"/>
      <name val="Arial"/>
      <family val="2"/>
    </font>
    <font>
      <b/>
      <sz val="8"/>
      <name val="Calibri"/>
      <family val="2"/>
    </font>
  </fonts>
  <fills count="36">
    <fill>
      <patternFill patternType="none"/>
    </fill>
    <fill>
      <patternFill patternType="gray125"/>
    </fill>
    <fill>
      <patternFill patternType="solid">
        <fgColor indexed="22"/>
        <bgColor indexed="64"/>
      </patternFill>
    </fill>
    <fill>
      <patternFill patternType="solid">
        <fgColor indexed="23"/>
        <bgColor indexed="64"/>
      </patternFill>
    </fill>
    <fill>
      <patternFill patternType="solid">
        <fgColor indexed="41"/>
        <bgColor indexed="64"/>
      </patternFill>
    </fill>
    <fill>
      <patternFill patternType="solid">
        <fgColor indexed="44"/>
        <bgColor indexed="64"/>
      </patternFill>
    </fill>
    <fill>
      <patternFill patternType="solid">
        <fgColor indexed="43"/>
        <bgColor indexed="64"/>
      </patternFill>
    </fill>
    <fill>
      <patternFill patternType="solid">
        <fgColor indexed="10"/>
        <bgColor indexed="64"/>
      </patternFill>
    </fill>
    <fill>
      <patternFill patternType="solid">
        <fgColor indexed="47"/>
        <bgColor indexed="64"/>
      </patternFill>
    </fill>
    <fill>
      <patternFill patternType="solid">
        <fgColor indexed="26"/>
        <bgColor indexed="64"/>
      </patternFill>
    </fill>
    <fill>
      <patternFill patternType="mediumGray">
        <fgColor indexed="42"/>
      </patternFill>
    </fill>
    <fill>
      <patternFill patternType="solid">
        <fgColor indexed="13"/>
        <bgColor indexed="64"/>
      </patternFill>
    </fill>
    <fill>
      <patternFill patternType="solid">
        <fgColor indexed="52"/>
        <bgColor indexed="64"/>
      </patternFill>
    </fill>
    <fill>
      <patternFill patternType="solid">
        <fgColor indexed="9"/>
        <bgColor indexed="64"/>
      </patternFill>
    </fill>
    <fill>
      <patternFill patternType="solid">
        <fgColor indexed="42"/>
        <bgColor indexed="64"/>
      </patternFill>
    </fill>
    <fill>
      <patternFill patternType="solid">
        <fgColor indexed="17"/>
        <bgColor indexed="64"/>
      </patternFill>
    </fill>
    <fill>
      <patternFill patternType="solid">
        <fgColor rgb="FFCCFFCC"/>
        <bgColor indexed="64"/>
      </patternFill>
    </fill>
    <fill>
      <patternFill patternType="solid">
        <fgColor theme="0"/>
        <bgColor indexed="64"/>
      </patternFill>
    </fill>
    <fill>
      <patternFill patternType="solid">
        <fgColor rgb="FF4D4D4D"/>
        <bgColor indexed="64"/>
      </patternFill>
    </fill>
    <fill>
      <patternFill patternType="solid">
        <fgColor rgb="FFFFCC99"/>
        <bgColor indexed="64"/>
      </patternFill>
    </fill>
    <fill>
      <patternFill patternType="solid">
        <fgColor rgb="FFFF0000"/>
        <bgColor indexed="64"/>
      </patternFill>
    </fill>
    <fill>
      <patternFill patternType="solid">
        <fgColor rgb="FFC0C0C0"/>
        <bgColor indexed="64"/>
      </patternFill>
    </fill>
    <fill>
      <patternFill patternType="solid">
        <fgColor rgb="FFFFFFCC"/>
        <bgColor indexed="64"/>
      </patternFill>
    </fill>
    <fill>
      <patternFill patternType="solid">
        <fgColor rgb="FFFFFF00"/>
        <bgColor indexed="64"/>
      </patternFill>
    </fill>
    <fill>
      <patternFill patternType="solid">
        <fgColor theme="1"/>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rgb="FFFFFF99"/>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66CC"/>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indexed="64"/>
      </patternFill>
    </fill>
  </fills>
  <borders count="154">
    <border>
      <left/>
      <right/>
      <top/>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right/>
      <top style="thin">
        <color indexed="64"/>
      </top>
      <bottom/>
      <diagonal/>
    </border>
    <border>
      <left/>
      <right/>
      <top style="medium">
        <color indexed="64"/>
      </top>
      <bottom/>
      <diagonal/>
    </border>
    <border>
      <left/>
      <right/>
      <top style="thin">
        <color indexed="64"/>
      </top>
      <bottom style="thin">
        <color indexed="55"/>
      </bottom>
      <diagonal/>
    </border>
    <border>
      <left/>
      <right/>
      <top style="thin">
        <color indexed="55"/>
      </top>
      <bottom style="thin">
        <color indexed="55"/>
      </bottom>
      <diagonal/>
    </border>
    <border>
      <left/>
      <right/>
      <top/>
      <bottom style="thin">
        <color indexed="55"/>
      </bottom>
      <diagonal/>
    </border>
    <border>
      <left style="thin">
        <color indexed="9"/>
      </left>
      <right style="thin">
        <color indexed="9"/>
      </right>
      <top/>
      <bottom style="medium">
        <color indexed="9"/>
      </bottom>
      <diagonal/>
    </border>
    <border>
      <left style="thin">
        <color indexed="9"/>
      </left>
      <right style="thin">
        <color indexed="9"/>
      </right>
      <top style="medium">
        <color indexed="9"/>
      </top>
      <bottom style="thin">
        <color indexed="9"/>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indexed="9"/>
      </left>
      <right style="thin">
        <color indexed="9"/>
      </right>
      <top style="thin">
        <color indexed="9"/>
      </top>
      <bottom style="medium">
        <color indexed="9"/>
      </bottom>
      <diagonal/>
    </border>
    <border>
      <left/>
      <right style="thin">
        <color indexed="9"/>
      </right>
      <top style="thin">
        <color indexed="9"/>
      </top>
      <bottom style="medium">
        <color indexed="9"/>
      </bottom>
      <diagonal/>
    </border>
    <border>
      <left style="thin">
        <color indexed="9"/>
      </left>
      <right/>
      <top style="thin">
        <color indexed="9"/>
      </top>
      <bottom style="medium">
        <color indexed="9"/>
      </bottom>
      <diagonal/>
    </border>
    <border>
      <left style="thin">
        <color indexed="9"/>
      </left>
      <right style="thin">
        <color indexed="9"/>
      </right>
      <top/>
      <bottom style="thin">
        <color indexed="9"/>
      </bottom>
      <diagonal/>
    </border>
    <border>
      <left style="thin">
        <color indexed="9"/>
      </left>
      <right style="thin">
        <color indexed="9"/>
      </right>
      <top/>
      <bottom style="medium">
        <color indexed="22"/>
      </bottom>
      <diagonal/>
    </border>
    <border>
      <left/>
      <right/>
      <top/>
      <bottom style="thin">
        <color indexed="9"/>
      </bottom>
      <diagonal/>
    </border>
    <border>
      <left/>
      <right/>
      <top/>
      <bottom style="medium">
        <color indexed="9"/>
      </bottom>
      <diagonal/>
    </border>
    <border>
      <left/>
      <right/>
      <top style="thin">
        <color indexed="55"/>
      </top>
      <bottom/>
      <diagonal/>
    </border>
    <border>
      <left style="thin">
        <color indexed="64"/>
      </left>
      <right style="thin">
        <color indexed="55"/>
      </right>
      <top style="thin">
        <color indexed="64"/>
      </top>
      <bottom style="thin">
        <color indexed="64"/>
      </bottom>
      <diagonal/>
    </border>
    <border>
      <left style="thin">
        <color indexed="55"/>
      </left>
      <right style="thin">
        <color indexed="55"/>
      </right>
      <top style="thin">
        <color indexed="64"/>
      </top>
      <bottom style="thin">
        <color indexed="64"/>
      </bottom>
      <diagonal/>
    </border>
    <border>
      <left style="thin">
        <color indexed="55"/>
      </left>
      <right style="thin">
        <color indexed="64"/>
      </right>
      <top style="thin">
        <color indexed="64"/>
      </top>
      <bottom style="thin">
        <color indexed="64"/>
      </bottom>
      <diagonal/>
    </border>
    <border>
      <left style="thin">
        <color indexed="64"/>
      </left>
      <right style="thin">
        <color indexed="55"/>
      </right>
      <top style="thin">
        <color indexed="64"/>
      </top>
      <bottom/>
      <diagonal/>
    </border>
    <border>
      <left style="thin">
        <color indexed="55"/>
      </left>
      <right style="thin">
        <color indexed="64"/>
      </right>
      <top style="thin">
        <color indexed="64"/>
      </top>
      <bottom style="thin">
        <color indexed="55"/>
      </bottom>
      <diagonal/>
    </border>
    <border>
      <left style="thin">
        <color indexed="64"/>
      </left>
      <right style="thin">
        <color indexed="55"/>
      </right>
      <top/>
      <bottom style="thin">
        <color indexed="64"/>
      </bottom>
      <diagonal/>
    </border>
    <border>
      <left style="thin">
        <color indexed="55"/>
      </left>
      <right style="thin">
        <color indexed="64"/>
      </right>
      <top style="thin">
        <color indexed="55"/>
      </top>
      <bottom style="thin">
        <color indexed="64"/>
      </bottom>
      <diagonal/>
    </border>
    <border>
      <left style="thin">
        <color indexed="64"/>
      </left>
      <right style="thin">
        <color indexed="55"/>
      </right>
      <top/>
      <bottom/>
      <diagonal/>
    </border>
    <border>
      <left style="thin">
        <color indexed="55"/>
      </left>
      <right style="thin">
        <color indexed="64"/>
      </right>
      <top/>
      <bottom style="thin">
        <color indexed="55"/>
      </bottom>
      <diagonal/>
    </border>
    <border>
      <left/>
      <right style="thin">
        <color indexed="22"/>
      </right>
      <top style="thin">
        <color indexed="22"/>
      </top>
      <bottom style="thin">
        <color indexed="22"/>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style="thin">
        <color indexed="22"/>
      </left>
      <right style="thin">
        <color indexed="22"/>
      </right>
      <top style="thin">
        <color indexed="22"/>
      </top>
      <bottom style="thin">
        <color indexed="64"/>
      </bottom>
      <diagonal/>
    </border>
    <border>
      <left style="thin">
        <color indexed="22"/>
      </left>
      <right style="thin">
        <color indexed="64"/>
      </right>
      <top style="thin">
        <color indexed="22"/>
      </top>
      <bottom style="thin">
        <color indexed="64"/>
      </bottom>
      <diagonal/>
    </border>
    <border>
      <left/>
      <right style="thin">
        <color indexed="22"/>
      </right>
      <top style="thin">
        <color indexed="64"/>
      </top>
      <bottom style="thin">
        <color indexed="22"/>
      </bottom>
      <diagonal/>
    </border>
    <border>
      <left/>
      <right style="thin">
        <color indexed="22"/>
      </right>
      <top style="thin">
        <color indexed="2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22"/>
      </right>
      <top/>
      <bottom style="thin">
        <color indexed="22"/>
      </bottom>
      <diagonal/>
    </border>
    <border>
      <left style="thin">
        <color indexed="22"/>
      </left>
      <right style="thin">
        <color indexed="22"/>
      </right>
      <top/>
      <bottom style="thin">
        <color indexed="22"/>
      </bottom>
      <diagonal/>
    </border>
    <border>
      <left style="thin">
        <color indexed="22"/>
      </left>
      <right style="thin">
        <color indexed="64"/>
      </right>
      <top style="thin">
        <color indexed="22"/>
      </top>
      <bottom style="thin">
        <color indexed="22"/>
      </bottom>
      <diagonal/>
    </border>
    <border>
      <left style="thin">
        <color indexed="64"/>
      </left>
      <right style="thin">
        <color indexed="64"/>
      </right>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medium">
        <color indexed="9"/>
      </left>
      <right style="thin">
        <color indexed="9"/>
      </right>
      <top style="medium">
        <color indexed="9"/>
      </top>
      <bottom style="medium">
        <color indexed="9"/>
      </bottom>
      <diagonal/>
    </border>
    <border>
      <left style="thin">
        <color indexed="9"/>
      </left>
      <right style="thin">
        <color indexed="9"/>
      </right>
      <top style="medium">
        <color indexed="9"/>
      </top>
      <bottom style="medium">
        <color indexed="9"/>
      </bottom>
      <diagonal/>
    </border>
    <border>
      <left style="thin">
        <color indexed="9"/>
      </left>
      <right style="medium">
        <color indexed="9"/>
      </right>
      <top style="medium">
        <color indexed="9"/>
      </top>
      <bottom style="medium">
        <color indexed="9"/>
      </bottom>
      <diagonal/>
    </border>
    <border>
      <left style="medium">
        <color indexed="9"/>
      </left>
      <right style="thin">
        <color indexed="9"/>
      </right>
      <top/>
      <bottom style="thin">
        <color indexed="9"/>
      </bottom>
      <diagonal/>
    </border>
    <border>
      <left style="thin">
        <color indexed="9"/>
      </left>
      <right style="medium">
        <color indexed="9"/>
      </right>
      <top/>
      <bottom style="thin">
        <color indexed="9"/>
      </bottom>
      <diagonal/>
    </border>
    <border>
      <left style="thin">
        <color indexed="9"/>
      </left>
      <right style="medium">
        <color indexed="9"/>
      </right>
      <top style="thin">
        <color indexed="9"/>
      </top>
      <bottom style="thin">
        <color indexed="9"/>
      </bottom>
      <diagonal/>
    </border>
    <border>
      <left style="medium">
        <color indexed="9"/>
      </left>
      <right style="thin">
        <color indexed="9"/>
      </right>
      <top style="thin">
        <color indexed="9"/>
      </top>
      <bottom style="medium">
        <color indexed="9"/>
      </bottom>
      <diagonal/>
    </border>
    <border>
      <left style="thin">
        <color indexed="9"/>
      </left>
      <right style="medium">
        <color indexed="9"/>
      </right>
      <top style="thin">
        <color indexed="9"/>
      </top>
      <bottom style="medium">
        <color indexed="9"/>
      </bottom>
      <diagonal/>
    </border>
    <border>
      <left style="medium">
        <color indexed="9"/>
      </left>
      <right style="thin">
        <color indexed="9"/>
      </right>
      <top style="thin">
        <color indexed="9"/>
      </top>
      <bottom style="thin">
        <color indexed="9"/>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55"/>
      </right>
      <top style="thin">
        <color indexed="64"/>
      </top>
      <bottom style="thin">
        <color indexed="64"/>
      </bottom>
      <diagonal/>
    </border>
    <border>
      <left style="medium">
        <color indexed="55"/>
      </left>
      <right style="medium">
        <color indexed="55"/>
      </right>
      <top style="medium">
        <color indexed="55"/>
      </top>
      <bottom style="medium">
        <color indexed="55"/>
      </bottom>
      <diagonal/>
    </border>
    <border>
      <left style="medium">
        <color indexed="55"/>
      </left>
      <right style="medium">
        <color indexed="55"/>
      </right>
      <top style="medium">
        <color indexed="55"/>
      </top>
      <bottom style="thin">
        <color indexed="55"/>
      </bottom>
      <diagonal/>
    </border>
    <border>
      <left style="medium">
        <color indexed="55"/>
      </left>
      <right style="medium">
        <color indexed="55"/>
      </right>
      <top/>
      <bottom style="medium">
        <color indexed="55"/>
      </bottom>
      <diagonal/>
    </border>
    <border>
      <left style="thin">
        <color indexed="9"/>
      </left>
      <right style="thin">
        <color indexed="9"/>
      </right>
      <top style="thin">
        <color indexed="9"/>
      </top>
      <bottom/>
      <diagonal/>
    </border>
    <border>
      <left/>
      <right/>
      <top style="medium">
        <color indexed="9"/>
      </top>
      <bottom/>
      <diagonal/>
    </border>
    <border>
      <left/>
      <right style="thin">
        <color indexed="64"/>
      </right>
      <top style="thin">
        <color indexed="64"/>
      </top>
      <bottom style="thin">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top style="thin">
        <color indexed="23"/>
      </top>
      <bottom style="thin">
        <color indexed="9"/>
      </bottom>
      <diagonal/>
    </border>
    <border>
      <left/>
      <right/>
      <top style="thin">
        <color indexed="23"/>
      </top>
      <bottom style="thin">
        <color indexed="9"/>
      </bottom>
      <diagonal/>
    </border>
    <border>
      <left/>
      <right style="thin">
        <color indexed="23"/>
      </right>
      <top style="thin">
        <color indexed="23"/>
      </top>
      <bottom style="thin">
        <color indexed="9"/>
      </bottom>
      <diagonal/>
    </border>
    <border>
      <left style="thin">
        <color indexed="23"/>
      </left>
      <right style="thin">
        <color indexed="23"/>
      </right>
      <top style="thin">
        <color indexed="23"/>
      </top>
      <bottom style="thin">
        <color indexed="9"/>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55"/>
      </left>
      <right style="medium">
        <color indexed="64"/>
      </right>
      <top style="thin">
        <color indexed="64"/>
      </top>
      <bottom style="thin">
        <color indexed="64"/>
      </bottom>
      <diagonal/>
    </border>
    <border>
      <left/>
      <right style="thin">
        <color indexed="55"/>
      </right>
      <top style="thin">
        <color indexed="64"/>
      </top>
      <bottom style="thin">
        <color indexed="55"/>
      </bottom>
      <diagonal/>
    </border>
    <border>
      <left style="thin">
        <color indexed="55"/>
      </left>
      <right style="thin">
        <color indexed="55"/>
      </right>
      <top style="thin">
        <color indexed="64"/>
      </top>
      <bottom style="thin">
        <color indexed="55"/>
      </bottom>
      <diagonal/>
    </border>
    <border>
      <left/>
      <right style="thin">
        <color indexed="55"/>
      </right>
      <top style="thin">
        <color indexed="55"/>
      </top>
      <bottom style="thin">
        <color indexed="64"/>
      </bottom>
      <diagonal/>
    </border>
    <border>
      <left style="thin">
        <color indexed="55"/>
      </left>
      <right style="thin">
        <color indexed="55"/>
      </right>
      <top style="thin">
        <color indexed="55"/>
      </top>
      <bottom style="thin">
        <color indexed="64"/>
      </bottom>
      <diagonal/>
    </border>
    <border>
      <left/>
      <right style="thin">
        <color indexed="55"/>
      </right>
      <top/>
      <bottom style="thin">
        <color indexed="55"/>
      </bottom>
      <diagonal/>
    </border>
    <border>
      <left style="thin">
        <color indexed="55"/>
      </left>
      <right style="thin">
        <color indexed="55"/>
      </right>
      <top/>
      <bottom style="thin">
        <color indexed="55"/>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55"/>
      </left>
      <right/>
      <top style="thin">
        <color indexed="64"/>
      </top>
      <bottom style="thin">
        <color rgb="FF969696"/>
      </bottom>
      <diagonal/>
    </border>
    <border>
      <left/>
      <right style="thin">
        <color indexed="64"/>
      </right>
      <top style="thin">
        <color indexed="64"/>
      </top>
      <bottom style="thin">
        <color rgb="FF969696"/>
      </bottom>
      <diagonal/>
    </border>
    <border>
      <left style="thin">
        <color indexed="64"/>
      </left>
      <right style="thin">
        <color indexed="64"/>
      </right>
      <top style="thin">
        <color indexed="64"/>
      </top>
      <bottom style="thin">
        <color rgb="FF969696"/>
      </bottom>
      <diagonal/>
    </border>
    <border>
      <left/>
      <right style="thin">
        <color indexed="55"/>
      </right>
      <top style="thin">
        <color indexed="64"/>
      </top>
      <bottom style="thin">
        <color rgb="FF969696"/>
      </bottom>
      <diagonal/>
    </border>
    <border>
      <left style="thin">
        <color indexed="55"/>
      </left>
      <right style="thin">
        <color indexed="55"/>
      </right>
      <top style="thin">
        <color indexed="64"/>
      </top>
      <bottom style="thin">
        <color rgb="FF969696"/>
      </bottom>
      <diagonal/>
    </border>
    <border>
      <left style="thin">
        <color indexed="64"/>
      </left>
      <right style="thin">
        <color indexed="55"/>
      </right>
      <top style="thin">
        <color indexed="64"/>
      </top>
      <bottom style="thin">
        <color rgb="FF969696"/>
      </bottom>
      <diagonal/>
    </border>
    <border>
      <left style="thin">
        <color indexed="55"/>
      </left>
      <right style="thin">
        <color indexed="64"/>
      </right>
      <top style="thin">
        <color indexed="64"/>
      </top>
      <bottom style="thin">
        <color rgb="FF969696"/>
      </bottom>
      <diagonal/>
    </border>
    <border>
      <left style="thin">
        <color indexed="55"/>
      </left>
      <right style="medium">
        <color indexed="64"/>
      </right>
      <top style="thin">
        <color indexed="64"/>
      </top>
      <bottom style="thin">
        <color rgb="FF969696"/>
      </bottom>
      <diagonal/>
    </border>
    <border>
      <left style="thin">
        <color indexed="55"/>
      </left>
      <right/>
      <top style="thin">
        <color rgb="FF969696"/>
      </top>
      <bottom style="thin">
        <color rgb="FF969696"/>
      </bottom>
      <diagonal/>
    </border>
    <border>
      <left/>
      <right style="thin">
        <color indexed="64"/>
      </right>
      <top style="thin">
        <color rgb="FF969696"/>
      </top>
      <bottom style="thin">
        <color rgb="FF969696"/>
      </bottom>
      <diagonal/>
    </border>
    <border>
      <left style="thin">
        <color indexed="64"/>
      </left>
      <right style="thin">
        <color indexed="64"/>
      </right>
      <top style="thin">
        <color rgb="FF969696"/>
      </top>
      <bottom style="thin">
        <color rgb="FF969696"/>
      </bottom>
      <diagonal/>
    </border>
    <border>
      <left/>
      <right style="thin">
        <color indexed="55"/>
      </right>
      <top style="thin">
        <color rgb="FF969696"/>
      </top>
      <bottom style="thin">
        <color rgb="FF969696"/>
      </bottom>
      <diagonal/>
    </border>
    <border>
      <left style="thin">
        <color indexed="55"/>
      </left>
      <right style="thin">
        <color indexed="55"/>
      </right>
      <top style="thin">
        <color rgb="FF969696"/>
      </top>
      <bottom style="thin">
        <color rgb="FF969696"/>
      </bottom>
      <diagonal/>
    </border>
    <border>
      <left style="thin">
        <color indexed="64"/>
      </left>
      <right style="thin">
        <color indexed="55"/>
      </right>
      <top style="thin">
        <color rgb="FF969696"/>
      </top>
      <bottom style="thin">
        <color rgb="FF969696"/>
      </bottom>
      <diagonal/>
    </border>
    <border>
      <left style="thin">
        <color indexed="55"/>
      </left>
      <right style="thin">
        <color indexed="64"/>
      </right>
      <top style="thin">
        <color rgb="FF969696"/>
      </top>
      <bottom style="thin">
        <color rgb="FF969696"/>
      </bottom>
      <diagonal/>
    </border>
    <border>
      <left style="thin">
        <color indexed="55"/>
      </left>
      <right style="medium">
        <color indexed="64"/>
      </right>
      <top style="thin">
        <color rgb="FF969696"/>
      </top>
      <bottom style="thin">
        <color rgb="FF969696"/>
      </bottom>
      <diagonal/>
    </border>
    <border>
      <left style="thin">
        <color indexed="55"/>
      </left>
      <right/>
      <top style="thin">
        <color rgb="FF969696"/>
      </top>
      <bottom style="medium">
        <color indexed="64"/>
      </bottom>
      <diagonal/>
    </border>
    <border>
      <left/>
      <right style="thin">
        <color indexed="64"/>
      </right>
      <top style="thin">
        <color rgb="FF969696"/>
      </top>
      <bottom style="medium">
        <color indexed="64"/>
      </bottom>
      <diagonal/>
    </border>
    <border>
      <left style="thin">
        <color indexed="64"/>
      </left>
      <right style="thin">
        <color indexed="64"/>
      </right>
      <top style="thin">
        <color rgb="FF969696"/>
      </top>
      <bottom style="medium">
        <color indexed="64"/>
      </bottom>
      <diagonal/>
    </border>
    <border>
      <left/>
      <right style="thin">
        <color indexed="55"/>
      </right>
      <top style="thin">
        <color rgb="FF969696"/>
      </top>
      <bottom style="medium">
        <color indexed="64"/>
      </bottom>
      <diagonal/>
    </border>
    <border>
      <left style="thin">
        <color indexed="55"/>
      </left>
      <right style="thin">
        <color indexed="55"/>
      </right>
      <top style="thin">
        <color rgb="FF969696"/>
      </top>
      <bottom style="medium">
        <color indexed="64"/>
      </bottom>
      <diagonal/>
    </border>
    <border>
      <left style="thin">
        <color indexed="64"/>
      </left>
      <right style="thin">
        <color indexed="55"/>
      </right>
      <top style="thin">
        <color rgb="FF969696"/>
      </top>
      <bottom style="medium">
        <color indexed="64"/>
      </bottom>
      <diagonal/>
    </border>
    <border>
      <left style="thin">
        <color indexed="55"/>
      </left>
      <right style="thin">
        <color indexed="64"/>
      </right>
      <top style="thin">
        <color rgb="FF969696"/>
      </top>
      <bottom style="medium">
        <color indexed="64"/>
      </bottom>
      <diagonal/>
    </border>
    <border>
      <left style="thin">
        <color indexed="55"/>
      </left>
      <right style="medium">
        <color indexed="64"/>
      </right>
      <top style="thin">
        <color rgb="FF969696"/>
      </top>
      <bottom style="medium">
        <color indexed="64"/>
      </bottom>
      <diagonal/>
    </border>
    <border>
      <left/>
      <right/>
      <top style="thin">
        <color indexed="64"/>
      </top>
      <bottom style="thin">
        <color rgb="FF969696"/>
      </bottom>
      <diagonal/>
    </border>
    <border>
      <left/>
      <right/>
      <top style="thin">
        <color rgb="FF969696"/>
      </top>
      <bottom style="thin">
        <color rgb="FF969696"/>
      </bottom>
      <diagonal/>
    </border>
    <border>
      <left/>
      <right/>
      <top/>
      <bottom style="medium">
        <color indexed="64"/>
      </bottom>
      <diagonal/>
    </border>
    <border>
      <left/>
      <right/>
      <top style="thin">
        <color rgb="FF969696"/>
      </top>
      <bottom style="medium">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right/>
      <top style="thin">
        <color rgb="FFFFFF99"/>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style="thin">
        <color indexed="64"/>
      </top>
      <bottom/>
      <diagonal/>
    </border>
    <border>
      <left/>
      <right style="thin">
        <color indexed="64"/>
      </right>
      <top/>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right style="thin">
        <color indexed="64"/>
      </right>
      <top/>
      <bottom style="medium">
        <color indexed="64"/>
      </bottom>
      <diagonal/>
    </border>
    <border>
      <left style="thin">
        <color theme="0" tint="-0.499984740745262"/>
      </left>
      <right/>
      <top style="medium">
        <color indexed="64"/>
      </top>
      <bottom style="thin">
        <color theme="0" tint="-0.499984740745262"/>
      </bottom>
      <diagonal/>
    </border>
    <border>
      <left/>
      <right style="thin">
        <color theme="0" tint="-0.499984740745262"/>
      </right>
      <top style="medium">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theme="0" tint="-0.499984740745262"/>
      </left>
      <right style="thin">
        <color theme="0" tint="-0.499984740745262"/>
      </right>
      <top style="thin">
        <color theme="0" tint="-0.499984740745262"/>
      </top>
      <bottom/>
      <diagonal/>
    </border>
    <border>
      <left style="thin">
        <color indexed="64"/>
      </left>
      <right style="medium">
        <color indexed="64"/>
      </right>
      <top style="thin">
        <color indexed="64"/>
      </top>
      <bottom style="medium">
        <color indexed="64"/>
      </bottom>
      <diagonal/>
    </border>
    <border>
      <left style="medium">
        <color auto="1"/>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s>
  <cellStyleXfs count="5">
    <xf numFmtId="0" fontId="0"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cellStyleXfs>
  <cellXfs count="793">
    <xf numFmtId="0" fontId="0" fillId="0" borderId="0" xfId="0"/>
    <xf numFmtId="0" fontId="3" fillId="0" borderId="0" xfId="0" applyFont="1"/>
    <xf numFmtId="0" fontId="4" fillId="0" borderId="0" xfId="0" applyFont="1"/>
    <xf numFmtId="0" fontId="7" fillId="0" borderId="0" xfId="0" applyFont="1"/>
    <xf numFmtId="0" fontId="0" fillId="2" borderId="0" xfId="0" applyFill="1"/>
    <xf numFmtId="0" fontId="0" fillId="0" borderId="0" xfId="0" applyFill="1"/>
    <xf numFmtId="0" fontId="0" fillId="3" borderId="0" xfId="0" applyFill="1"/>
    <xf numFmtId="0" fontId="4" fillId="2" borderId="0" xfId="0" applyFont="1" applyFill="1"/>
    <xf numFmtId="0" fontId="7" fillId="2" borderId="0" xfId="0" applyFont="1" applyFill="1"/>
    <xf numFmtId="0" fontId="8" fillId="2" borderId="2" xfId="0" applyFont="1" applyFill="1" applyBorder="1" applyAlignment="1">
      <alignment horizontal="center"/>
    </xf>
    <xf numFmtId="0" fontId="2" fillId="0" borderId="0" xfId="0" applyFont="1" applyAlignment="1">
      <alignment vertical="top"/>
    </xf>
    <xf numFmtId="0" fontId="1" fillId="2" borderId="0" xfId="0" applyFont="1" applyFill="1"/>
    <xf numFmtId="0" fontId="1" fillId="0" borderId="0" xfId="0" applyFont="1" applyFill="1"/>
    <xf numFmtId="0" fontId="1" fillId="3" borderId="0" xfId="0" applyFont="1" applyFill="1"/>
    <xf numFmtId="0" fontId="0" fillId="2" borderId="3" xfId="0" applyFill="1" applyBorder="1"/>
    <xf numFmtId="0" fontId="19" fillId="2" borderId="0" xfId="0" applyFont="1" applyFill="1" applyAlignment="1">
      <alignment horizontal="center"/>
    </xf>
    <xf numFmtId="0" fontId="3" fillId="2" borderId="0" xfId="0" applyFont="1" applyFill="1"/>
    <xf numFmtId="0" fontId="17" fillId="4" borderId="0" xfId="0" applyFont="1" applyFill="1" applyAlignment="1">
      <alignment horizontal="center"/>
    </xf>
    <xf numFmtId="0" fontId="8" fillId="2" borderId="2" xfId="0" applyFont="1" applyFill="1" applyBorder="1" applyAlignment="1">
      <alignment horizontal="center" wrapText="1"/>
    </xf>
    <xf numFmtId="0" fontId="6" fillId="2" borderId="0" xfId="0" applyFont="1" applyFill="1" applyAlignment="1">
      <alignment horizontal="right"/>
    </xf>
    <xf numFmtId="0" fontId="17" fillId="5" borderId="0" xfId="0" applyFont="1" applyFill="1" applyAlignment="1">
      <alignment horizontal="center"/>
    </xf>
    <xf numFmtId="0" fontId="0" fillId="2" borderId="0" xfId="0" applyFill="1" applyBorder="1"/>
    <xf numFmtId="0" fontId="0" fillId="0" borderId="0" xfId="0" applyFill="1" applyProtection="1"/>
    <xf numFmtId="0" fontId="0" fillId="0" borderId="4" xfId="0" applyBorder="1"/>
    <xf numFmtId="175" fontId="0" fillId="0" borderId="0" xfId="0" applyNumberFormat="1" applyAlignment="1">
      <alignment vertical="top"/>
    </xf>
    <xf numFmtId="0" fontId="0" fillId="0" borderId="0" xfId="0" applyAlignment="1">
      <alignment vertical="top"/>
    </xf>
    <xf numFmtId="175" fontId="10" fillId="0" borderId="0" xfId="0" applyNumberFormat="1" applyFont="1" applyAlignment="1">
      <alignment vertical="top"/>
    </xf>
    <xf numFmtId="0" fontId="15" fillId="0" borderId="3" xfId="0" applyFont="1" applyBorder="1"/>
    <xf numFmtId="0" fontId="0" fillId="0" borderId="3" xfId="0" applyBorder="1"/>
    <xf numFmtId="0" fontId="0" fillId="0" borderId="2" xfId="0" applyBorder="1"/>
    <xf numFmtId="0" fontId="6" fillId="2" borderId="0" xfId="0" applyFont="1" applyFill="1" applyAlignment="1">
      <alignment horizontal="left"/>
    </xf>
    <xf numFmtId="0" fontId="9" fillId="2" borderId="2" xfId="0" applyFont="1" applyFill="1" applyBorder="1" applyAlignment="1">
      <alignment horizontal="center"/>
    </xf>
    <xf numFmtId="0" fontId="8" fillId="2" borderId="0" xfId="0" applyFont="1" applyFill="1" applyBorder="1" applyAlignment="1">
      <alignment horizontal="center"/>
    </xf>
    <xf numFmtId="0" fontId="0" fillId="0" borderId="0" xfId="0" applyFill="1" applyAlignment="1">
      <alignment horizontal="left"/>
    </xf>
    <xf numFmtId="0" fontId="19" fillId="2" borderId="0" xfId="0" applyFont="1" applyFill="1" applyBorder="1" applyAlignment="1">
      <alignment horizontal="center"/>
    </xf>
    <xf numFmtId="0" fontId="25" fillId="2" borderId="0" xfId="0" applyFont="1" applyFill="1" applyAlignment="1">
      <alignment horizontal="right"/>
    </xf>
    <xf numFmtId="0" fontId="16" fillId="2" borderId="0" xfId="0" applyFont="1" applyFill="1" applyAlignment="1">
      <alignment horizontal="center"/>
    </xf>
    <xf numFmtId="0" fontId="0" fillId="2" borderId="2" xfId="0" applyFill="1" applyBorder="1"/>
    <xf numFmtId="0" fontId="7" fillId="2" borderId="2" xfId="0" applyFont="1" applyFill="1" applyBorder="1"/>
    <xf numFmtId="0" fontId="7" fillId="2" borderId="0" xfId="0" applyFont="1" applyFill="1" applyBorder="1"/>
    <xf numFmtId="0" fontId="9" fillId="2" borderId="0" xfId="0" applyFont="1" applyFill="1" applyBorder="1" applyAlignment="1">
      <alignment horizontal="center"/>
    </xf>
    <xf numFmtId="0" fontId="0" fillId="2" borderId="5" xfId="0" applyFill="1" applyBorder="1"/>
    <xf numFmtId="0" fontId="0" fillId="2" borderId="6" xfId="0" applyFill="1" applyBorder="1"/>
    <xf numFmtId="0" fontId="0" fillId="2" borderId="7" xfId="0" applyFill="1" applyBorder="1"/>
    <xf numFmtId="0" fontId="6" fillId="2" borderId="7" xfId="0" applyFont="1" applyFill="1" applyBorder="1"/>
    <xf numFmtId="0" fontId="4" fillId="2" borderId="7" xfId="0" applyFont="1" applyFill="1" applyBorder="1"/>
    <xf numFmtId="0" fontId="6" fillId="2" borderId="7" xfId="0" applyFont="1" applyFill="1" applyBorder="1" applyAlignment="1">
      <alignment horizontal="left"/>
    </xf>
    <xf numFmtId="0" fontId="19" fillId="2" borderId="7" xfId="0" applyFont="1" applyFill="1" applyBorder="1" applyAlignment="1">
      <alignment horizontal="center"/>
    </xf>
    <xf numFmtId="0" fontId="31" fillId="2" borderId="0" xfId="0" applyFont="1" applyFill="1"/>
    <xf numFmtId="0" fontId="2" fillId="6" borderId="8" xfId="0" applyFont="1" applyFill="1" applyBorder="1" applyAlignment="1">
      <alignment horizontal="center" wrapText="1"/>
    </xf>
    <xf numFmtId="0" fontId="21" fillId="7" borderId="8" xfId="0" applyFont="1" applyFill="1" applyBorder="1" applyAlignment="1">
      <alignment horizontal="center" wrapText="1"/>
    </xf>
    <xf numFmtId="0" fontId="10" fillId="2" borderId="9" xfId="0" applyFont="1" applyFill="1" applyBorder="1" applyAlignment="1">
      <alignment horizontal="center"/>
    </xf>
    <xf numFmtId="0" fontId="24" fillId="2" borderId="9" xfId="0" applyFont="1" applyFill="1" applyBorder="1" applyAlignment="1">
      <alignment horizontal="center"/>
    </xf>
    <xf numFmtId="0" fontId="10" fillId="2" borderId="10" xfId="0" applyFont="1" applyFill="1" applyBorder="1" applyAlignment="1">
      <alignment horizontal="center"/>
    </xf>
    <xf numFmtId="0" fontId="24" fillId="2" borderId="10" xfId="0" applyFont="1" applyFill="1" applyBorder="1" applyAlignment="1">
      <alignment horizontal="center"/>
    </xf>
    <xf numFmtId="0" fontId="24" fillId="2" borderId="11" xfId="0" applyFont="1" applyFill="1" applyBorder="1" applyAlignment="1">
      <alignment horizontal="center"/>
    </xf>
    <xf numFmtId="0" fontId="24" fillId="2" borderId="12" xfId="0" applyFont="1" applyFill="1" applyBorder="1" applyAlignment="1">
      <alignment horizontal="center"/>
    </xf>
    <xf numFmtId="0" fontId="10" fillId="2" borderId="13" xfId="0" applyFont="1" applyFill="1" applyBorder="1" applyAlignment="1">
      <alignment horizontal="center"/>
    </xf>
    <xf numFmtId="0" fontId="24" fillId="2" borderId="13" xfId="0" applyFont="1" applyFill="1" applyBorder="1" applyAlignment="1">
      <alignment horizontal="center"/>
    </xf>
    <xf numFmtId="0" fontId="24" fillId="2" borderId="14" xfId="0" applyFont="1" applyFill="1" applyBorder="1" applyAlignment="1">
      <alignment horizontal="center"/>
    </xf>
    <xf numFmtId="0" fontId="24" fillId="2" borderId="15" xfId="0" applyFont="1" applyFill="1" applyBorder="1" applyAlignment="1">
      <alignment horizontal="center"/>
    </xf>
    <xf numFmtId="0" fontId="23" fillId="8" borderId="8" xfId="0" applyFont="1" applyFill="1" applyBorder="1" applyAlignment="1">
      <alignment horizontal="center" wrapText="1"/>
    </xf>
    <xf numFmtId="0" fontId="8" fillId="2" borderId="0" xfId="0" applyFont="1" applyFill="1" applyBorder="1" applyAlignment="1">
      <alignment horizontal="left" indent="1"/>
    </xf>
    <xf numFmtId="0" fontId="2" fillId="2" borderId="2" xfId="0" applyFont="1" applyFill="1" applyBorder="1" applyAlignment="1">
      <alignment horizontal="center"/>
    </xf>
    <xf numFmtId="0" fontId="16" fillId="4" borderId="0" xfId="0" applyFont="1" applyFill="1" applyAlignment="1">
      <alignment horizontal="center"/>
    </xf>
    <xf numFmtId="0" fontId="16" fillId="5" borderId="0" xfId="0" applyFont="1" applyFill="1" applyAlignment="1">
      <alignment horizontal="center"/>
    </xf>
    <xf numFmtId="0" fontId="36" fillId="9" borderId="17" xfId="0" applyFont="1" applyFill="1" applyBorder="1" applyAlignment="1">
      <alignment horizontal="center" wrapText="1"/>
    </xf>
    <xf numFmtId="0" fontId="31" fillId="2" borderId="0" xfId="0" applyFont="1" applyFill="1" applyAlignment="1">
      <alignment horizontal="left"/>
    </xf>
    <xf numFmtId="0" fontId="40" fillId="8" borderId="8" xfId="0" applyFont="1" applyFill="1" applyBorder="1" applyAlignment="1">
      <alignment horizontal="center" wrapText="1"/>
    </xf>
    <xf numFmtId="0" fontId="24" fillId="2" borderId="0" xfId="0" applyFont="1" applyFill="1" applyBorder="1" applyAlignment="1">
      <alignment horizontal="center"/>
    </xf>
    <xf numFmtId="0" fontId="0" fillId="0" borderId="4" xfId="0" applyFill="1" applyBorder="1"/>
    <xf numFmtId="176" fontId="10" fillId="8" borderId="16" xfId="0" applyNumberFormat="1" applyFont="1" applyFill="1" applyBorder="1" applyAlignment="1">
      <alignment horizontal="center"/>
    </xf>
    <xf numFmtId="176" fontId="10" fillId="8" borderId="10" xfId="0" applyNumberFormat="1" applyFont="1" applyFill="1" applyBorder="1" applyAlignment="1">
      <alignment horizontal="center"/>
    </xf>
    <xf numFmtId="176" fontId="10" fillId="8" borderId="13" xfId="0" applyNumberFormat="1" applyFont="1" applyFill="1" applyBorder="1" applyAlignment="1">
      <alignment horizontal="center"/>
    </xf>
    <xf numFmtId="177" fontId="10" fillId="8" borderId="16" xfId="1" applyNumberFormat="1" applyFont="1" applyFill="1" applyBorder="1" applyAlignment="1">
      <alignment horizontal="center"/>
    </xf>
    <xf numFmtId="177" fontId="10" fillId="8" borderId="10" xfId="1" applyNumberFormat="1" applyFont="1" applyFill="1" applyBorder="1" applyAlignment="1">
      <alignment horizontal="center"/>
    </xf>
    <xf numFmtId="0" fontId="4" fillId="2" borderId="0" xfId="0" quotePrefix="1" applyFont="1" applyFill="1"/>
    <xf numFmtId="174" fontId="10" fillId="8" borderId="0" xfId="0" applyNumberFormat="1" applyFont="1" applyFill="1"/>
    <xf numFmtId="178" fontId="10" fillId="8" borderId="16" xfId="1" applyNumberFormat="1" applyFont="1" applyFill="1" applyBorder="1" applyAlignment="1">
      <alignment horizontal="center"/>
    </xf>
    <xf numFmtId="0" fontId="8" fillId="2" borderId="18" xfId="0" applyFont="1" applyFill="1" applyBorder="1" applyAlignment="1">
      <alignment horizontal="center"/>
    </xf>
    <xf numFmtId="178" fontId="24" fillId="2" borderId="16" xfId="1" applyNumberFormat="1" applyFont="1" applyFill="1" applyBorder="1" applyAlignment="1">
      <alignment horizontal="center"/>
    </xf>
    <xf numFmtId="0" fontId="31" fillId="2" borderId="0" xfId="0" applyFont="1" applyFill="1" applyBorder="1" applyAlignment="1">
      <alignment horizontal="left"/>
    </xf>
    <xf numFmtId="0" fontId="7" fillId="2" borderId="0" xfId="0" applyFont="1" applyFill="1" applyBorder="1" applyAlignment="1">
      <alignment horizontal="right"/>
    </xf>
    <xf numFmtId="166" fontId="16" fillId="5" borderId="19" xfId="0" applyNumberFormat="1" applyFont="1" applyFill="1" applyBorder="1" applyAlignment="1">
      <alignment horizontal="center"/>
    </xf>
    <xf numFmtId="0" fontId="26" fillId="4" borderId="0" xfId="0" applyFont="1" applyFill="1"/>
    <xf numFmtId="0" fontId="4" fillId="2" borderId="0" xfId="0" applyFont="1" applyFill="1" applyBorder="1" applyAlignment="1">
      <alignment horizontal="left"/>
    </xf>
    <xf numFmtId="0" fontId="38" fillId="0" borderId="4" xfId="0" applyFont="1" applyFill="1" applyBorder="1"/>
    <xf numFmtId="0" fontId="31" fillId="2" borderId="0" xfId="0" applyFont="1" applyFill="1" applyAlignment="1">
      <alignment horizontal="right"/>
    </xf>
    <xf numFmtId="0" fontId="25" fillId="2" borderId="2" xfId="0" applyFont="1" applyFill="1" applyBorder="1"/>
    <xf numFmtId="0" fontId="0" fillId="2" borderId="0" xfId="0" applyFill="1" applyAlignment="1">
      <alignment horizontal="right"/>
    </xf>
    <xf numFmtId="0" fontId="0" fillId="0" borderId="0" xfId="0" applyFill="1" applyBorder="1"/>
    <xf numFmtId="0" fontId="0" fillId="0" borderId="0" xfId="0" applyFill="1" applyBorder="1" applyProtection="1"/>
    <xf numFmtId="0" fontId="0" fillId="0" borderId="0" xfId="0" applyAlignment="1"/>
    <xf numFmtId="0" fontId="31" fillId="2" borderId="0" xfId="0" applyFont="1" applyFill="1" applyBorder="1" applyAlignment="1">
      <alignment vertical="top"/>
    </xf>
    <xf numFmtId="0" fontId="8" fillId="0" borderId="0" xfId="0" applyFont="1" applyBorder="1" applyAlignment="1">
      <alignment horizontal="left" vertical="top"/>
    </xf>
    <xf numFmtId="0" fontId="42" fillId="2" borderId="0" xfId="0" applyFont="1" applyFill="1"/>
    <xf numFmtId="0" fontId="14" fillId="0" borderId="0" xfId="0" applyFont="1" applyFill="1" applyBorder="1" applyAlignment="1" applyProtection="1">
      <alignment horizontal="left" indent="1"/>
    </xf>
    <xf numFmtId="0" fontId="22" fillId="2" borderId="0" xfId="0" applyFont="1" applyFill="1" applyAlignment="1">
      <alignment horizontal="left" indent="1"/>
    </xf>
    <xf numFmtId="0" fontId="25" fillId="2" borderId="0" xfId="0" applyFont="1" applyFill="1"/>
    <xf numFmtId="0" fontId="26" fillId="5" borderId="0" xfId="0" applyFont="1" applyFill="1"/>
    <xf numFmtId="0" fontId="26" fillId="4" borderId="0" xfId="0" applyFont="1" applyFill="1" applyAlignment="1">
      <alignment horizontal="center"/>
    </xf>
    <xf numFmtId="0" fontId="45" fillId="0" borderId="0" xfId="0" applyFont="1" applyFill="1"/>
    <xf numFmtId="0" fontId="29" fillId="2" borderId="0" xfId="0" applyFont="1" applyFill="1"/>
    <xf numFmtId="0" fontId="10" fillId="2" borderId="0" xfId="0" applyFont="1" applyFill="1"/>
    <xf numFmtId="0" fontId="10" fillId="2" borderId="0" xfId="0" applyFont="1" applyFill="1" applyAlignment="1">
      <alignment horizontal="center"/>
    </xf>
    <xf numFmtId="0" fontId="10" fillId="4" borderId="0" xfId="0" applyFont="1" applyFill="1" applyAlignment="1">
      <alignment horizontal="center"/>
    </xf>
    <xf numFmtId="0" fontId="14" fillId="2" borderId="2" xfId="0" applyFont="1" applyFill="1" applyBorder="1" applyAlignment="1">
      <alignment horizontal="center" wrapText="1"/>
    </xf>
    <xf numFmtId="172" fontId="46" fillId="0" borderId="0" xfId="0" applyNumberFormat="1" applyFont="1" applyFill="1" applyBorder="1" applyAlignment="1" applyProtection="1">
      <alignment horizontal="center"/>
    </xf>
    <xf numFmtId="0" fontId="47" fillId="0" borderId="0" xfId="0" applyFont="1" applyFill="1" applyBorder="1" applyAlignment="1" applyProtection="1">
      <alignment horizontal="right" indent="15"/>
    </xf>
    <xf numFmtId="0" fontId="28" fillId="2" borderId="6" xfId="0" applyFont="1" applyFill="1" applyBorder="1" applyAlignment="1">
      <alignment horizontal="center"/>
    </xf>
    <xf numFmtId="0" fontId="28" fillId="2" borderId="5" xfId="0" applyFont="1" applyFill="1" applyBorder="1" applyAlignment="1">
      <alignment horizontal="center"/>
    </xf>
    <xf numFmtId="0" fontId="28" fillId="2" borderId="20" xfId="0" applyFont="1" applyFill="1" applyBorder="1" applyAlignment="1">
      <alignment horizontal="center"/>
    </xf>
    <xf numFmtId="0" fontId="22" fillId="0" borderId="0" xfId="0" applyFont="1"/>
    <xf numFmtId="0" fontId="11" fillId="0" borderId="0" xfId="0" applyFont="1" applyFill="1" applyAlignment="1">
      <alignment horizontal="right" vertical="top"/>
    </xf>
    <xf numFmtId="0" fontId="2" fillId="2" borderId="0" xfId="0" applyFont="1" applyFill="1" applyAlignment="1">
      <alignment horizontal="center"/>
    </xf>
    <xf numFmtId="0" fontId="2" fillId="2" borderId="0" xfId="0" applyFont="1" applyFill="1"/>
    <xf numFmtId="0" fontId="31" fillId="2" borderId="0" xfId="0" applyFont="1" applyFill="1" applyBorder="1" applyAlignment="1">
      <alignment horizontal="left" vertical="top"/>
    </xf>
    <xf numFmtId="0" fontId="0" fillId="0" borderId="0" xfId="0" applyProtection="1"/>
    <xf numFmtId="0" fontId="3" fillId="0" borderId="0" xfId="0" applyFont="1" applyProtection="1"/>
    <xf numFmtId="0" fontId="4" fillId="0" borderId="0" xfId="0" applyFont="1" applyProtection="1"/>
    <xf numFmtId="0" fontId="8" fillId="4" borderId="21" xfId="0" applyFont="1" applyFill="1" applyBorder="1" applyAlignment="1" applyProtection="1">
      <alignment horizontal="center" vertical="top" wrapText="1"/>
    </xf>
    <xf numFmtId="0" fontId="8" fillId="4" borderId="22" xfId="0" applyFont="1" applyFill="1" applyBorder="1" applyAlignment="1" applyProtection="1">
      <alignment horizontal="center" vertical="top" wrapText="1"/>
    </xf>
    <xf numFmtId="0" fontId="8" fillId="4" borderId="23" xfId="0" applyFont="1" applyFill="1" applyBorder="1" applyAlignment="1" applyProtection="1">
      <alignment horizontal="center" vertical="top" wrapText="1"/>
    </xf>
    <xf numFmtId="0" fontId="31" fillId="0" borderId="0" xfId="0" applyFont="1" applyProtection="1"/>
    <xf numFmtId="0" fontId="34" fillId="0" borderId="0" xfId="0" applyFont="1" applyProtection="1"/>
    <xf numFmtId="0" fontId="0" fillId="0" borderId="3" xfId="0" applyBorder="1" applyProtection="1"/>
    <xf numFmtId="0" fontId="0" fillId="0" borderId="0" xfId="0" applyBorder="1" applyProtection="1"/>
    <xf numFmtId="166" fontId="8" fillId="0" borderId="0" xfId="0" applyNumberFormat="1" applyFont="1" applyAlignment="1" applyProtection="1">
      <alignment horizontal="right"/>
    </xf>
    <xf numFmtId="0" fontId="7" fillId="0" borderId="0" xfId="0" applyFont="1" applyProtection="1"/>
    <xf numFmtId="0" fontId="2" fillId="0" borderId="0" xfId="0" applyFont="1" applyAlignment="1" applyProtection="1">
      <alignment horizontal="right"/>
    </xf>
    <xf numFmtId="0" fontId="8" fillId="0" borderId="0" xfId="0" applyFont="1" applyAlignment="1" applyProtection="1">
      <alignment horizontal="center"/>
    </xf>
    <xf numFmtId="0" fontId="2" fillId="0" borderId="24" xfId="0" applyFont="1" applyBorder="1" applyProtection="1"/>
    <xf numFmtId="0" fontId="0" fillId="0" borderId="25" xfId="0" applyBorder="1" applyProtection="1"/>
    <xf numFmtId="0" fontId="0" fillId="0" borderId="26" xfId="0" applyBorder="1" applyProtection="1"/>
    <xf numFmtId="0" fontId="0" fillId="0" borderId="27" xfId="0" applyBorder="1" applyProtection="1"/>
    <xf numFmtId="0" fontId="2" fillId="0" borderId="28" xfId="0" applyFont="1" applyBorder="1" applyProtection="1"/>
    <xf numFmtId="0" fontId="0" fillId="0" borderId="29" xfId="0" applyBorder="1" applyProtection="1"/>
    <xf numFmtId="0" fontId="31" fillId="0" borderId="0" xfId="0" applyFont="1" applyBorder="1" applyProtection="1"/>
    <xf numFmtId="0" fontId="43" fillId="0" borderId="3" xfId="0" applyFont="1" applyFill="1" applyBorder="1" applyAlignment="1">
      <alignment horizontal="centerContinuous"/>
    </xf>
    <xf numFmtId="0" fontId="44" fillId="0" borderId="3" xfId="0" applyFont="1" applyFill="1" applyBorder="1" applyAlignment="1">
      <alignment horizontal="centerContinuous"/>
    </xf>
    <xf numFmtId="0" fontId="45" fillId="2" borderId="0" xfId="0" applyFont="1" applyFill="1"/>
    <xf numFmtId="0" fontId="0" fillId="0" borderId="0" xfId="0" applyAlignment="1">
      <alignment horizontal="right"/>
    </xf>
    <xf numFmtId="0" fontId="2" fillId="0" borderId="0" xfId="0" applyFont="1" applyFill="1" applyAlignment="1">
      <alignment horizontal="centerContinuous"/>
    </xf>
    <xf numFmtId="0" fontId="1" fillId="0" borderId="0" xfId="0" applyFont="1" applyFill="1" applyAlignment="1">
      <alignment horizontal="centerContinuous"/>
    </xf>
    <xf numFmtId="0" fontId="32" fillId="0" borderId="0" xfId="0" applyNumberFormat="1" applyFont="1" applyFill="1" applyBorder="1" applyAlignment="1" applyProtection="1">
      <alignment horizontal="left" indent="1"/>
    </xf>
    <xf numFmtId="0" fontId="28" fillId="2" borderId="7" xfId="0" applyFont="1" applyFill="1" applyBorder="1" applyAlignment="1">
      <alignment horizontal="center"/>
    </xf>
    <xf numFmtId="0" fontId="14" fillId="0" borderId="0" xfId="0" applyFont="1" applyFill="1" applyAlignment="1" applyProtection="1">
      <alignment horizontal="right"/>
    </xf>
    <xf numFmtId="167" fontId="7" fillId="0" borderId="30" xfId="0" applyNumberFormat="1" applyFont="1" applyBorder="1"/>
    <xf numFmtId="0" fontId="8" fillId="0" borderId="31" xfId="0" applyFont="1" applyBorder="1" applyAlignment="1">
      <alignment horizontal="center"/>
    </xf>
    <xf numFmtId="0" fontId="8" fillId="0" borderId="32" xfId="0" applyFont="1" applyBorder="1" applyAlignment="1">
      <alignment horizontal="center"/>
    </xf>
    <xf numFmtId="165" fontId="14" fillId="0" borderId="33" xfId="0" applyNumberFormat="1" applyFont="1" applyBorder="1" applyAlignment="1">
      <alignment horizontal="center"/>
    </xf>
    <xf numFmtId="164" fontId="14" fillId="0" borderId="33" xfId="0" applyNumberFormat="1" applyFont="1" applyBorder="1" applyAlignment="1">
      <alignment horizontal="center"/>
    </xf>
    <xf numFmtId="164" fontId="14" fillId="0" borderId="34" xfId="0" applyNumberFormat="1" applyFont="1" applyBorder="1" applyAlignment="1">
      <alignment horizontal="center"/>
    </xf>
    <xf numFmtId="0" fontId="8" fillId="0" borderId="35" xfId="0" applyFont="1" applyBorder="1" applyAlignment="1">
      <alignment horizontal="center"/>
    </xf>
    <xf numFmtId="165" fontId="14" fillId="0" borderId="36" xfId="0" applyNumberFormat="1" applyFont="1" applyBorder="1" applyAlignment="1">
      <alignment horizontal="center"/>
    </xf>
    <xf numFmtId="0" fontId="14" fillId="0" borderId="37" xfId="0" applyFont="1" applyBorder="1" applyAlignment="1">
      <alignment horizontal="center"/>
    </xf>
    <xf numFmtId="0" fontId="8" fillId="0" borderId="38" xfId="0" applyFont="1" applyBorder="1" applyAlignment="1">
      <alignment horizontal="center"/>
    </xf>
    <xf numFmtId="167" fontId="7" fillId="0" borderId="1" xfId="0" applyNumberFormat="1" applyFont="1" applyBorder="1"/>
    <xf numFmtId="167" fontId="7" fillId="0" borderId="36" xfId="0" applyNumberFormat="1" applyFont="1" applyBorder="1"/>
    <xf numFmtId="167" fontId="7" fillId="0" borderId="33" xfId="0" applyNumberFormat="1" applyFont="1" applyBorder="1"/>
    <xf numFmtId="167" fontId="7" fillId="0" borderId="39" xfId="0" applyNumberFormat="1" applyFont="1" applyBorder="1"/>
    <xf numFmtId="167" fontId="7" fillId="0" borderId="40" xfId="0" applyNumberFormat="1" applyFont="1" applyBorder="1"/>
    <xf numFmtId="167" fontId="7" fillId="2" borderId="1" xfId="0" applyNumberFormat="1" applyFont="1" applyFill="1" applyBorder="1"/>
    <xf numFmtId="167" fontId="7" fillId="2" borderId="33" xfId="0" applyNumberFormat="1" applyFont="1" applyFill="1" applyBorder="1"/>
    <xf numFmtId="167" fontId="7" fillId="2" borderId="41" xfId="0" applyNumberFormat="1" applyFont="1" applyFill="1" applyBorder="1"/>
    <xf numFmtId="167" fontId="7" fillId="2" borderId="34" xfId="0" applyNumberFormat="1" applyFont="1" applyFill="1" applyBorder="1"/>
    <xf numFmtId="167" fontId="25" fillId="0" borderId="30" xfId="0" applyNumberFormat="1" applyFont="1" applyBorder="1"/>
    <xf numFmtId="167" fontId="25" fillId="2" borderId="1" xfId="0" applyNumberFormat="1" applyFont="1" applyFill="1" applyBorder="1"/>
    <xf numFmtId="167" fontId="25" fillId="0" borderId="1" xfId="0" applyNumberFormat="1" applyFont="1" applyBorder="1"/>
    <xf numFmtId="167" fontId="25" fillId="2" borderId="41" xfId="0" applyNumberFormat="1" applyFont="1" applyFill="1" applyBorder="1"/>
    <xf numFmtId="167" fontId="57" fillId="0" borderId="42" xfId="0" applyNumberFormat="1" applyFont="1" applyBorder="1"/>
    <xf numFmtId="167" fontId="56" fillId="0" borderId="43" xfId="0" applyNumberFormat="1" applyFont="1" applyBorder="1"/>
    <xf numFmtId="167" fontId="57" fillId="0" borderId="43" xfId="0" applyNumberFormat="1" applyFont="1" applyBorder="1"/>
    <xf numFmtId="167" fontId="57" fillId="0" borderId="44" xfId="0" applyNumberFormat="1" applyFont="1" applyBorder="1"/>
    <xf numFmtId="167" fontId="58" fillId="0" borderId="42" xfId="0" applyNumberFormat="1" applyFont="1" applyBorder="1"/>
    <xf numFmtId="167" fontId="59" fillId="0" borderId="43" xfId="0" applyNumberFormat="1" applyFont="1" applyBorder="1"/>
    <xf numFmtId="167" fontId="58" fillId="0" borderId="43" xfId="0" applyNumberFormat="1" applyFont="1" applyBorder="1"/>
    <xf numFmtId="167" fontId="58" fillId="0" borderId="44" xfId="0" applyNumberFormat="1" applyFont="1" applyBorder="1"/>
    <xf numFmtId="167" fontId="7" fillId="2" borderId="31" xfId="0" applyNumberFormat="1" applyFont="1" applyFill="1" applyBorder="1"/>
    <xf numFmtId="167" fontId="7" fillId="2" borderId="32" xfId="0" applyNumberFormat="1" applyFont="1" applyFill="1" applyBorder="1"/>
    <xf numFmtId="0" fontId="60" fillId="0" borderId="0" xfId="0" applyFont="1" applyProtection="1"/>
    <xf numFmtId="0" fontId="56" fillId="0" borderId="0" xfId="0" applyFont="1"/>
    <xf numFmtId="167" fontId="57" fillId="9" borderId="42" xfId="0" applyNumberFormat="1" applyFont="1" applyFill="1" applyBorder="1"/>
    <xf numFmtId="167" fontId="56" fillId="9" borderId="43" xfId="0" applyNumberFormat="1" applyFont="1" applyFill="1" applyBorder="1"/>
    <xf numFmtId="167" fontId="57" fillId="9" borderId="43" xfId="0" applyNumberFormat="1" applyFont="1" applyFill="1" applyBorder="1"/>
    <xf numFmtId="167" fontId="57" fillId="9" borderId="44" xfId="0" applyNumberFormat="1" applyFont="1" applyFill="1" applyBorder="1"/>
    <xf numFmtId="0" fontId="25" fillId="0" borderId="0" xfId="0" applyFont="1" applyBorder="1" applyProtection="1"/>
    <xf numFmtId="166" fontId="10" fillId="0" borderId="0" xfId="0" applyNumberFormat="1" applyFont="1" applyAlignment="1" applyProtection="1">
      <alignment horizontal="right" indent="1"/>
    </xf>
    <xf numFmtId="3" fontId="7" fillId="0" borderId="0" xfId="0" applyNumberFormat="1" applyFont="1" applyBorder="1" applyAlignment="1" applyProtection="1">
      <alignment horizontal="right" indent="1"/>
    </xf>
    <xf numFmtId="0" fontId="61" fillId="0" borderId="0" xfId="0" applyFont="1" applyProtection="1"/>
    <xf numFmtId="0" fontId="11" fillId="0" borderId="0" xfId="0" quotePrefix="1" applyFont="1"/>
    <xf numFmtId="0" fontId="7" fillId="0" borderId="0" xfId="0" applyFont="1" applyBorder="1" applyProtection="1"/>
    <xf numFmtId="0" fontId="60" fillId="0" borderId="0" xfId="0" applyFont="1"/>
    <xf numFmtId="0" fontId="11" fillId="0" borderId="3" xfId="0" applyFont="1" applyBorder="1" applyProtection="1"/>
    <xf numFmtId="173" fontId="62" fillId="2" borderId="0" xfId="0" applyNumberFormat="1" applyFont="1" applyFill="1"/>
    <xf numFmtId="0" fontId="8" fillId="2" borderId="45" xfId="0" applyFont="1" applyFill="1" applyBorder="1" applyAlignment="1">
      <alignment horizontal="center" wrapText="1"/>
    </xf>
    <xf numFmtId="0" fontId="8" fillId="2" borderId="46" xfId="0" applyFont="1" applyFill="1" applyBorder="1" applyAlignment="1">
      <alignment horizontal="center" wrapText="1"/>
    </xf>
    <xf numFmtId="0" fontId="8" fillId="2" borderId="47" xfId="0" applyFont="1" applyFill="1" applyBorder="1" applyAlignment="1">
      <alignment horizontal="center" wrapText="1"/>
    </xf>
    <xf numFmtId="176" fontId="10" fillId="8" borderId="48" xfId="0" applyNumberFormat="1" applyFont="1" applyFill="1" applyBorder="1" applyAlignment="1">
      <alignment horizontal="center"/>
    </xf>
    <xf numFmtId="176" fontId="10" fillId="8" borderId="49" xfId="0" applyNumberFormat="1" applyFont="1" applyFill="1" applyBorder="1" applyAlignment="1">
      <alignment horizontal="center"/>
    </xf>
    <xf numFmtId="176" fontId="10" fillId="8" borderId="50" xfId="0" applyNumberFormat="1" applyFont="1" applyFill="1" applyBorder="1" applyAlignment="1">
      <alignment horizontal="center"/>
    </xf>
    <xf numFmtId="176" fontId="10" fillId="8" borderId="51" xfId="0" applyNumberFormat="1" applyFont="1" applyFill="1" applyBorder="1" applyAlignment="1">
      <alignment horizontal="center"/>
    </xf>
    <xf numFmtId="176" fontId="10" fillId="8" borderId="52" xfId="0" applyNumberFormat="1" applyFont="1" applyFill="1" applyBorder="1" applyAlignment="1">
      <alignment horizontal="center"/>
    </xf>
    <xf numFmtId="176" fontId="10" fillId="8" borderId="53" xfId="0" applyNumberFormat="1" applyFont="1" applyFill="1" applyBorder="1" applyAlignment="1">
      <alignment horizontal="center"/>
    </xf>
    <xf numFmtId="177" fontId="10" fillId="8" borderId="13" xfId="1" applyNumberFormat="1" applyFont="1" applyFill="1" applyBorder="1" applyAlignment="1">
      <alignment horizontal="center"/>
    </xf>
    <xf numFmtId="0" fontId="18" fillId="7" borderId="46" xfId="0" applyFont="1" applyFill="1" applyBorder="1" applyAlignment="1">
      <alignment horizontal="center" wrapText="1"/>
    </xf>
    <xf numFmtId="178" fontId="10" fillId="8" borderId="49" xfId="1" applyNumberFormat="1" applyFont="1" applyFill="1" applyBorder="1" applyAlignment="1">
      <alignment horizontal="left"/>
    </xf>
    <xf numFmtId="0" fontId="6" fillId="2" borderId="0" xfId="0" applyFont="1" applyFill="1" applyAlignment="1">
      <alignment horizontal="right" vertical="top"/>
    </xf>
    <xf numFmtId="0" fontId="10" fillId="2" borderId="16" xfId="1" applyNumberFormat="1" applyFont="1" applyFill="1" applyBorder="1" applyAlignment="1">
      <alignment horizontal="center"/>
    </xf>
    <xf numFmtId="0" fontId="10" fillId="2" borderId="10" xfId="1" applyNumberFormat="1" applyFont="1" applyFill="1" applyBorder="1" applyAlignment="1">
      <alignment horizontal="center"/>
    </xf>
    <xf numFmtId="0" fontId="10" fillId="2" borderId="13" xfId="1" applyNumberFormat="1" applyFont="1" applyFill="1" applyBorder="1" applyAlignment="1">
      <alignment horizontal="center"/>
    </xf>
    <xf numFmtId="0" fontId="63" fillId="0" borderId="0" xfId="0" applyFont="1" applyProtection="1"/>
    <xf numFmtId="0" fontId="2" fillId="4" borderId="0" xfId="0" applyFont="1" applyFill="1" applyAlignment="1">
      <alignment horizontal="center" vertical="top"/>
    </xf>
    <xf numFmtId="0" fontId="25" fillId="0" borderId="0" xfId="0" applyFont="1" applyAlignment="1">
      <alignment wrapText="1"/>
    </xf>
    <xf numFmtId="0" fontId="48" fillId="10" borderId="2" xfId="0" applyFont="1" applyFill="1" applyBorder="1" applyAlignment="1">
      <alignment horizontal="centerContinuous"/>
    </xf>
    <xf numFmtId="0" fontId="9" fillId="10" borderId="2" xfId="0" applyFont="1" applyFill="1" applyBorder="1" applyAlignment="1">
      <alignment horizontal="centerContinuous"/>
    </xf>
    <xf numFmtId="0" fontId="8" fillId="10" borderId="2" xfId="0" applyFont="1" applyFill="1" applyBorder="1" applyAlignment="1">
      <alignment horizontal="centerContinuous" vertical="center"/>
    </xf>
    <xf numFmtId="0" fontId="0" fillId="10" borderId="56" xfId="0" applyFill="1" applyBorder="1" applyAlignment="1">
      <alignment horizontal="centerContinuous"/>
    </xf>
    <xf numFmtId="0" fontId="8" fillId="10" borderId="57" xfId="0" applyFont="1" applyFill="1" applyBorder="1" applyAlignment="1">
      <alignment horizontal="centerContinuous"/>
    </xf>
    <xf numFmtId="0" fontId="8" fillId="10" borderId="56" xfId="0" applyFont="1" applyFill="1" applyBorder="1" applyAlignment="1">
      <alignment horizontal="center" vertical="center"/>
    </xf>
    <xf numFmtId="0" fontId="20" fillId="10" borderId="58" xfId="0" applyFont="1" applyFill="1" applyBorder="1" applyAlignment="1">
      <alignment horizontal="center" vertical="center" textRotation="90"/>
    </xf>
    <xf numFmtId="0" fontId="8" fillId="10" borderId="59" xfId="0" applyFont="1" applyFill="1" applyBorder="1" applyAlignment="1">
      <alignment horizontal="left"/>
    </xf>
    <xf numFmtId="0" fontId="8" fillId="10" borderId="21" xfId="0" applyFont="1" applyFill="1" applyBorder="1" applyAlignment="1">
      <alignment horizontal="center" wrapText="1"/>
    </xf>
    <xf numFmtId="0" fontId="8" fillId="10" borderId="22" xfId="0" applyFont="1" applyFill="1" applyBorder="1" applyAlignment="1">
      <alignment horizontal="center" wrapText="1"/>
    </xf>
    <xf numFmtId="0" fontId="8" fillId="10" borderId="23" xfId="0" applyFont="1" applyFill="1" applyBorder="1" applyAlignment="1">
      <alignment horizontal="center" wrapText="1"/>
    </xf>
    <xf numFmtId="0" fontId="8" fillId="10" borderId="60" xfId="0" applyFont="1" applyFill="1" applyBorder="1" applyAlignment="1">
      <alignment horizontal="center" wrapText="1"/>
    </xf>
    <xf numFmtId="0" fontId="64" fillId="0" borderId="0" xfId="0" applyFont="1" applyFill="1"/>
    <xf numFmtId="0" fontId="8" fillId="10" borderId="23" xfId="0" applyFont="1" applyFill="1" applyBorder="1" applyAlignment="1" applyProtection="1">
      <alignment horizontal="center" vertical="center" wrapText="1"/>
      <protection locked="0"/>
    </xf>
    <xf numFmtId="0" fontId="4" fillId="2" borderId="0" xfId="0" applyFont="1" applyFill="1" applyAlignment="1">
      <alignment horizontal="right"/>
    </xf>
    <xf numFmtId="0" fontId="49" fillId="4" borderId="0" xfId="0" applyFont="1" applyFill="1" applyAlignment="1">
      <alignment horizontal="right"/>
    </xf>
    <xf numFmtId="0" fontId="8" fillId="2" borderId="0" xfId="0" applyFont="1" applyFill="1" applyAlignment="1">
      <alignment horizontal="right"/>
    </xf>
    <xf numFmtId="9" fontId="65" fillId="2" borderId="0" xfId="1" applyFont="1" applyFill="1" applyAlignment="1">
      <alignment horizontal="left"/>
    </xf>
    <xf numFmtId="170" fontId="2" fillId="2" borderId="0" xfId="0" applyNumberFormat="1" applyFont="1" applyFill="1"/>
    <xf numFmtId="170" fontId="24" fillId="8" borderId="0" xfId="0" applyNumberFormat="1" applyFont="1" applyFill="1" applyAlignment="1">
      <alignment horizontal="right"/>
    </xf>
    <xf numFmtId="170" fontId="24" fillId="4" borderId="0" xfId="0" applyNumberFormat="1" applyFont="1" applyFill="1" applyAlignment="1"/>
    <xf numFmtId="170" fontId="24" fillId="9" borderId="0" xfId="0" quotePrefix="1" applyNumberFormat="1" applyFont="1" applyFill="1" applyAlignment="1"/>
    <xf numFmtId="170" fontId="24" fillId="5" borderId="0" xfId="0" applyNumberFormat="1" applyFont="1" applyFill="1" applyAlignment="1"/>
    <xf numFmtId="0" fontId="14" fillId="0" borderId="0" xfId="0" applyFont="1" applyFill="1" applyAlignment="1">
      <alignment horizontal="right"/>
    </xf>
    <xf numFmtId="0" fontId="68" fillId="0" borderId="0" xfId="0" applyFont="1" applyAlignment="1">
      <alignment horizontal="right"/>
    </xf>
    <xf numFmtId="0" fontId="14" fillId="0" borderId="0" xfId="0" applyFont="1" applyFill="1" applyBorder="1" applyAlignment="1" applyProtection="1">
      <alignment horizontal="center"/>
    </xf>
    <xf numFmtId="170" fontId="2" fillId="0" borderId="20" xfId="0" applyNumberFormat="1" applyFont="1" applyBorder="1" applyAlignment="1" applyProtection="1">
      <alignment horizontal="center"/>
    </xf>
    <xf numFmtId="170" fontId="2" fillId="0" borderId="0" xfId="0" applyNumberFormat="1" applyFont="1" applyBorder="1" applyAlignment="1" applyProtection="1">
      <alignment horizontal="center"/>
    </xf>
    <xf numFmtId="184" fontId="24" fillId="4" borderId="0" xfId="0" applyNumberFormat="1" applyFont="1" applyFill="1" applyAlignment="1"/>
    <xf numFmtId="184" fontId="24" fillId="5" borderId="0" xfId="0" applyNumberFormat="1" applyFont="1" applyFill="1" applyAlignment="1"/>
    <xf numFmtId="184" fontId="24" fillId="5" borderId="0" xfId="0" applyNumberFormat="1" applyFont="1" applyFill="1" applyAlignment="1">
      <alignment horizontal="right"/>
    </xf>
    <xf numFmtId="167" fontId="24" fillId="8" borderId="0" xfId="0" applyNumberFormat="1" applyFont="1" applyFill="1" applyAlignment="1">
      <alignment horizontal="right"/>
    </xf>
    <xf numFmtId="170" fontId="24" fillId="5" borderId="0" xfId="0" applyNumberFormat="1" applyFont="1" applyFill="1" applyAlignment="1">
      <alignment horizontal="right"/>
    </xf>
    <xf numFmtId="167" fontId="24" fillId="9" borderId="0" xfId="0" quotePrefix="1" applyNumberFormat="1" applyFont="1" applyFill="1" applyAlignment="1"/>
    <xf numFmtId="182" fontId="7" fillId="0" borderId="0" xfId="0" applyNumberFormat="1" applyFont="1" applyAlignment="1">
      <alignment horizontal="center"/>
    </xf>
    <xf numFmtId="0" fontId="14" fillId="0" borderId="0" xfId="0" applyFont="1" applyFill="1" applyAlignment="1" applyProtection="1"/>
    <xf numFmtId="0" fontId="8" fillId="11" borderId="46" xfId="0" applyFont="1" applyFill="1" applyBorder="1" applyAlignment="1">
      <alignment horizontal="center" wrapText="1"/>
    </xf>
    <xf numFmtId="0" fontId="65" fillId="4" borderId="0" xfId="0" applyFont="1" applyFill="1"/>
    <xf numFmtId="9" fontId="10" fillId="8" borderId="0" xfId="1" applyFont="1" applyFill="1" applyAlignment="1">
      <alignment horizontal="right"/>
    </xf>
    <xf numFmtId="0" fontId="8" fillId="0" borderId="0" xfId="0" applyFont="1" applyAlignment="1">
      <alignment horizontal="right"/>
    </xf>
    <xf numFmtId="0" fontId="14" fillId="0" borderId="7" xfId="0" applyFont="1" applyFill="1" applyBorder="1" applyAlignment="1" applyProtection="1">
      <alignment horizontal="center"/>
    </xf>
    <xf numFmtId="0" fontId="10" fillId="2" borderId="64" xfId="0" applyFont="1" applyFill="1" applyBorder="1" applyAlignment="1">
      <alignment horizontal="center"/>
    </xf>
    <xf numFmtId="0" fontId="24" fillId="2" borderId="64" xfId="0" applyFont="1" applyFill="1" applyBorder="1" applyAlignment="1">
      <alignment horizontal="center"/>
    </xf>
    <xf numFmtId="0" fontId="24" fillId="2" borderId="65" xfId="0" applyFont="1" applyFill="1" applyBorder="1" applyAlignment="1">
      <alignment horizontal="center"/>
    </xf>
    <xf numFmtId="174" fontId="10" fillId="2" borderId="0" xfId="0" applyNumberFormat="1" applyFont="1" applyFill="1"/>
    <xf numFmtId="178" fontId="10" fillId="8" borderId="16" xfId="1" applyNumberFormat="1" applyFont="1" applyFill="1" applyBorder="1" applyAlignment="1">
      <alignment horizontal="left"/>
    </xf>
    <xf numFmtId="0" fontId="8" fillId="2" borderId="0" xfId="0" applyFont="1" applyFill="1" applyBorder="1" applyAlignment="1">
      <alignment horizontal="center" wrapText="1"/>
    </xf>
    <xf numFmtId="0" fontId="28" fillId="2" borderId="0" xfId="0" applyFont="1" applyFill="1" applyBorder="1" applyAlignment="1">
      <alignment horizontal="center"/>
    </xf>
    <xf numFmtId="0" fontId="2" fillId="2" borderId="0" xfId="0" applyFont="1" applyFill="1" applyAlignment="1">
      <alignment horizontal="right"/>
    </xf>
    <xf numFmtId="0" fontId="8" fillId="2" borderId="0" xfId="0" applyFont="1" applyFill="1" applyAlignment="1">
      <alignment horizontal="left"/>
    </xf>
    <xf numFmtId="9" fontId="0" fillId="2" borderId="0" xfId="0" applyNumberFormat="1" applyFill="1" applyAlignment="1">
      <alignment horizontal="center"/>
    </xf>
    <xf numFmtId="0" fontId="65" fillId="2" borderId="0" xfId="0" applyFont="1" applyFill="1" applyAlignment="1">
      <alignment horizontal="left"/>
    </xf>
    <xf numFmtId="0" fontId="68" fillId="2" borderId="0" xfId="0" applyFont="1" applyFill="1"/>
    <xf numFmtId="0" fontId="2" fillId="0" borderId="0" xfId="0" applyFont="1" applyFill="1" applyBorder="1" applyAlignment="1" applyProtection="1"/>
    <xf numFmtId="186" fontId="65" fillId="5" borderId="0" xfId="0" applyNumberFormat="1" applyFont="1" applyFill="1"/>
    <xf numFmtId="0" fontId="8" fillId="10" borderId="2" xfId="0" applyFont="1" applyFill="1" applyBorder="1" applyAlignment="1">
      <alignment horizontal="center"/>
    </xf>
    <xf numFmtId="0" fontId="0" fillId="10" borderId="66" xfId="0" applyFill="1" applyBorder="1" applyAlignment="1"/>
    <xf numFmtId="0" fontId="9" fillId="10" borderId="59" xfId="0" applyFont="1" applyFill="1" applyBorder="1" applyAlignment="1">
      <alignment horizontal="centerContinuous"/>
    </xf>
    <xf numFmtId="0" fontId="8" fillId="10" borderId="2" xfId="0" applyFont="1" applyFill="1" applyBorder="1" applyAlignment="1">
      <alignment vertical="center"/>
    </xf>
    <xf numFmtId="0" fontId="8" fillId="10" borderId="59" xfId="0" applyFont="1" applyFill="1" applyBorder="1" applyAlignment="1">
      <alignment horizontal="center" vertical="center"/>
    </xf>
    <xf numFmtId="0" fontId="28" fillId="2" borderId="0" xfId="0" applyFont="1" applyFill="1" applyAlignment="1">
      <alignment horizontal="center"/>
    </xf>
    <xf numFmtId="0" fontId="8" fillId="2" borderId="2" xfId="0" applyFont="1" applyFill="1" applyBorder="1" applyAlignment="1">
      <alignment horizontal="left"/>
    </xf>
    <xf numFmtId="0" fontId="69" fillId="2" borderId="0" xfId="0" applyFont="1" applyFill="1" applyAlignment="1">
      <alignment horizontal="right"/>
    </xf>
    <xf numFmtId="0" fontId="68" fillId="2" borderId="0" xfId="0" applyFont="1" applyFill="1" applyAlignment="1">
      <alignment horizontal="right"/>
    </xf>
    <xf numFmtId="0" fontId="16" fillId="2" borderId="0" xfId="0" applyFont="1" applyFill="1" applyBorder="1" applyAlignment="1">
      <alignment horizontal="right" indent="2"/>
    </xf>
    <xf numFmtId="0" fontId="1" fillId="2" borderId="0" xfId="0" applyFont="1" applyFill="1" applyAlignment="1">
      <alignment horizontal="left"/>
    </xf>
    <xf numFmtId="0" fontId="16" fillId="2" borderId="6" xfId="0" applyFont="1" applyFill="1" applyBorder="1" applyAlignment="1">
      <alignment horizontal="right" indent="2"/>
    </xf>
    <xf numFmtId="0" fontId="31" fillId="2" borderId="6" xfId="0" applyFont="1" applyFill="1" applyBorder="1"/>
    <xf numFmtId="0" fontId="28" fillId="6" borderId="6" xfId="0" applyFont="1" applyFill="1" applyBorder="1" applyAlignment="1">
      <alignment horizontal="center"/>
    </xf>
    <xf numFmtId="0" fontId="31" fillId="2" borderId="5" xfId="0" applyFont="1" applyFill="1" applyBorder="1" applyAlignment="1">
      <alignment vertical="top"/>
    </xf>
    <xf numFmtId="0" fontId="31" fillId="2" borderId="6" xfId="0" applyFont="1" applyFill="1" applyBorder="1" applyAlignment="1">
      <alignment horizontal="left" vertical="top"/>
    </xf>
    <xf numFmtId="0" fontId="31" fillId="2" borderId="6" xfId="0" applyFont="1" applyFill="1" applyBorder="1" applyAlignment="1">
      <alignment vertical="top"/>
    </xf>
    <xf numFmtId="0" fontId="19" fillId="2" borderId="6" xfId="0" applyFont="1" applyFill="1" applyBorder="1" applyAlignment="1">
      <alignment horizontal="center"/>
    </xf>
    <xf numFmtId="0" fontId="16" fillId="2" borderId="5" xfId="0" applyFont="1" applyFill="1" applyBorder="1" applyAlignment="1">
      <alignment horizontal="center"/>
    </xf>
    <xf numFmtId="0" fontId="16" fillId="2" borderId="6" xfId="0" applyFont="1" applyFill="1" applyBorder="1" applyAlignment="1">
      <alignment horizontal="center"/>
    </xf>
    <xf numFmtId="0" fontId="17" fillId="2" borderId="6" xfId="0" applyFont="1" applyFill="1" applyBorder="1" applyAlignment="1">
      <alignment horizontal="center"/>
    </xf>
    <xf numFmtId="0" fontId="31" fillId="2" borderId="5" xfId="0" applyFont="1" applyFill="1" applyBorder="1" applyAlignment="1">
      <alignment horizontal="left"/>
    </xf>
    <xf numFmtId="0" fontId="19" fillId="2" borderId="5" xfId="0" applyFont="1" applyFill="1" applyBorder="1" applyAlignment="1">
      <alignment horizontal="center"/>
    </xf>
    <xf numFmtId="0" fontId="31" fillId="2" borderId="6" xfId="0" applyFont="1" applyFill="1" applyBorder="1" applyAlignment="1">
      <alignment horizontal="left"/>
    </xf>
    <xf numFmtId="0" fontId="11" fillId="2" borderId="0" xfId="0" applyFont="1" applyFill="1" applyAlignment="1">
      <alignment horizontal="left"/>
    </xf>
    <xf numFmtId="0" fontId="7" fillId="2" borderId="0" xfId="0" applyFont="1" applyFill="1" applyBorder="1" applyAlignment="1">
      <alignment horizontal="left"/>
    </xf>
    <xf numFmtId="0" fontId="18" fillId="0" borderId="0" xfId="0" applyFont="1" applyAlignment="1" applyProtection="1">
      <alignment horizontal="center"/>
    </xf>
    <xf numFmtId="189" fontId="14" fillId="0" borderId="0" xfId="0" applyNumberFormat="1" applyFont="1" applyFill="1" applyAlignment="1">
      <alignment horizontal="center"/>
    </xf>
    <xf numFmtId="0" fontId="20" fillId="7" borderId="8" xfId="0" applyFont="1" applyFill="1" applyBorder="1" applyAlignment="1">
      <alignment horizontal="center" wrapText="1"/>
    </xf>
    <xf numFmtId="0" fontId="67" fillId="0" borderId="0" xfId="0" applyFont="1" applyAlignment="1">
      <alignment horizontal="right"/>
    </xf>
    <xf numFmtId="181" fontId="6" fillId="0" borderId="0" xfId="0" applyNumberFormat="1" applyFont="1" applyFill="1" applyBorder="1" applyAlignment="1" applyProtection="1">
      <alignment horizontal="center"/>
    </xf>
    <xf numFmtId="0" fontId="6" fillId="0" borderId="0" xfId="0" applyNumberFormat="1" applyFont="1" applyFill="1" applyBorder="1"/>
    <xf numFmtId="0" fontId="67" fillId="0" borderId="0" xfId="0" applyFont="1" applyFill="1" applyProtection="1"/>
    <xf numFmtId="0" fontId="19" fillId="2" borderId="67" xfId="0" applyFont="1" applyFill="1" applyBorder="1" applyAlignment="1">
      <alignment horizontal="centerContinuous"/>
    </xf>
    <xf numFmtId="0" fontId="6" fillId="2" borderId="68" xfId="0" applyFont="1" applyFill="1" applyBorder="1" applyAlignment="1">
      <alignment horizontal="centerContinuous"/>
    </xf>
    <xf numFmtId="0" fontId="6" fillId="2" borderId="69" xfId="0" applyFont="1" applyFill="1" applyBorder="1" applyAlignment="1">
      <alignment horizontal="centerContinuous"/>
    </xf>
    <xf numFmtId="0" fontId="19" fillId="2" borderId="68" xfId="0" applyFont="1" applyFill="1" applyBorder="1" applyAlignment="1">
      <alignment horizontal="centerContinuous"/>
    </xf>
    <xf numFmtId="0" fontId="16" fillId="4" borderId="70" xfId="0" applyFont="1" applyFill="1" applyBorder="1" applyAlignment="1">
      <alignment horizontal="center"/>
    </xf>
    <xf numFmtId="0" fontId="16" fillId="4" borderId="71" xfId="0" applyFont="1" applyFill="1" applyBorder="1" applyAlignment="1">
      <alignment horizontal="center"/>
    </xf>
    <xf numFmtId="0" fontId="16" fillId="5" borderId="72" xfId="0" applyFont="1" applyFill="1" applyBorder="1" applyAlignment="1">
      <alignment horizontal="center"/>
    </xf>
    <xf numFmtId="0" fontId="16" fillId="5" borderId="73" xfId="0" applyFont="1" applyFill="1" applyBorder="1" applyAlignment="1">
      <alignment horizontal="center"/>
    </xf>
    <xf numFmtId="0" fontId="17" fillId="4" borderId="70" xfId="0" applyFont="1" applyFill="1" applyBorder="1" applyAlignment="1">
      <alignment horizontal="center"/>
    </xf>
    <xf numFmtId="0" fontId="16" fillId="2" borderId="72" xfId="0" applyFont="1" applyFill="1" applyBorder="1" applyAlignment="1">
      <alignment horizontal="center"/>
    </xf>
    <xf numFmtId="0" fontId="16" fillId="5" borderId="70" xfId="0" applyFont="1" applyFill="1" applyBorder="1" applyAlignment="1">
      <alignment horizontal="center"/>
    </xf>
    <xf numFmtId="0" fontId="16" fillId="4" borderId="72" xfId="0" applyFont="1" applyFill="1" applyBorder="1" applyAlignment="1">
      <alignment horizontal="center"/>
    </xf>
    <xf numFmtId="0" fontId="16" fillId="4" borderId="73" xfId="0" applyFont="1" applyFill="1" applyBorder="1" applyAlignment="1">
      <alignment horizontal="center"/>
    </xf>
    <xf numFmtId="0" fontId="2" fillId="0" borderId="0" xfId="0" applyFont="1" applyAlignment="1">
      <alignment horizontal="center"/>
    </xf>
    <xf numFmtId="0" fontId="8" fillId="10" borderId="75" xfId="0" applyFont="1" applyFill="1" applyBorder="1" applyAlignment="1">
      <alignment horizontal="centerContinuous" vertical="center"/>
    </xf>
    <xf numFmtId="0" fontId="25" fillId="0" borderId="0" xfId="0" applyFont="1"/>
    <xf numFmtId="0" fontId="25" fillId="0" borderId="0" xfId="0" applyFont="1" applyAlignment="1">
      <alignment horizontal="right"/>
    </xf>
    <xf numFmtId="0" fontId="16" fillId="5" borderId="71" xfId="0" applyFont="1" applyFill="1" applyBorder="1" applyAlignment="1">
      <alignment horizontal="center"/>
    </xf>
    <xf numFmtId="178" fontId="10" fillId="8" borderId="13" xfId="1" applyNumberFormat="1" applyFont="1" applyFill="1" applyBorder="1" applyAlignment="1">
      <alignment horizontal="center"/>
    </xf>
    <xf numFmtId="178" fontId="24" fillId="2" borderId="13" xfId="1" applyNumberFormat="1" applyFont="1" applyFill="1" applyBorder="1" applyAlignment="1">
      <alignment horizontal="center"/>
    </xf>
    <xf numFmtId="178" fontId="10" fillId="8" borderId="13" xfId="1" applyNumberFormat="1" applyFont="1" applyFill="1" applyBorder="1" applyAlignment="1">
      <alignment horizontal="left"/>
    </xf>
    <xf numFmtId="178" fontId="10" fillId="8" borderId="52" xfId="1" applyNumberFormat="1" applyFont="1" applyFill="1" applyBorder="1" applyAlignment="1">
      <alignment horizontal="left"/>
    </xf>
    <xf numFmtId="0" fontId="31" fillId="2" borderId="0" xfId="0" applyFont="1" applyFill="1" applyAlignment="1">
      <alignment horizontal="center"/>
    </xf>
    <xf numFmtId="0" fontId="66" fillId="0" borderId="0" xfId="0" applyFont="1"/>
    <xf numFmtId="0" fontId="2" fillId="0" borderId="0" xfId="0" applyFont="1" applyAlignment="1">
      <alignment horizontal="left" indent="1"/>
    </xf>
    <xf numFmtId="168" fontId="70" fillId="13" borderId="76" xfId="0" applyNumberFormat="1" applyFont="1" applyFill="1" applyBorder="1" applyAlignment="1" applyProtection="1">
      <alignment vertical="top"/>
    </xf>
    <xf numFmtId="0" fontId="1" fillId="0" borderId="0" xfId="0" applyFont="1"/>
    <xf numFmtId="0" fontId="1" fillId="0" borderId="0" xfId="0" applyFont="1" applyAlignment="1">
      <alignment vertical="top" wrapText="1"/>
    </xf>
    <xf numFmtId="0" fontId="1" fillId="0" borderId="0" xfId="0" applyFont="1" applyFill="1" applyAlignment="1">
      <alignment vertical="top" wrapText="1"/>
    </xf>
    <xf numFmtId="0" fontId="72" fillId="0" borderId="0" xfId="0" applyFont="1"/>
    <xf numFmtId="0" fontId="72" fillId="0" borderId="0" xfId="0" applyFont="1" applyAlignment="1">
      <alignment vertical="top" wrapText="1"/>
    </xf>
    <xf numFmtId="0" fontId="72" fillId="0" borderId="2" xfId="0" applyFont="1" applyBorder="1"/>
    <xf numFmtId="0" fontId="71" fillId="0" borderId="0" xfId="0" applyFont="1"/>
    <xf numFmtId="0" fontId="7" fillId="0" borderId="0" xfId="0" applyFont="1" applyBorder="1"/>
    <xf numFmtId="0" fontId="8" fillId="10" borderId="66" xfId="0" applyFont="1" applyFill="1" applyBorder="1" applyAlignment="1">
      <alignment horizontal="center" wrapText="1"/>
    </xf>
    <xf numFmtId="0" fontId="8" fillId="10" borderId="77" xfId="0" applyFont="1" applyFill="1" applyBorder="1" applyAlignment="1">
      <alignment horizontal="center" wrapText="1"/>
    </xf>
    <xf numFmtId="173" fontId="2" fillId="9" borderId="78" xfId="0" applyNumberFormat="1" applyFont="1" applyFill="1" applyBorder="1" applyAlignment="1" applyProtection="1">
      <alignment horizontal="center"/>
    </xf>
    <xf numFmtId="173" fontId="2" fillId="9" borderId="79" xfId="0" applyNumberFormat="1" applyFont="1" applyFill="1" applyBorder="1" applyAlignment="1" applyProtection="1">
      <alignment horizontal="center"/>
    </xf>
    <xf numFmtId="173" fontId="2" fillId="9" borderId="25" xfId="0" applyNumberFormat="1" applyFont="1" applyFill="1" applyBorder="1" applyAlignment="1" applyProtection="1">
      <alignment horizontal="center"/>
    </xf>
    <xf numFmtId="173" fontId="2" fillId="9" borderId="80" xfId="0" applyNumberFormat="1" applyFont="1" applyFill="1" applyBorder="1" applyAlignment="1" applyProtection="1">
      <alignment horizontal="center"/>
    </xf>
    <xf numFmtId="173" fontId="2" fillId="9" borderId="81" xfId="0" applyNumberFormat="1" applyFont="1" applyFill="1" applyBorder="1" applyAlignment="1" applyProtection="1">
      <alignment horizontal="center"/>
    </xf>
    <xf numFmtId="173" fontId="2" fillId="9" borderId="27" xfId="0" applyNumberFormat="1" applyFont="1" applyFill="1" applyBorder="1" applyAlignment="1" applyProtection="1">
      <alignment horizontal="center"/>
    </xf>
    <xf numFmtId="173" fontId="2" fillId="8" borderId="82" xfId="0" applyNumberFormat="1" applyFont="1" applyFill="1" applyBorder="1" applyAlignment="1" applyProtection="1">
      <alignment horizontal="center"/>
    </xf>
    <xf numFmtId="173" fontId="2" fillId="8" borderId="83" xfId="0" applyNumberFormat="1" applyFont="1" applyFill="1" applyBorder="1" applyAlignment="1" applyProtection="1">
      <alignment horizontal="center"/>
    </xf>
    <xf numFmtId="173" fontId="2" fillId="8" borderId="29" xfId="0" applyNumberFormat="1" applyFont="1" applyFill="1" applyBorder="1" applyAlignment="1" applyProtection="1">
      <alignment horizontal="center"/>
    </xf>
    <xf numFmtId="173" fontId="2" fillId="8" borderId="80" xfId="0" applyNumberFormat="1" applyFont="1" applyFill="1" applyBorder="1" applyAlignment="1" applyProtection="1">
      <alignment horizontal="center"/>
    </xf>
    <xf numFmtId="173" fontId="2" fillId="8" borderId="81" xfId="0" applyNumberFormat="1" applyFont="1" applyFill="1" applyBorder="1" applyAlignment="1" applyProtection="1">
      <alignment horizontal="center"/>
    </xf>
    <xf numFmtId="173" fontId="2" fillId="8" borderId="27" xfId="0" applyNumberFormat="1" applyFont="1" applyFill="1" applyBorder="1" applyAlignment="1" applyProtection="1">
      <alignment horizontal="center"/>
    </xf>
    <xf numFmtId="173" fontId="2" fillId="4" borderId="78" xfId="0" applyNumberFormat="1" applyFont="1" applyFill="1" applyBorder="1" applyAlignment="1" applyProtection="1">
      <alignment horizontal="center"/>
    </xf>
    <xf numFmtId="173" fontId="2" fillId="4" borderId="79" xfId="0" applyNumberFormat="1" applyFont="1" applyFill="1" applyBorder="1" applyAlignment="1" applyProtection="1">
      <alignment horizontal="center"/>
    </xf>
    <xf numFmtId="173" fontId="2" fillId="4" borderId="25" xfId="0" applyNumberFormat="1" applyFont="1" applyFill="1" applyBorder="1" applyAlignment="1" applyProtection="1">
      <alignment horizontal="center"/>
    </xf>
    <xf numFmtId="173" fontId="2" fillId="4" borderId="80" xfId="0" applyNumberFormat="1" applyFont="1" applyFill="1" applyBorder="1" applyAlignment="1" applyProtection="1">
      <alignment horizontal="center"/>
    </xf>
    <xf numFmtId="173" fontId="2" fillId="4" borderId="81" xfId="0" applyNumberFormat="1" applyFont="1" applyFill="1" applyBorder="1" applyAlignment="1" applyProtection="1">
      <alignment horizontal="center"/>
    </xf>
    <xf numFmtId="173" fontId="2" fillId="4" borderId="27" xfId="0" applyNumberFormat="1" applyFont="1" applyFill="1" applyBorder="1" applyAlignment="1" applyProtection="1">
      <alignment horizontal="center"/>
    </xf>
    <xf numFmtId="173" fontId="2" fillId="5" borderId="82" xfId="0" applyNumberFormat="1" applyFont="1" applyFill="1" applyBorder="1" applyAlignment="1" applyProtection="1">
      <alignment horizontal="center"/>
    </xf>
    <xf numFmtId="173" fontId="2" fillId="5" borderId="83" xfId="0" applyNumberFormat="1" applyFont="1" applyFill="1" applyBorder="1" applyAlignment="1" applyProtection="1">
      <alignment horizontal="center"/>
    </xf>
    <xf numFmtId="173" fontId="2" fillId="5" borderId="29" xfId="0" applyNumberFormat="1" applyFont="1" applyFill="1" applyBorder="1" applyAlignment="1" applyProtection="1">
      <alignment horizontal="center"/>
    </xf>
    <xf numFmtId="173" fontId="2" fillId="5" borderId="80" xfId="0" applyNumberFormat="1" applyFont="1" applyFill="1" applyBorder="1" applyAlignment="1" applyProtection="1">
      <alignment horizontal="center"/>
    </xf>
    <xf numFmtId="173" fontId="2" fillId="5" borderId="81" xfId="0" applyNumberFormat="1" applyFont="1" applyFill="1" applyBorder="1" applyAlignment="1" applyProtection="1">
      <alignment horizontal="center"/>
    </xf>
    <xf numFmtId="173" fontId="2" fillId="5" borderId="27" xfId="0" applyNumberFormat="1" applyFont="1" applyFill="1" applyBorder="1" applyAlignment="1" applyProtection="1">
      <alignment horizontal="center"/>
    </xf>
    <xf numFmtId="167" fontId="1" fillId="0" borderId="30" xfId="0" applyNumberFormat="1" applyFont="1" applyBorder="1"/>
    <xf numFmtId="167" fontId="1" fillId="2" borderId="1" xfId="0" applyNumberFormat="1" applyFont="1" applyFill="1" applyBorder="1"/>
    <xf numFmtId="167" fontId="1" fillId="0" borderId="1" xfId="0" applyNumberFormat="1" applyFont="1" applyBorder="1"/>
    <xf numFmtId="167" fontId="1" fillId="2" borderId="41" xfId="0" applyNumberFormat="1" applyFont="1" applyFill="1" applyBorder="1"/>
    <xf numFmtId="0" fontId="52" fillId="0" borderId="0" xfId="0" applyFont="1" applyAlignment="1" applyProtection="1">
      <alignment horizontal="centerContinuous"/>
    </xf>
    <xf numFmtId="0" fontId="52" fillId="0" borderId="0" xfId="0" applyFont="1" applyAlignment="1" applyProtection="1"/>
    <xf numFmtId="0" fontId="29" fillId="0" borderId="0" xfId="0" applyFont="1" applyAlignment="1" applyProtection="1">
      <alignment horizontal="centerContinuous" vertical="top"/>
    </xf>
    <xf numFmtId="0" fontId="6" fillId="0" borderId="0" xfId="0" applyFont="1"/>
    <xf numFmtId="2" fontId="16" fillId="10" borderId="96" xfId="0" applyNumberFormat="1" applyFont="1" applyFill="1" applyBorder="1" applyAlignment="1" applyProtection="1">
      <alignment horizontal="center"/>
    </xf>
    <xf numFmtId="171" fontId="16" fillId="10" borderId="97" xfId="0" applyNumberFormat="1" applyFont="1" applyFill="1" applyBorder="1" applyAlignment="1" applyProtection="1">
      <alignment horizontal="center"/>
    </xf>
    <xf numFmtId="180" fontId="16" fillId="10" borderId="93" xfId="0" applyNumberFormat="1" applyFont="1" applyFill="1" applyBorder="1" applyAlignment="1" applyProtection="1">
      <alignment horizontal="right"/>
    </xf>
    <xf numFmtId="2" fontId="16" fillId="10" borderId="104" xfId="0" applyNumberFormat="1" applyFont="1" applyFill="1" applyBorder="1" applyAlignment="1" applyProtection="1">
      <alignment horizontal="center"/>
    </xf>
    <xf numFmtId="171" fontId="16" fillId="10" borderId="105" xfId="0" applyNumberFormat="1" applyFont="1" applyFill="1" applyBorder="1" applyAlignment="1" applyProtection="1">
      <alignment horizontal="center"/>
    </xf>
    <xf numFmtId="180" fontId="16" fillId="10" borderId="101" xfId="0" applyNumberFormat="1" applyFont="1" applyFill="1" applyBorder="1" applyAlignment="1" applyProtection="1">
      <alignment horizontal="right"/>
    </xf>
    <xf numFmtId="2" fontId="16" fillId="10" borderId="112" xfId="0" applyNumberFormat="1" applyFont="1" applyFill="1" applyBorder="1" applyAlignment="1" applyProtection="1">
      <alignment horizontal="center"/>
    </xf>
    <xf numFmtId="171" fontId="16" fillId="10" borderId="113" xfId="0" applyNumberFormat="1" applyFont="1" applyFill="1" applyBorder="1" applyAlignment="1" applyProtection="1">
      <alignment horizontal="center"/>
    </xf>
    <xf numFmtId="180" fontId="16" fillId="10" borderId="109" xfId="0" applyNumberFormat="1" applyFont="1" applyFill="1" applyBorder="1" applyAlignment="1" applyProtection="1">
      <alignment horizontal="right"/>
    </xf>
    <xf numFmtId="0" fontId="0" fillId="0" borderId="0" xfId="0" applyFill="1" applyAlignment="1" applyProtection="1">
      <alignment horizontal="left"/>
    </xf>
    <xf numFmtId="0" fontId="0" fillId="0" borderId="0" xfId="0" applyFill="1" applyAlignment="1" applyProtection="1"/>
    <xf numFmtId="0" fontId="16" fillId="17" borderId="92" xfId="0" applyNumberFormat="1" applyFont="1" applyFill="1" applyBorder="1" applyAlignment="1" applyProtection="1">
      <alignment horizontal="left"/>
    </xf>
    <xf numFmtId="179" fontId="16" fillId="17" borderId="96" xfId="0" applyNumberFormat="1" applyFont="1" applyFill="1" applyBorder="1" applyAlignment="1" applyProtection="1">
      <alignment horizontal="right"/>
    </xf>
    <xf numFmtId="2" fontId="16" fillId="17" borderId="98" xfId="0" quotePrefix="1" applyNumberFormat="1" applyFont="1" applyFill="1" applyBorder="1" applyAlignment="1" applyProtection="1">
      <alignment horizontal="left"/>
    </xf>
    <xf numFmtId="180" fontId="16" fillId="17" borderId="104" xfId="0" applyNumberFormat="1" applyFont="1" applyFill="1" applyBorder="1" applyAlignment="1" applyProtection="1">
      <alignment horizontal="right"/>
    </xf>
    <xf numFmtId="0" fontId="16" fillId="17" borderId="100" xfId="0" applyNumberFormat="1" applyFont="1" applyFill="1" applyBorder="1" applyAlignment="1" applyProtection="1">
      <alignment horizontal="left"/>
    </xf>
    <xf numFmtId="179" fontId="16" fillId="17" borderId="104" xfId="0" applyNumberFormat="1" applyFont="1" applyFill="1" applyBorder="1" applyAlignment="1" applyProtection="1">
      <alignment horizontal="right"/>
    </xf>
    <xf numFmtId="2" fontId="16" fillId="17" borderId="106" xfId="0" quotePrefix="1" applyNumberFormat="1" applyFont="1" applyFill="1" applyBorder="1" applyAlignment="1" applyProtection="1">
      <alignment horizontal="left"/>
    </xf>
    <xf numFmtId="180" fontId="16" fillId="17" borderId="112" xfId="0" applyNumberFormat="1" applyFont="1" applyFill="1" applyBorder="1" applyAlignment="1" applyProtection="1">
      <alignment horizontal="right"/>
    </xf>
    <xf numFmtId="0" fontId="16" fillId="17" borderId="108" xfId="0" applyNumberFormat="1" applyFont="1" applyFill="1" applyBorder="1" applyAlignment="1" applyProtection="1">
      <alignment horizontal="left"/>
    </xf>
    <xf numFmtId="179" fontId="16" fillId="17" borderId="112" xfId="0" applyNumberFormat="1" applyFont="1" applyFill="1" applyBorder="1" applyAlignment="1" applyProtection="1">
      <alignment horizontal="right"/>
    </xf>
    <xf numFmtId="2" fontId="16" fillId="17" borderId="114" xfId="0" quotePrefix="1" applyNumberFormat="1" applyFont="1" applyFill="1" applyBorder="1" applyAlignment="1" applyProtection="1">
      <alignment horizontal="left"/>
    </xf>
    <xf numFmtId="180" fontId="75" fillId="17" borderId="96" xfId="0" applyNumberFormat="1" applyFont="1" applyFill="1" applyBorder="1" applyAlignment="1" applyProtection="1">
      <alignment horizontal="right"/>
    </xf>
    <xf numFmtId="0" fontId="78" fillId="2" borderId="0" xfId="0" applyFont="1" applyFill="1" applyBorder="1"/>
    <xf numFmtId="0" fontId="79" fillId="2" borderId="0" xfId="0" applyFont="1" applyFill="1"/>
    <xf numFmtId="187" fontId="7" fillId="0" borderId="20" xfId="0" applyNumberFormat="1" applyFont="1" applyFill="1" applyBorder="1" applyAlignment="1" applyProtection="1">
      <alignment horizontal="right"/>
    </xf>
    <xf numFmtId="187" fontId="7" fillId="0" borderId="20" xfId="0" applyNumberFormat="1" applyFont="1" applyFill="1" applyBorder="1" applyAlignment="1" applyProtection="1">
      <alignment horizontal="center"/>
    </xf>
    <xf numFmtId="168" fontId="80" fillId="13" borderId="3" xfId="0" applyNumberFormat="1" applyFont="1" applyFill="1" applyBorder="1" applyAlignment="1" applyProtection="1">
      <alignment horizontal="right"/>
      <protection locked="0"/>
    </xf>
    <xf numFmtId="168" fontId="80" fillId="13" borderId="0" xfId="0" applyNumberFormat="1" applyFont="1" applyFill="1" applyBorder="1" applyAlignment="1" applyProtection="1">
      <alignment horizontal="right"/>
      <protection locked="0"/>
    </xf>
    <xf numFmtId="168" fontId="80" fillId="13" borderId="117" xfId="0" applyNumberFormat="1" applyFont="1" applyFill="1" applyBorder="1" applyAlignment="1" applyProtection="1">
      <alignment horizontal="right"/>
      <protection locked="0"/>
    </xf>
    <xf numFmtId="0" fontId="0" fillId="2" borderId="0" xfId="0" applyNumberFormat="1" applyFill="1"/>
    <xf numFmtId="188" fontId="9" fillId="0" borderId="0" xfId="1" applyNumberFormat="1" applyFont="1" applyFill="1" applyBorder="1" applyAlignment="1" applyProtection="1">
      <alignment horizontal="center"/>
    </xf>
    <xf numFmtId="0" fontId="20" fillId="12" borderId="8" xfId="0" applyFont="1" applyFill="1" applyBorder="1" applyAlignment="1">
      <alignment horizontal="center" wrapText="1"/>
    </xf>
    <xf numFmtId="0" fontId="81" fillId="2" borderId="9" xfId="0" applyFont="1" applyFill="1" applyBorder="1" applyAlignment="1">
      <alignment horizontal="center"/>
    </xf>
    <xf numFmtId="0" fontId="20" fillId="12" borderId="8" xfId="0" applyFont="1" applyFill="1" applyBorder="1" applyAlignment="1">
      <alignment horizontal="left"/>
    </xf>
    <xf numFmtId="0" fontId="20" fillId="7" borderId="8" xfId="0" applyFont="1" applyFill="1" applyBorder="1" applyAlignment="1">
      <alignment horizontal="left"/>
    </xf>
    <xf numFmtId="0" fontId="74" fillId="2" borderId="0" xfId="0" applyFont="1" applyFill="1"/>
    <xf numFmtId="186" fontId="17" fillId="4" borderId="0" xfId="0" applyNumberFormat="1" applyFont="1" applyFill="1" applyAlignment="1">
      <alignment horizontal="center"/>
    </xf>
    <xf numFmtId="0" fontId="82" fillId="2" borderId="9" xfId="0" quotePrefix="1" applyFont="1" applyFill="1" applyBorder="1" applyAlignment="1"/>
    <xf numFmtId="0" fontId="82" fillId="2" borderId="10" xfId="0" applyFont="1" applyFill="1" applyBorder="1" applyAlignment="1"/>
    <xf numFmtId="0" fontId="82" fillId="2" borderId="13" xfId="0" applyFont="1" applyFill="1" applyBorder="1" applyAlignment="1"/>
    <xf numFmtId="0" fontId="30" fillId="7" borderId="6" xfId="0" quotePrefix="1" applyFont="1" applyFill="1" applyBorder="1" applyAlignment="1"/>
    <xf numFmtId="0" fontId="81" fillId="2" borderId="16" xfId="0" applyFont="1" applyFill="1" applyBorder="1" applyAlignment="1">
      <alignment horizontal="center"/>
    </xf>
    <xf numFmtId="0" fontId="2" fillId="0" borderId="0" xfId="0" applyFont="1" applyFill="1" applyAlignment="1"/>
    <xf numFmtId="0" fontId="1" fillId="2" borderId="2" xfId="0" applyFont="1" applyFill="1" applyBorder="1"/>
    <xf numFmtId="0" fontId="84" fillId="2" borderId="2" xfId="0" applyFont="1" applyFill="1" applyBorder="1" applyAlignment="1">
      <alignment horizontal="center"/>
    </xf>
    <xf numFmtId="0" fontId="2" fillId="2" borderId="0" xfId="0" applyFont="1" applyFill="1" applyBorder="1" applyAlignment="1">
      <alignment horizontal="right"/>
    </xf>
    <xf numFmtId="0" fontId="31" fillId="2" borderId="0" xfId="0" applyFont="1" applyFill="1" applyBorder="1" applyAlignment="1">
      <alignment horizontal="right"/>
    </xf>
    <xf numFmtId="0" fontId="79" fillId="2" borderId="0" xfId="0" applyFont="1" applyFill="1" applyAlignment="1">
      <alignment horizontal="center"/>
    </xf>
    <xf numFmtId="0" fontId="31" fillId="2" borderId="0" xfId="0" applyFont="1" applyFill="1" applyBorder="1" applyAlignment="1">
      <alignment horizontal="center"/>
    </xf>
    <xf numFmtId="0" fontId="0" fillId="18" borderId="0" xfId="0" applyFill="1"/>
    <xf numFmtId="0" fontId="54" fillId="18" borderId="0" xfId="0" quotePrefix="1" applyFont="1" applyFill="1"/>
    <xf numFmtId="0" fontId="0" fillId="18" borderId="0" xfId="0" applyFill="1" applyBorder="1"/>
    <xf numFmtId="0" fontId="4" fillId="18" borderId="0" xfId="0" applyFont="1" applyFill="1"/>
    <xf numFmtId="0" fontId="0" fillId="18" borderId="0" xfId="0" applyFill="1" applyProtection="1">
      <protection locked="0"/>
    </xf>
    <xf numFmtId="0" fontId="25" fillId="18" borderId="0" xfId="0" applyFont="1" applyFill="1"/>
    <xf numFmtId="0" fontId="54" fillId="18" borderId="122" xfId="0" applyFont="1" applyFill="1" applyBorder="1"/>
    <xf numFmtId="0" fontId="15" fillId="18" borderId="122" xfId="0" applyFont="1" applyFill="1" applyBorder="1"/>
    <xf numFmtId="0" fontId="0" fillId="18" borderId="122" xfId="0" applyFill="1" applyBorder="1"/>
    <xf numFmtId="0" fontId="53" fillId="0" borderId="3" xfId="0" applyFont="1" applyFill="1" applyBorder="1" applyAlignment="1">
      <alignment horizontal="left"/>
    </xf>
    <xf numFmtId="0" fontId="2" fillId="0" borderId="0" xfId="0" applyFont="1"/>
    <xf numFmtId="0" fontId="74" fillId="19" borderId="120" xfId="0" applyFont="1" applyFill="1" applyBorder="1" applyAlignment="1" applyProtection="1">
      <alignment horizontal="centerContinuous" vertical="center"/>
    </xf>
    <xf numFmtId="0" fontId="74" fillId="19" borderId="121" xfId="0" applyFont="1" applyFill="1" applyBorder="1" applyAlignment="1" applyProtection="1">
      <alignment horizontal="centerContinuous" vertical="center"/>
    </xf>
    <xf numFmtId="0" fontId="14" fillId="0" borderId="0" xfId="0" applyFont="1" applyFill="1" applyAlignment="1" applyProtection="1">
      <alignment horizontal="left"/>
    </xf>
    <xf numFmtId="0" fontId="68" fillId="0" borderId="0" xfId="0" applyFont="1" applyAlignment="1">
      <alignment horizontal="left"/>
    </xf>
    <xf numFmtId="0" fontId="8" fillId="10" borderId="74" xfId="0" applyFont="1" applyFill="1" applyBorder="1" applyAlignment="1">
      <alignment horizontal="centerContinuous" vertical="center"/>
    </xf>
    <xf numFmtId="0" fontId="9" fillId="10" borderId="54" xfId="0" applyFont="1" applyFill="1" applyBorder="1" applyAlignment="1">
      <alignment horizontal="centerContinuous" vertical="center"/>
    </xf>
    <xf numFmtId="0" fontId="0" fillId="10" borderId="54" xfId="0" applyFill="1" applyBorder="1" applyAlignment="1">
      <alignment horizontal="centerContinuous" vertical="center"/>
    </xf>
    <xf numFmtId="0" fontId="0" fillId="10" borderId="55" xfId="0" applyFill="1" applyBorder="1" applyAlignment="1">
      <alignment horizontal="centerContinuous" vertical="center"/>
    </xf>
    <xf numFmtId="0" fontId="8" fillId="10" borderId="54" xfId="0" applyFont="1" applyFill="1" applyBorder="1" applyAlignment="1">
      <alignment horizontal="centerContinuous" vertical="center"/>
    </xf>
    <xf numFmtId="0" fontId="8" fillId="10" borderId="55" xfId="0" applyFont="1" applyFill="1" applyBorder="1" applyAlignment="1">
      <alignment horizontal="centerContinuous" vertical="center"/>
    </xf>
    <xf numFmtId="0" fontId="85" fillId="2" borderId="0" xfId="0" applyFont="1" applyFill="1" applyBorder="1" applyAlignment="1">
      <alignment horizontal="left"/>
    </xf>
    <xf numFmtId="0" fontId="67" fillId="2" borderId="0" xfId="0" applyFont="1" applyFill="1" applyBorder="1" applyAlignment="1">
      <alignment horizontal="left"/>
    </xf>
    <xf numFmtId="0" fontId="87" fillId="2" borderId="0" xfId="0" applyFont="1" applyFill="1" applyBorder="1" applyAlignment="1">
      <alignment horizontal="left"/>
    </xf>
    <xf numFmtId="0" fontId="88" fillId="2" borderId="0" xfId="0" applyFont="1" applyFill="1" applyBorder="1" applyAlignment="1">
      <alignment horizontal="left"/>
    </xf>
    <xf numFmtId="0" fontId="86" fillId="2" borderId="0" xfId="0" applyFont="1" applyFill="1" applyAlignment="1">
      <alignment horizontal="right"/>
    </xf>
    <xf numFmtId="0" fontId="2" fillId="0" borderId="0" xfId="0" applyFont="1" applyFill="1" applyBorder="1" applyProtection="1"/>
    <xf numFmtId="0" fontId="89" fillId="0" borderId="0" xfId="0" applyFont="1" applyAlignment="1">
      <alignment horizontal="right"/>
    </xf>
    <xf numFmtId="0" fontId="90" fillId="0" borderId="0" xfId="0" applyFont="1"/>
    <xf numFmtId="188" fontId="89" fillId="0" borderId="0" xfId="1" applyNumberFormat="1" applyFont="1" applyFill="1" applyBorder="1" applyAlignment="1" applyProtection="1">
      <alignment horizontal="center"/>
    </xf>
    <xf numFmtId="0" fontId="67" fillId="2" borderId="7" xfId="0" applyFont="1" applyFill="1" applyBorder="1"/>
    <xf numFmtId="0" fontId="91" fillId="20" borderId="6" xfId="0" quotePrefix="1" applyFont="1" applyFill="1" applyBorder="1" applyAlignment="1">
      <alignment horizontal="left"/>
    </xf>
    <xf numFmtId="0" fontId="92" fillId="14" borderId="5" xfId="0" quotePrefix="1" applyFont="1" applyFill="1" applyBorder="1"/>
    <xf numFmtId="0" fontId="93" fillId="19" borderId="6" xfId="0" quotePrefix="1" applyFont="1" applyFill="1" applyBorder="1" applyAlignment="1">
      <alignment horizontal="left"/>
    </xf>
    <xf numFmtId="0" fontId="92" fillId="14" borderId="6" xfId="0" quotePrefix="1" applyFont="1" applyFill="1" applyBorder="1" applyAlignment="1">
      <alignment horizontal="left"/>
    </xf>
    <xf numFmtId="0" fontId="92" fillId="16" borderId="6" xfId="0" quotePrefix="1" applyFont="1" applyFill="1" applyBorder="1" applyAlignment="1">
      <alignment horizontal="left" vertical="top"/>
    </xf>
    <xf numFmtId="0" fontId="93" fillId="19" borderId="6" xfId="0" quotePrefix="1" applyFont="1" applyFill="1" applyBorder="1" applyAlignment="1">
      <alignment horizontal="left" vertical="top"/>
    </xf>
    <xf numFmtId="0" fontId="92" fillId="14" borderId="5" xfId="0" quotePrefix="1" applyFont="1" applyFill="1" applyBorder="1" applyAlignment="1">
      <alignment horizontal="left"/>
    </xf>
    <xf numFmtId="0" fontId="93" fillId="19" borderId="6" xfId="0" quotePrefix="1" applyFont="1" applyFill="1" applyBorder="1"/>
    <xf numFmtId="0" fontId="92" fillId="14" borderId="6" xfId="0" quotePrefix="1" applyFont="1" applyFill="1" applyBorder="1"/>
    <xf numFmtId="0" fontId="94" fillId="15" borderId="6" xfId="0" quotePrefix="1" applyFont="1" applyFill="1" applyBorder="1" applyAlignment="1">
      <alignment horizontal="left"/>
    </xf>
    <xf numFmtId="0" fontId="90" fillId="19" borderId="119" xfId="0" applyFont="1" applyFill="1" applyBorder="1" applyAlignment="1" applyProtection="1">
      <alignment horizontal="centerContinuous" vertical="center"/>
    </xf>
    <xf numFmtId="0" fontId="1" fillId="0" borderId="0" xfId="3" applyFont="1" applyAlignment="1">
      <alignment vertical="top" wrapText="1"/>
    </xf>
    <xf numFmtId="0" fontId="74" fillId="2" borderId="0" xfId="3" applyFont="1" applyFill="1"/>
    <xf numFmtId="167" fontId="83" fillId="21" borderId="95" xfId="0" applyNumberFormat="1" applyFont="1" applyFill="1" applyBorder="1" applyAlignment="1" applyProtection="1">
      <alignment horizontal="right"/>
      <protection locked="0"/>
    </xf>
    <xf numFmtId="167" fontId="83" fillId="21" borderId="91" xfId="0" applyNumberFormat="1" applyFont="1" applyFill="1" applyBorder="1" applyAlignment="1" applyProtection="1">
      <alignment horizontal="right"/>
      <protection locked="0"/>
    </xf>
    <xf numFmtId="167" fontId="83" fillId="21" borderId="103" xfId="0" applyNumberFormat="1" applyFont="1" applyFill="1" applyBorder="1" applyAlignment="1" applyProtection="1">
      <alignment horizontal="right"/>
      <protection locked="0"/>
    </xf>
    <xf numFmtId="167" fontId="83" fillId="21" borderId="99" xfId="0" applyNumberFormat="1" applyFont="1" applyFill="1" applyBorder="1" applyAlignment="1" applyProtection="1">
      <alignment horizontal="right"/>
      <protection locked="0"/>
    </xf>
    <xf numFmtId="167" fontId="83" fillId="21" borderId="111" xfId="0" applyNumberFormat="1" applyFont="1" applyFill="1" applyBorder="1" applyAlignment="1" applyProtection="1">
      <alignment horizontal="right"/>
      <protection locked="0"/>
    </xf>
    <xf numFmtId="167" fontId="83" fillId="21" borderId="107" xfId="0" applyNumberFormat="1" applyFont="1" applyFill="1" applyBorder="1" applyAlignment="1" applyProtection="1">
      <alignment horizontal="right"/>
      <protection locked="0"/>
    </xf>
    <xf numFmtId="0" fontId="7" fillId="0" borderId="0" xfId="0" applyFont="1" applyAlignment="1">
      <alignment vertical="top" wrapText="1"/>
    </xf>
    <xf numFmtId="0" fontId="1" fillId="0" borderId="0" xfId="0" applyFont="1" applyAlignment="1">
      <alignment horizontal="right" vertical="top"/>
    </xf>
    <xf numFmtId="0" fontId="1" fillId="0" borderId="0" xfId="0" applyFont="1" applyAlignment="1">
      <alignment wrapText="1"/>
    </xf>
    <xf numFmtId="0" fontId="1" fillId="0" borderId="0" xfId="0" applyFont="1" applyAlignment="1">
      <alignment horizontal="right"/>
    </xf>
    <xf numFmtId="0" fontId="0" fillId="0" borderId="0" xfId="0" applyBorder="1"/>
    <xf numFmtId="169" fontId="96" fillId="13" borderId="93" xfId="0" applyNumberFormat="1" applyFont="1" applyFill="1" applyBorder="1" applyAlignment="1" applyProtection="1">
      <alignment horizontal="center"/>
      <protection locked="0"/>
    </xf>
    <xf numFmtId="169" fontId="96" fillId="13" borderId="101" xfId="0" applyNumberFormat="1" applyFont="1" applyFill="1" applyBorder="1" applyAlignment="1" applyProtection="1">
      <alignment horizontal="center"/>
      <protection locked="0"/>
    </xf>
    <xf numFmtId="169" fontId="96" fillId="13" borderId="109" xfId="0" applyNumberFormat="1" applyFont="1" applyFill="1" applyBorder="1" applyAlignment="1" applyProtection="1">
      <alignment horizontal="center"/>
      <protection locked="0"/>
    </xf>
    <xf numFmtId="0" fontId="96" fillId="22" borderId="61" xfId="0" applyFont="1" applyFill="1" applyBorder="1" applyAlignment="1" applyProtection="1">
      <alignment horizontal="center" vertical="center"/>
      <protection locked="0"/>
    </xf>
    <xf numFmtId="183" fontId="97" fillId="22" borderId="62" xfId="0" applyNumberFormat="1" applyFont="1" applyFill="1" applyBorder="1" applyAlignment="1" applyProtection="1">
      <alignment horizontal="center" vertical="center"/>
      <protection locked="0"/>
    </xf>
    <xf numFmtId="183" fontId="97" fillId="22" borderId="63" xfId="0" applyNumberFormat="1" applyFont="1" applyFill="1" applyBorder="1" applyAlignment="1" applyProtection="1">
      <alignment horizontal="center" vertical="center"/>
      <protection locked="0"/>
    </xf>
    <xf numFmtId="0" fontId="99" fillId="0" borderId="0" xfId="0" applyFont="1" applyFill="1" applyAlignment="1" applyProtection="1">
      <alignment horizontal="right"/>
      <protection locked="0"/>
    </xf>
    <xf numFmtId="167" fontId="96" fillId="21" borderId="94" xfId="0" applyNumberFormat="1" applyFont="1" applyFill="1" applyBorder="1" applyAlignment="1" applyProtection="1">
      <alignment horizontal="right"/>
      <protection locked="0"/>
    </xf>
    <xf numFmtId="167" fontId="96" fillId="21" borderId="102" xfId="0" applyNumberFormat="1" applyFont="1" applyFill="1" applyBorder="1" applyAlignment="1" applyProtection="1">
      <alignment horizontal="right"/>
      <protection locked="0"/>
    </xf>
    <xf numFmtId="167" fontId="96" fillId="21" borderId="110" xfId="0" applyNumberFormat="1" applyFont="1" applyFill="1" applyBorder="1" applyAlignment="1" applyProtection="1">
      <alignment horizontal="right"/>
      <protection locked="0"/>
    </xf>
    <xf numFmtId="171" fontId="96" fillId="21" borderId="96" xfId="0" applyNumberFormat="1" applyFont="1" applyFill="1" applyBorder="1" applyAlignment="1" applyProtection="1">
      <alignment horizontal="center"/>
      <protection locked="0"/>
    </xf>
    <xf numFmtId="2" fontId="96" fillId="21" borderId="97" xfId="0" applyNumberFormat="1" applyFont="1" applyFill="1" applyBorder="1" applyAlignment="1" applyProtection="1">
      <alignment horizontal="center"/>
      <protection locked="0"/>
    </xf>
    <xf numFmtId="174" fontId="96" fillId="21" borderId="94" xfId="0" applyNumberFormat="1" applyFont="1" applyFill="1" applyBorder="1" applyAlignment="1" applyProtection="1">
      <protection locked="0"/>
    </xf>
    <xf numFmtId="174" fontId="96" fillId="21" borderId="97" xfId="0" applyNumberFormat="1" applyFont="1" applyFill="1" applyBorder="1" applyAlignment="1" applyProtection="1">
      <alignment horizontal="right"/>
      <protection locked="0"/>
    </xf>
    <xf numFmtId="171" fontId="96" fillId="21" borderId="104" xfId="0" applyNumberFormat="1" applyFont="1" applyFill="1" applyBorder="1" applyAlignment="1" applyProtection="1">
      <alignment horizontal="center"/>
      <protection locked="0"/>
    </xf>
    <xf numFmtId="2" fontId="96" fillId="21" borderId="105" xfId="0" applyNumberFormat="1" applyFont="1" applyFill="1" applyBorder="1" applyAlignment="1" applyProtection="1">
      <alignment horizontal="center"/>
      <protection locked="0"/>
    </xf>
    <xf numFmtId="174" fontId="96" fillId="21" borderId="102" xfId="0" applyNumberFormat="1" applyFont="1" applyFill="1" applyBorder="1" applyAlignment="1" applyProtection="1">
      <protection locked="0"/>
    </xf>
    <xf numFmtId="174" fontId="96" fillId="21" borderId="105" xfId="0" applyNumberFormat="1" applyFont="1" applyFill="1" applyBorder="1" applyAlignment="1" applyProtection="1">
      <alignment horizontal="right"/>
      <protection locked="0"/>
    </xf>
    <xf numFmtId="171" fontId="96" fillId="21" borderId="112" xfId="0" applyNumberFormat="1" applyFont="1" applyFill="1" applyBorder="1" applyAlignment="1" applyProtection="1">
      <alignment horizontal="center"/>
      <protection locked="0"/>
    </xf>
    <xf numFmtId="2" fontId="96" fillId="21" borderId="113" xfId="0" applyNumberFormat="1" applyFont="1" applyFill="1" applyBorder="1" applyAlignment="1" applyProtection="1">
      <alignment horizontal="center"/>
      <protection locked="0"/>
    </xf>
    <xf numFmtId="174" fontId="96" fillId="21" borderId="110" xfId="0" applyNumberFormat="1" applyFont="1" applyFill="1" applyBorder="1" applyAlignment="1" applyProtection="1">
      <protection locked="0"/>
    </xf>
    <xf numFmtId="174" fontId="96" fillId="21" borderId="113" xfId="0" applyNumberFormat="1" applyFont="1" applyFill="1" applyBorder="1" applyAlignment="1" applyProtection="1">
      <alignment horizontal="right"/>
      <protection locked="0"/>
    </xf>
    <xf numFmtId="0" fontId="2" fillId="0" borderId="0" xfId="0" applyFont="1" applyAlignment="1" applyProtection="1">
      <alignment vertical="center"/>
    </xf>
    <xf numFmtId="0" fontId="8" fillId="0" borderId="0" xfId="0" applyFont="1" applyAlignment="1" applyProtection="1">
      <alignment vertical="center"/>
    </xf>
    <xf numFmtId="0" fontId="8" fillId="25" borderId="0" xfId="0" applyFont="1" applyFill="1" applyAlignment="1" applyProtection="1">
      <alignment vertical="center"/>
    </xf>
    <xf numFmtId="0" fontId="2" fillId="25" borderId="0" xfId="0" applyFont="1" applyFill="1" applyAlignment="1" applyProtection="1">
      <alignment vertical="center"/>
    </xf>
    <xf numFmtId="0" fontId="2" fillId="29" borderId="0" xfId="0" applyFont="1" applyFill="1" applyAlignment="1" applyProtection="1">
      <alignment vertical="center"/>
    </xf>
    <xf numFmtId="0" fontId="2" fillId="29" borderId="2" xfId="0" applyFont="1" applyFill="1" applyBorder="1" applyAlignment="1" applyProtection="1">
      <alignment vertical="center"/>
    </xf>
    <xf numFmtId="0" fontId="105" fillId="23" borderId="0" xfId="0" applyFont="1" applyFill="1" applyAlignment="1" applyProtection="1">
      <alignment horizontal="right" vertical="center"/>
    </xf>
    <xf numFmtId="0" fontId="2" fillId="25" borderId="57" xfId="0" applyFont="1" applyFill="1" applyBorder="1" applyAlignment="1" applyProtection="1">
      <alignment vertical="center"/>
    </xf>
    <xf numFmtId="0" fontId="105" fillId="0" borderId="0" xfId="0" applyFont="1" applyAlignment="1" applyProtection="1">
      <alignment vertical="center"/>
    </xf>
    <xf numFmtId="9" fontId="2" fillId="25" borderId="0" xfId="1" applyFont="1" applyFill="1" applyAlignment="1" applyProtection="1">
      <alignment vertical="center"/>
    </xf>
    <xf numFmtId="0" fontId="2" fillId="28" borderId="0" xfId="0" applyFont="1" applyFill="1" applyAlignment="1" applyProtection="1">
      <alignment vertical="center"/>
    </xf>
    <xf numFmtId="0" fontId="2" fillId="30" borderId="0" xfId="0" applyFont="1" applyFill="1" applyAlignment="1" applyProtection="1">
      <alignment vertical="center"/>
    </xf>
    <xf numFmtId="0" fontId="2" fillId="29" borderId="0" xfId="0" applyFont="1" applyFill="1" applyBorder="1" applyAlignment="1" applyProtection="1">
      <alignment vertical="center"/>
    </xf>
    <xf numFmtId="0" fontId="2" fillId="29" borderId="130" xfId="0" applyFont="1" applyFill="1" applyBorder="1" applyAlignment="1" applyProtection="1">
      <alignment vertical="center"/>
    </xf>
    <xf numFmtId="0" fontId="2" fillId="31" borderId="0" xfId="0" applyFont="1" applyFill="1" applyAlignment="1" applyProtection="1">
      <alignment vertical="center"/>
    </xf>
    <xf numFmtId="0" fontId="8" fillId="29" borderId="0" xfId="0" applyFont="1" applyFill="1" applyAlignment="1" applyProtection="1">
      <alignment horizontal="center" vertical="center"/>
    </xf>
    <xf numFmtId="0" fontId="100" fillId="26" borderId="0" xfId="0" applyFont="1" applyFill="1" applyBorder="1" applyAlignment="1" applyProtection="1">
      <alignment vertical="center"/>
    </xf>
    <xf numFmtId="0" fontId="101" fillId="0" borderId="0" xfId="0" applyFont="1" applyAlignment="1" applyProtection="1">
      <alignment vertical="center"/>
    </xf>
    <xf numFmtId="0" fontId="100" fillId="26" borderId="0" xfId="0" applyFont="1" applyFill="1" applyBorder="1" applyAlignment="1" applyProtection="1">
      <alignment horizontal="center" vertical="center"/>
    </xf>
    <xf numFmtId="0" fontId="2" fillId="23" borderId="0" xfId="0" applyFont="1" applyFill="1" applyAlignment="1" applyProtection="1">
      <alignment vertical="center"/>
    </xf>
    <xf numFmtId="0" fontId="1" fillId="0" borderId="0" xfId="0" applyFont="1" applyAlignment="1" applyProtection="1">
      <alignment vertical="center"/>
    </xf>
    <xf numFmtId="0" fontId="7" fillId="0" borderId="0" xfId="0" applyFont="1" applyAlignment="1" applyProtection="1">
      <alignment vertical="center"/>
    </xf>
    <xf numFmtId="0" fontId="6" fillId="0" borderId="0" xfId="0" applyFont="1" applyAlignment="1" applyProtection="1">
      <alignment vertical="center"/>
    </xf>
    <xf numFmtId="0" fontId="11" fillId="0" borderId="0" xfId="0" applyFont="1" applyAlignment="1" applyProtection="1">
      <alignment vertical="center"/>
    </xf>
    <xf numFmtId="0" fontId="8" fillId="23" borderId="0" xfId="0" applyFont="1" applyFill="1" applyAlignment="1" applyProtection="1">
      <alignment vertical="center"/>
    </xf>
    <xf numFmtId="9" fontId="2" fillId="0" borderId="0" xfId="0" applyNumberFormat="1" applyFont="1" applyAlignment="1" applyProtection="1">
      <alignment vertical="center"/>
    </xf>
    <xf numFmtId="0" fontId="104" fillId="25" borderId="0" xfId="0" applyFont="1" applyFill="1" applyAlignment="1" applyProtection="1">
      <alignment vertical="center"/>
    </xf>
    <xf numFmtId="0" fontId="8" fillId="0" borderId="0" xfId="0" applyFont="1" applyFill="1" applyAlignment="1" applyProtection="1">
      <alignment vertical="center"/>
    </xf>
    <xf numFmtId="0" fontId="8" fillId="29" borderId="0" xfId="0" applyFont="1" applyFill="1" applyAlignment="1" applyProtection="1">
      <alignment horizontal="right" vertical="center"/>
    </xf>
    <xf numFmtId="0" fontId="2" fillId="0" borderId="0" xfId="0" applyFont="1" applyFill="1" applyAlignment="1" applyProtection="1">
      <alignment vertical="center"/>
    </xf>
    <xf numFmtId="2" fontId="2" fillId="25" borderId="0" xfId="0" applyNumberFormat="1" applyFont="1" applyFill="1" applyAlignment="1" applyProtection="1">
      <alignment vertical="center"/>
    </xf>
    <xf numFmtId="0" fontId="8" fillId="29" borderId="0" xfId="0" applyFont="1" applyFill="1" applyAlignment="1" applyProtection="1">
      <alignment vertical="center"/>
    </xf>
    <xf numFmtId="0" fontId="2" fillId="31" borderId="59" xfId="0" applyFont="1" applyFill="1" applyBorder="1" applyAlignment="1" applyProtection="1">
      <alignment vertical="center"/>
    </xf>
    <xf numFmtId="0" fontId="2" fillId="29" borderId="0" xfId="0" applyFont="1" applyFill="1" applyAlignment="1" applyProtection="1">
      <alignment horizontal="right" vertical="center"/>
    </xf>
    <xf numFmtId="0" fontId="89" fillId="0" borderId="0" xfId="0" applyFont="1" applyAlignment="1" applyProtection="1">
      <alignment horizontal="left" vertical="center"/>
    </xf>
    <xf numFmtId="0" fontId="105" fillId="0" borderId="0" xfId="0" applyFont="1" applyAlignment="1" applyProtection="1">
      <alignment horizontal="right" vertical="center"/>
    </xf>
    <xf numFmtId="0" fontId="2" fillId="27" borderId="0" xfId="0" applyFont="1" applyFill="1" applyAlignment="1" applyProtection="1">
      <alignment vertical="center"/>
    </xf>
    <xf numFmtId="0" fontId="86" fillId="0" borderId="0" xfId="0" applyFont="1" applyAlignment="1" applyProtection="1">
      <alignment vertical="center"/>
    </xf>
    <xf numFmtId="2" fontId="2" fillId="0" borderId="0" xfId="0" applyNumberFormat="1" applyFont="1" applyAlignment="1" applyProtection="1">
      <alignment vertical="center"/>
    </xf>
    <xf numFmtId="0" fontId="2" fillId="29" borderId="127" xfId="0" applyFont="1" applyFill="1" applyBorder="1" applyAlignment="1" applyProtection="1">
      <alignment vertical="center"/>
    </xf>
    <xf numFmtId="0" fontId="8" fillId="0" borderId="2" xfId="0" applyFont="1" applyBorder="1" applyAlignment="1" applyProtection="1">
      <alignment vertical="center"/>
    </xf>
    <xf numFmtId="0" fontId="8" fillId="27" borderId="59" xfId="0" applyFont="1" applyFill="1" applyBorder="1" applyAlignment="1" applyProtection="1">
      <alignment vertical="center"/>
    </xf>
    <xf numFmtId="0" fontId="8" fillId="0" borderId="59" xfId="0" applyFont="1" applyBorder="1" applyAlignment="1" applyProtection="1">
      <alignment vertical="center"/>
    </xf>
    <xf numFmtId="0" fontId="8" fillId="30" borderId="0" xfId="0" applyFont="1" applyFill="1" applyBorder="1" applyAlignment="1" applyProtection="1">
      <alignment vertical="center"/>
    </xf>
    <xf numFmtId="0" fontId="8" fillId="30" borderId="0" xfId="0" applyFont="1" applyFill="1" applyAlignment="1" applyProtection="1">
      <alignment vertical="center"/>
    </xf>
    <xf numFmtId="0" fontId="2" fillId="29" borderId="137" xfId="0" applyFont="1" applyFill="1" applyBorder="1" applyAlignment="1" applyProtection="1">
      <alignment vertical="center"/>
    </xf>
    <xf numFmtId="190" fontId="2" fillId="25" borderId="0" xfId="1" applyNumberFormat="1" applyFont="1" applyFill="1" applyAlignment="1" applyProtection="1">
      <alignment vertical="center"/>
    </xf>
    <xf numFmtId="186" fontId="2" fillId="29" borderId="0" xfId="0" applyNumberFormat="1" applyFont="1" applyFill="1" applyAlignment="1" applyProtection="1">
      <alignment horizontal="center" vertical="center"/>
    </xf>
    <xf numFmtId="191" fontId="2" fillId="25" borderId="0" xfId="0" applyNumberFormat="1" applyFont="1" applyFill="1" applyAlignment="1" applyProtection="1">
      <alignment vertical="center"/>
    </xf>
    <xf numFmtId="40" fontId="2" fillId="0" borderId="0" xfId="0" applyNumberFormat="1" applyFont="1" applyAlignment="1" applyProtection="1">
      <alignment vertical="center"/>
    </xf>
    <xf numFmtId="40" fontId="2" fillId="25" borderId="0" xfId="0" applyNumberFormat="1" applyFont="1" applyFill="1" applyAlignment="1" applyProtection="1">
      <alignment vertical="center"/>
    </xf>
    <xf numFmtId="0" fontId="2" fillId="30" borderId="0" xfId="0" applyFont="1" applyFill="1" applyBorder="1" applyAlignment="1" applyProtection="1">
      <alignment vertical="center"/>
    </xf>
    <xf numFmtId="0" fontId="105" fillId="0" borderId="0" xfId="0" applyFont="1" applyFill="1" applyAlignment="1" applyProtection="1">
      <alignment vertical="center"/>
    </xf>
    <xf numFmtId="2" fontId="2" fillId="29" borderId="3" xfId="0" applyNumberFormat="1" applyFont="1" applyFill="1" applyBorder="1" applyAlignment="1" applyProtection="1">
      <alignment vertical="center"/>
    </xf>
    <xf numFmtId="186" fontId="2" fillId="29" borderId="0" xfId="0" applyNumberFormat="1" applyFont="1" applyFill="1" applyBorder="1" applyAlignment="1" applyProtection="1">
      <alignment horizontal="center" vertical="center"/>
    </xf>
    <xf numFmtId="2" fontId="8" fillId="0" borderId="59" xfId="0" applyNumberFormat="1" applyFont="1" applyBorder="1" applyAlignment="1" applyProtection="1">
      <alignment vertical="center"/>
    </xf>
    <xf numFmtId="2" fontId="2" fillId="29" borderId="2" xfId="0" applyNumberFormat="1" applyFont="1" applyFill="1" applyBorder="1" applyAlignment="1" applyProtection="1">
      <alignment vertical="center"/>
    </xf>
    <xf numFmtId="0" fontId="2" fillId="30" borderId="3" xfId="0" applyFont="1" applyFill="1" applyBorder="1" applyAlignment="1" applyProtection="1">
      <alignment vertical="center"/>
    </xf>
    <xf numFmtId="0" fontId="2" fillId="0" borderId="59" xfId="0" applyFont="1" applyBorder="1" applyAlignment="1" applyProtection="1">
      <alignment vertical="center"/>
    </xf>
    <xf numFmtId="40" fontId="8" fillId="0" borderId="128" xfId="0" applyNumberFormat="1" applyFont="1" applyBorder="1" applyAlignment="1" applyProtection="1">
      <alignment vertical="center"/>
    </xf>
    <xf numFmtId="40" fontId="2" fillId="30" borderId="123" xfId="0" applyNumberFormat="1" applyFont="1" applyFill="1" applyBorder="1" applyAlignment="1" applyProtection="1">
      <alignment horizontal="center" vertical="center"/>
    </xf>
    <xf numFmtId="40" fontId="2" fillId="30" borderId="148" xfId="0" applyNumberFormat="1" applyFont="1" applyFill="1" applyBorder="1" applyAlignment="1" applyProtection="1">
      <alignment horizontal="center" vertical="center"/>
    </xf>
    <xf numFmtId="0" fontId="8" fillId="30" borderId="142" xfId="0" applyFont="1" applyFill="1" applyBorder="1" applyAlignment="1" applyProtection="1">
      <alignment horizontal="center" vertical="center"/>
    </xf>
    <xf numFmtId="0" fontId="86" fillId="0" borderId="0" xfId="0" applyFont="1" applyAlignment="1" applyProtection="1">
      <alignment horizontal="right" vertical="center"/>
    </xf>
    <xf numFmtId="0" fontId="2" fillId="25" borderId="0" xfId="0" applyNumberFormat="1" applyFont="1" applyFill="1" applyAlignment="1" applyProtection="1">
      <alignment vertical="center"/>
    </xf>
    <xf numFmtId="192" fontId="2" fillId="25" borderId="0" xfId="0" applyNumberFormat="1" applyFont="1" applyFill="1" applyAlignment="1" applyProtection="1">
      <alignment vertical="center"/>
    </xf>
    <xf numFmtId="0" fontId="89" fillId="0" borderId="0" xfId="0" applyFont="1" applyAlignment="1" applyProtection="1">
      <alignment horizontal="right" vertical="center"/>
    </xf>
    <xf numFmtId="40" fontId="8" fillId="0" borderId="0" xfId="0" applyNumberFormat="1" applyFont="1" applyAlignment="1" applyProtection="1">
      <alignment vertical="center"/>
    </xf>
    <xf numFmtId="0" fontId="101" fillId="0" borderId="0" xfId="0" applyFont="1" applyFill="1" applyAlignment="1" applyProtection="1">
      <alignment vertical="center"/>
    </xf>
    <xf numFmtId="190" fontId="2" fillId="0" borderId="0" xfId="1" applyNumberFormat="1" applyFont="1" applyAlignment="1" applyProtection="1">
      <alignment vertical="center"/>
    </xf>
    <xf numFmtId="40" fontId="2" fillId="0" borderId="59" xfId="0" applyNumberFormat="1" applyFont="1" applyBorder="1" applyAlignment="1" applyProtection="1">
      <alignment vertical="center"/>
    </xf>
    <xf numFmtId="0" fontId="89" fillId="0" borderId="0" xfId="0" applyFont="1" applyAlignment="1" applyProtection="1">
      <alignment vertical="center"/>
    </xf>
    <xf numFmtId="0" fontId="2" fillId="25" borderId="0" xfId="0" applyFont="1" applyFill="1" applyAlignment="1" applyProtection="1">
      <alignment horizontal="left" wrapText="1"/>
    </xf>
    <xf numFmtId="0" fontId="8" fillId="29" borderId="142" xfId="0" applyFont="1" applyFill="1" applyBorder="1" applyAlignment="1" applyProtection="1">
      <alignment horizontal="center" vertical="center"/>
    </xf>
    <xf numFmtId="0" fontId="1" fillId="19" borderId="0" xfId="0" applyFont="1" applyFill="1" applyAlignment="1" applyProtection="1">
      <alignment vertical="center"/>
    </xf>
    <xf numFmtId="0" fontId="1" fillId="0" borderId="0" xfId="0" applyFont="1" applyFill="1" applyAlignment="1" applyProtection="1">
      <alignment vertical="center"/>
    </xf>
    <xf numFmtId="186" fontId="2" fillId="0" borderId="57" xfId="0" applyNumberFormat="1" applyFont="1" applyBorder="1" applyAlignment="1" applyProtection="1">
      <alignment horizontal="center" vertical="center"/>
      <protection locked="0"/>
    </xf>
    <xf numFmtId="0" fontId="2" fillId="0" borderId="57" xfId="0" applyFont="1" applyBorder="1" applyAlignment="1" applyProtection="1">
      <alignment vertical="center"/>
      <protection locked="0"/>
    </xf>
    <xf numFmtId="0" fontId="2" fillId="0" borderId="38" xfId="0" applyFont="1" applyBorder="1" applyAlignment="1" applyProtection="1">
      <alignment vertical="center"/>
      <protection locked="0"/>
    </xf>
    <xf numFmtId="0" fontId="2" fillId="0" borderId="38" xfId="0" applyFont="1" applyBorder="1" applyAlignment="1" applyProtection="1">
      <alignment horizontal="center" vertical="center"/>
      <protection locked="0"/>
    </xf>
    <xf numFmtId="0" fontId="2" fillId="0" borderId="57" xfId="0" applyFont="1" applyBorder="1" applyAlignment="1" applyProtection="1">
      <alignment horizontal="center" vertical="center"/>
      <protection locked="0"/>
    </xf>
    <xf numFmtId="2" fontId="2" fillId="0" borderId="38" xfId="0" applyNumberFormat="1" applyFont="1" applyBorder="1" applyAlignment="1" applyProtection="1">
      <alignment vertical="center"/>
      <protection locked="0"/>
    </xf>
    <xf numFmtId="9" fontId="2" fillId="0" borderId="38" xfId="1" applyFont="1" applyBorder="1" applyAlignment="1" applyProtection="1">
      <alignment vertical="center"/>
      <protection locked="0"/>
    </xf>
    <xf numFmtId="2" fontId="2" fillId="0" borderId="57" xfId="0" applyNumberFormat="1" applyFont="1" applyBorder="1" applyAlignment="1" applyProtection="1">
      <alignment vertical="center"/>
      <protection locked="0"/>
    </xf>
    <xf numFmtId="9" fontId="2" fillId="0" borderId="57" xfId="1" applyFont="1" applyBorder="1" applyAlignment="1" applyProtection="1">
      <alignment vertical="center"/>
      <protection locked="0"/>
    </xf>
    <xf numFmtId="0" fontId="8" fillId="0" borderId="38" xfId="0" applyFont="1" applyBorder="1" applyAlignment="1" applyProtection="1">
      <alignment horizontal="center" vertical="center"/>
      <protection locked="0"/>
    </xf>
    <xf numFmtId="2" fontId="2" fillId="0" borderId="57" xfId="0" applyNumberFormat="1" applyFont="1" applyFill="1" applyBorder="1" applyAlignment="1" applyProtection="1">
      <alignment vertical="center"/>
      <protection locked="0"/>
    </xf>
    <xf numFmtId="2" fontId="2" fillId="0" borderId="89" xfId="0" applyNumberFormat="1" applyFont="1" applyFill="1" applyBorder="1" applyAlignment="1" applyProtection="1">
      <alignment vertical="center"/>
      <protection locked="0"/>
    </xf>
    <xf numFmtId="0" fontId="1" fillId="23" borderId="0" xfId="0" applyFont="1" applyFill="1" applyAlignment="1" applyProtection="1">
      <alignment vertical="center"/>
    </xf>
    <xf numFmtId="0" fontId="8" fillId="23" borderId="117" xfId="0" applyFont="1" applyFill="1" applyBorder="1" applyAlignment="1" applyProtection="1">
      <alignment vertical="center"/>
    </xf>
    <xf numFmtId="0" fontId="2" fillId="23" borderId="117" xfId="0" applyFont="1" applyFill="1" applyBorder="1" applyAlignment="1" applyProtection="1">
      <alignment vertical="center"/>
    </xf>
    <xf numFmtId="0" fontId="2" fillId="23" borderId="2" xfId="0" applyFont="1" applyFill="1" applyBorder="1" applyAlignment="1" applyProtection="1">
      <alignment horizontal="left" vertical="center"/>
    </xf>
    <xf numFmtId="0" fontId="2" fillId="23" borderId="54" xfId="0" applyFont="1" applyFill="1" applyBorder="1" applyAlignment="1" applyProtection="1">
      <alignment vertical="center"/>
    </xf>
    <xf numFmtId="0" fontId="8" fillId="23" borderId="2" xfId="0" applyFont="1" applyFill="1" applyBorder="1" applyAlignment="1" applyProtection="1">
      <alignment vertical="center"/>
    </xf>
    <xf numFmtId="0" fontId="2" fillId="23" borderId="2" xfId="0" applyFont="1" applyFill="1" applyBorder="1" applyAlignment="1" applyProtection="1">
      <alignment vertical="center"/>
    </xf>
    <xf numFmtId="0" fontId="2" fillId="23" borderId="59" xfId="0" applyFont="1" applyFill="1" applyBorder="1" applyAlignment="1" applyProtection="1">
      <alignment vertical="center"/>
    </xf>
    <xf numFmtId="0" fontId="2" fillId="23" borderId="59" xfId="0" applyFont="1" applyFill="1" applyBorder="1" applyAlignment="1" applyProtection="1">
      <alignment horizontal="left" vertical="center"/>
    </xf>
    <xf numFmtId="0" fontId="2" fillId="23" borderId="89" xfId="0" applyFont="1" applyFill="1" applyBorder="1" applyAlignment="1" applyProtection="1">
      <alignment vertical="center"/>
    </xf>
    <xf numFmtId="0" fontId="103" fillId="23" borderId="59" xfId="0" applyFont="1" applyFill="1" applyBorder="1" applyAlignment="1" applyProtection="1">
      <alignment horizontal="left" vertical="center"/>
    </xf>
    <xf numFmtId="0" fontId="103" fillId="23" borderId="59" xfId="0" applyFont="1" applyFill="1" applyBorder="1" applyAlignment="1" applyProtection="1">
      <alignment vertical="center"/>
    </xf>
    <xf numFmtId="0" fontId="103" fillId="23" borderId="89" xfId="0" applyFont="1" applyFill="1" applyBorder="1" applyAlignment="1" applyProtection="1">
      <alignment vertical="center"/>
    </xf>
    <xf numFmtId="0" fontId="103" fillId="23" borderId="2" xfId="0" applyFont="1" applyFill="1" applyBorder="1" applyAlignment="1" applyProtection="1">
      <alignment horizontal="left" vertical="center"/>
    </xf>
    <xf numFmtId="0" fontId="103" fillId="23" borderId="2" xfId="0" applyFont="1" applyFill="1" applyBorder="1" applyAlignment="1" applyProtection="1">
      <alignment vertical="center"/>
    </xf>
    <xf numFmtId="0" fontId="103" fillId="23" borderId="126" xfId="0" applyFont="1" applyFill="1" applyBorder="1" applyAlignment="1" applyProtection="1">
      <alignment vertical="center"/>
    </xf>
    <xf numFmtId="0" fontId="2" fillId="23" borderId="0" xfId="0" applyFont="1" applyFill="1" applyBorder="1" applyAlignment="1" applyProtection="1">
      <alignment horizontal="left" vertical="center"/>
    </xf>
    <xf numFmtId="0" fontId="2" fillId="23" borderId="0" xfId="0" applyFont="1" applyFill="1" applyBorder="1" applyAlignment="1" applyProtection="1">
      <alignment vertical="center"/>
    </xf>
    <xf numFmtId="0" fontId="1" fillId="23" borderId="0" xfId="0" applyFont="1" applyFill="1" applyBorder="1" applyAlignment="1" applyProtection="1">
      <alignment horizontal="left" vertical="center"/>
    </xf>
    <xf numFmtId="0" fontId="106" fillId="26" borderId="0" xfId="0" applyFont="1" applyFill="1" applyBorder="1" applyAlignment="1" applyProtection="1">
      <alignment horizontal="left" vertical="center"/>
    </xf>
    <xf numFmtId="0" fontId="2" fillId="19" borderId="0" xfId="0" applyFont="1" applyFill="1" applyAlignment="1" applyProtection="1">
      <alignment vertical="center"/>
    </xf>
    <xf numFmtId="49" fontId="8" fillId="23" borderId="54" xfId="0" applyNumberFormat="1" applyFont="1" applyFill="1" applyBorder="1" applyAlignment="1" applyProtection="1">
      <alignment vertical="center"/>
    </xf>
    <xf numFmtId="49" fontId="8" fillId="23" borderId="0" xfId="0" applyNumberFormat="1" applyFont="1" applyFill="1" applyAlignment="1" applyProtection="1">
      <alignment horizontal="left" vertical="center"/>
    </xf>
    <xf numFmtId="0" fontId="107" fillId="24" borderId="143" xfId="0" applyFont="1" applyFill="1" applyBorder="1" applyAlignment="1" applyProtection="1">
      <alignment vertical="center"/>
    </xf>
    <xf numFmtId="0" fontId="107" fillId="24" borderId="145" xfId="0" applyFont="1" applyFill="1" applyBorder="1" applyAlignment="1" applyProtection="1">
      <alignment vertical="center"/>
    </xf>
    <xf numFmtId="0" fontId="107" fillId="24" borderId="145" xfId="0" applyFont="1" applyFill="1" applyBorder="1" applyAlignment="1" applyProtection="1">
      <alignment vertical="center" wrapText="1"/>
    </xf>
    <xf numFmtId="0" fontId="2" fillId="24" borderId="145" xfId="0" applyFont="1" applyFill="1" applyBorder="1" applyAlignment="1" applyProtection="1">
      <alignment vertical="center"/>
    </xf>
    <xf numFmtId="0" fontId="106" fillId="24" borderId="145" xfId="0" applyFont="1" applyFill="1" applyBorder="1" applyAlignment="1" applyProtection="1">
      <alignment vertical="center"/>
    </xf>
    <xf numFmtId="0" fontId="106" fillId="24" borderId="145" xfId="0" applyFont="1" applyFill="1" applyBorder="1" applyAlignment="1" applyProtection="1">
      <alignment horizontal="right" vertical="center"/>
    </xf>
    <xf numFmtId="0" fontId="2" fillId="34" borderId="0" xfId="0" applyFont="1" applyFill="1" applyBorder="1" applyAlignment="1" applyProtection="1">
      <alignment vertical="center"/>
    </xf>
    <xf numFmtId="0" fontId="2" fillId="34" borderId="0" xfId="0" applyFont="1" applyFill="1" applyAlignment="1" applyProtection="1">
      <alignment vertical="center"/>
    </xf>
    <xf numFmtId="0" fontId="2" fillId="34" borderId="117" xfId="0" applyFont="1" applyFill="1" applyBorder="1" applyAlignment="1" applyProtection="1">
      <alignment vertical="center"/>
    </xf>
    <xf numFmtId="0" fontId="102" fillId="34" borderId="135" xfId="0" applyFont="1" applyFill="1" applyBorder="1" applyAlignment="1" applyProtection="1">
      <alignment vertical="center"/>
    </xf>
    <xf numFmtId="2" fontId="102" fillId="34" borderId="124" xfId="0" applyNumberFormat="1" applyFont="1" applyFill="1" applyBorder="1" applyAlignment="1" applyProtection="1">
      <alignment vertical="center"/>
    </xf>
    <xf numFmtId="2" fontId="102" fillId="34" borderId="125" xfId="0" applyNumberFormat="1" applyFont="1" applyFill="1" applyBorder="1" applyAlignment="1" applyProtection="1">
      <alignment vertical="center"/>
    </xf>
    <xf numFmtId="0" fontId="102" fillId="34" borderId="124" xfId="0" applyFont="1" applyFill="1" applyBorder="1" applyAlignment="1" applyProtection="1">
      <alignment vertical="center"/>
    </xf>
    <xf numFmtId="0" fontId="2" fillId="34" borderId="0" xfId="0" applyFont="1" applyFill="1" applyAlignment="1" applyProtection="1">
      <alignment horizontal="left" vertical="center"/>
    </xf>
    <xf numFmtId="0" fontId="8" fillId="34" borderId="0" xfId="0" applyFont="1" applyFill="1" applyBorder="1" applyAlignment="1" applyProtection="1">
      <alignment vertical="center"/>
    </xf>
    <xf numFmtId="0" fontId="2" fillId="34" borderId="2" xfId="0" applyFont="1" applyFill="1" applyBorder="1" applyAlignment="1" applyProtection="1">
      <alignment vertical="center"/>
    </xf>
    <xf numFmtId="0" fontId="102" fillId="34" borderId="136" xfId="0" applyFont="1" applyFill="1" applyBorder="1" applyAlignment="1" applyProtection="1">
      <alignment vertical="center"/>
    </xf>
    <xf numFmtId="0" fontId="8" fillId="33" borderId="0" xfId="0" applyFont="1" applyFill="1" applyAlignment="1" applyProtection="1">
      <alignment vertical="center"/>
    </xf>
    <xf numFmtId="0" fontId="2" fillId="33" borderId="0" xfId="0" applyFont="1" applyFill="1" applyAlignment="1" applyProtection="1">
      <alignment vertical="center"/>
    </xf>
    <xf numFmtId="0" fontId="8" fillId="34" borderId="0" xfId="0" applyFont="1" applyFill="1" applyAlignment="1" applyProtection="1">
      <alignment vertical="center"/>
    </xf>
    <xf numFmtId="0" fontId="105" fillId="34" borderId="0" xfId="0" applyFont="1" applyFill="1" applyAlignment="1" applyProtection="1">
      <alignment vertical="center"/>
    </xf>
    <xf numFmtId="2" fontId="2" fillId="34" borderId="0" xfId="0" applyNumberFormat="1" applyFont="1" applyFill="1" applyAlignment="1" applyProtection="1">
      <alignment vertical="center"/>
    </xf>
    <xf numFmtId="2" fontId="8" fillId="34" borderId="59" xfId="0" applyNumberFormat="1" applyFont="1" applyFill="1" applyBorder="1" applyAlignment="1" applyProtection="1">
      <alignment vertical="center"/>
    </xf>
    <xf numFmtId="9" fontId="8" fillId="32" borderId="0" xfId="1" applyFont="1" applyFill="1" applyAlignment="1" applyProtection="1">
      <alignment horizontal="right" vertical="center"/>
    </xf>
    <xf numFmtId="0" fontId="8" fillId="34" borderId="142" xfId="0" applyFont="1" applyFill="1" applyBorder="1" applyAlignment="1" applyProtection="1">
      <alignment horizontal="center" vertical="center"/>
    </xf>
    <xf numFmtId="0" fontId="2" fillId="32" borderId="0" xfId="0" applyFont="1" applyFill="1" applyAlignment="1" applyProtection="1">
      <alignment horizontal="left" vertical="center"/>
    </xf>
    <xf numFmtId="0" fontId="2" fillId="32" borderId="0" xfId="0" applyFont="1" applyFill="1" applyAlignment="1" applyProtection="1">
      <alignment vertical="center"/>
    </xf>
    <xf numFmtId="1" fontId="2" fillId="0" borderId="57" xfId="0" applyNumberFormat="1" applyFont="1" applyBorder="1" applyAlignment="1" applyProtection="1">
      <alignment horizontal="center" vertical="center"/>
      <protection locked="0"/>
    </xf>
    <xf numFmtId="190" fontId="110" fillId="30" borderId="130" xfId="1" applyNumberFormat="1" applyFont="1" applyFill="1" applyBorder="1" applyAlignment="1" applyProtection="1">
      <alignment horizontal="center" vertical="center"/>
    </xf>
    <xf numFmtId="190" fontId="110" fillId="30" borderId="0" xfId="1" applyNumberFormat="1" applyFont="1" applyFill="1" applyBorder="1" applyAlignment="1" applyProtection="1">
      <alignment horizontal="center" vertical="center"/>
    </xf>
    <xf numFmtId="2" fontId="8" fillId="0" borderId="0" xfId="0" applyNumberFormat="1" applyFont="1" applyBorder="1" applyAlignment="1" applyProtection="1">
      <alignment vertical="center"/>
    </xf>
    <xf numFmtId="2" fontId="2" fillId="0" borderId="0" xfId="0" applyNumberFormat="1" applyFont="1" applyFill="1" applyAlignment="1" applyProtection="1">
      <alignment vertical="center"/>
    </xf>
    <xf numFmtId="0" fontId="8" fillId="0" borderId="75" xfId="0" applyFont="1" applyBorder="1" applyAlignment="1" applyProtection="1">
      <alignment vertical="center"/>
    </xf>
    <xf numFmtId="0" fontId="8" fillId="0" borderId="128" xfId="0" applyFont="1" applyBorder="1" applyAlignment="1" applyProtection="1">
      <alignment vertical="center"/>
    </xf>
    <xf numFmtId="0" fontId="8" fillId="0" borderId="149" xfId="0" applyFont="1" applyBorder="1" applyAlignment="1" applyProtection="1">
      <alignment vertical="center"/>
    </xf>
    <xf numFmtId="0" fontId="8" fillId="0" borderId="150" xfId="0" applyFont="1" applyBorder="1" applyAlignment="1" applyProtection="1">
      <alignment vertical="center"/>
    </xf>
    <xf numFmtId="0" fontId="8" fillId="0" borderId="151" xfId="0" applyFont="1" applyBorder="1" applyAlignment="1" applyProtection="1">
      <alignment vertical="center"/>
    </xf>
    <xf numFmtId="0" fontId="8" fillId="0" borderId="0" xfId="0" applyFont="1" applyAlignment="1" applyProtection="1">
      <alignment horizontal="right" vertical="center"/>
    </xf>
    <xf numFmtId="9" fontId="2" fillId="25" borderId="152" xfId="1" applyFont="1" applyFill="1" applyBorder="1" applyAlignment="1" applyProtection="1">
      <alignment vertical="center"/>
    </xf>
    <xf numFmtId="9" fontId="2" fillId="25" borderId="76" xfId="1" applyFont="1" applyFill="1" applyBorder="1" applyAlignment="1" applyProtection="1">
      <alignment vertical="center"/>
    </xf>
    <xf numFmtId="9" fontId="2" fillId="25" borderId="130" xfId="1" applyFont="1" applyFill="1" applyBorder="1" applyAlignment="1" applyProtection="1">
      <alignment vertical="center"/>
    </xf>
    <xf numFmtId="9" fontId="2" fillId="28" borderId="0" xfId="1" applyFont="1" applyFill="1" applyAlignment="1" applyProtection="1">
      <alignment vertical="center"/>
    </xf>
    <xf numFmtId="9" fontId="2" fillId="28" borderId="152" xfId="1" applyFont="1" applyFill="1" applyBorder="1" applyAlignment="1" applyProtection="1">
      <alignment vertical="center"/>
    </xf>
    <xf numFmtId="9" fontId="2" fillId="28" borderId="76" xfId="1" applyFont="1" applyFill="1" applyBorder="1" applyAlignment="1" applyProtection="1">
      <alignment vertical="center"/>
    </xf>
    <xf numFmtId="9" fontId="2" fillId="28" borderId="130" xfId="1" applyFont="1" applyFill="1" applyBorder="1" applyAlignment="1" applyProtection="1">
      <alignment vertical="center"/>
    </xf>
    <xf numFmtId="10" fontId="2" fillId="25" borderId="0" xfId="1" applyNumberFormat="1" applyFont="1" applyFill="1" applyAlignment="1" applyProtection="1">
      <alignment vertical="center"/>
    </xf>
    <xf numFmtId="9" fontId="2" fillId="25" borderId="0" xfId="0" applyNumberFormat="1" applyFont="1" applyFill="1" applyAlignment="1" applyProtection="1">
      <alignment vertical="center"/>
    </xf>
    <xf numFmtId="173" fontId="2" fillId="25" borderId="0" xfId="0" applyNumberFormat="1" applyFont="1" applyFill="1" applyAlignment="1" applyProtection="1">
      <alignment vertical="center"/>
    </xf>
    <xf numFmtId="193" fontId="2" fillId="25" borderId="0" xfId="1" applyNumberFormat="1" applyFont="1" applyFill="1" applyAlignment="1" applyProtection="1">
      <alignment vertical="center"/>
    </xf>
    <xf numFmtId="10" fontId="2" fillId="25" borderId="130" xfId="1" applyNumberFormat="1" applyFont="1" applyFill="1" applyBorder="1" applyAlignment="1" applyProtection="1">
      <alignment vertical="center"/>
    </xf>
    <xf numFmtId="0" fontId="2" fillId="28" borderId="153" xfId="0" applyFont="1" applyFill="1" applyBorder="1" applyAlignment="1" applyProtection="1">
      <alignment vertical="center"/>
    </xf>
    <xf numFmtId="9" fontId="8" fillId="25" borderId="59" xfId="0" applyNumberFormat="1" applyFont="1" applyFill="1" applyBorder="1" applyAlignment="1" applyProtection="1">
      <alignment vertical="center"/>
    </xf>
    <xf numFmtId="9" fontId="2" fillId="25" borderId="153" xfId="0" applyNumberFormat="1" applyFont="1" applyFill="1" applyBorder="1" applyAlignment="1" applyProtection="1">
      <alignment vertical="center"/>
    </xf>
    <xf numFmtId="9" fontId="2" fillId="25" borderId="130" xfId="0" applyNumberFormat="1" applyFont="1" applyFill="1" applyBorder="1" applyAlignment="1" applyProtection="1">
      <alignment vertical="center"/>
    </xf>
    <xf numFmtId="9" fontId="2" fillId="0" borderId="59" xfId="0" applyNumberFormat="1" applyFont="1" applyBorder="1" applyAlignment="1" applyProtection="1">
      <alignment vertical="center"/>
    </xf>
    <xf numFmtId="193" fontId="2" fillId="25" borderId="134" xfId="1" applyNumberFormat="1" applyFont="1" applyFill="1" applyBorder="1" applyAlignment="1" applyProtection="1">
      <alignment vertical="center"/>
    </xf>
    <xf numFmtId="193" fontId="105" fillId="0" borderId="0" xfId="0" applyNumberFormat="1" applyFont="1" applyAlignment="1" applyProtection="1">
      <alignment vertical="center"/>
    </xf>
    <xf numFmtId="193" fontId="2" fillId="0" borderId="0" xfId="0" applyNumberFormat="1" applyFont="1" applyAlignment="1" applyProtection="1">
      <alignment vertical="center"/>
    </xf>
    <xf numFmtId="193" fontId="8" fillId="0" borderId="0" xfId="0" applyNumberFormat="1" applyFont="1" applyAlignment="1" applyProtection="1">
      <alignment vertical="center"/>
    </xf>
    <xf numFmtId="193" fontId="8" fillId="28" borderId="134" xfId="1" applyNumberFormat="1" applyFont="1" applyFill="1" applyBorder="1" applyAlignment="1" applyProtection="1">
      <alignment vertical="center"/>
    </xf>
    <xf numFmtId="10" fontId="2" fillId="23" borderId="0" xfId="0" applyNumberFormat="1" applyFont="1" applyFill="1" applyAlignment="1" applyProtection="1">
      <alignment vertical="center"/>
    </xf>
    <xf numFmtId="10" fontId="2" fillId="23" borderId="152" xfId="1" applyNumberFormat="1" applyFont="1" applyFill="1" applyBorder="1" applyAlignment="1" applyProtection="1">
      <alignment vertical="center"/>
    </xf>
    <xf numFmtId="9" fontId="2" fillId="23" borderId="0" xfId="0" applyNumberFormat="1" applyFont="1" applyFill="1" applyAlignment="1" applyProtection="1">
      <alignment vertical="center"/>
    </xf>
    <xf numFmtId="9" fontId="2" fillId="23" borderId="130" xfId="0" applyNumberFormat="1" applyFont="1" applyFill="1" applyBorder="1" applyAlignment="1" applyProtection="1">
      <alignment vertical="center"/>
    </xf>
    <xf numFmtId="10" fontId="2" fillId="23" borderId="0" xfId="1" applyNumberFormat="1" applyFont="1" applyFill="1" applyAlignment="1" applyProtection="1">
      <alignment vertical="center"/>
    </xf>
    <xf numFmtId="10" fontId="2" fillId="23" borderId="130" xfId="1" applyNumberFormat="1" applyFont="1" applyFill="1" applyBorder="1" applyAlignment="1" applyProtection="1">
      <alignment vertical="center"/>
    </xf>
    <xf numFmtId="194" fontId="8" fillId="23" borderId="0" xfId="1" applyNumberFormat="1" applyFont="1" applyFill="1" applyAlignment="1" applyProtection="1">
      <alignment vertical="center"/>
    </xf>
    <xf numFmtId="194" fontId="8" fillId="23" borderId="130" xfId="1" applyNumberFormat="1" applyFont="1" applyFill="1" applyBorder="1" applyAlignment="1" applyProtection="1">
      <alignment vertical="center"/>
    </xf>
    <xf numFmtId="194" fontId="2" fillId="0" borderId="0" xfId="0" applyNumberFormat="1" applyFont="1" applyAlignment="1" applyProtection="1">
      <alignment vertical="center"/>
    </xf>
    <xf numFmtId="0" fontId="101" fillId="25" borderId="0" xfId="0" applyFont="1" applyFill="1" applyAlignment="1" applyProtection="1">
      <alignment vertical="center"/>
    </xf>
    <xf numFmtId="0" fontId="2" fillId="35" borderId="0" xfId="0" applyFont="1" applyFill="1" applyAlignment="1" applyProtection="1">
      <alignment vertical="center"/>
    </xf>
    <xf numFmtId="0" fontId="2" fillId="25" borderId="0" xfId="0" applyFont="1" applyFill="1" applyAlignment="1" applyProtection="1">
      <alignment horizontal="right" vertical="center"/>
    </xf>
    <xf numFmtId="10" fontId="8" fillId="32" borderId="0" xfId="1" applyNumberFormat="1" applyFont="1" applyFill="1" applyAlignment="1" applyProtection="1">
      <alignment vertical="center"/>
    </xf>
    <xf numFmtId="0" fontId="8" fillId="0" borderId="142" xfId="0" applyFont="1" applyFill="1" applyBorder="1" applyAlignment="1" applyProtection="1">
      <alignment horizontal="center" vertical="center"/>
      <protection locked="0"/>
    </xf>
    <xf numFmtId="49" fontId="2" fillId="23" borderId="89" xfId="0" applyNumberFormat="1" applyFont="1" applyFill="1" applyBorder="1" applyAlignment="1" applyProtection="1">
      <alignment vertical="center"/>
    </xf>
    <xf numFmtId="49" fontId="2" fillId="23" borderId="59" xfId="0" applyNumberFormat="1" applyFont="1" applyFill="1" applyBorder="1" applyAlignment="1" applyProtection="1">
      <alignment vertical="center"/>
    </xf>
    <xf numFmtId="49" fontId="103" fillId="23" borderId="89" xfId="0" applyNumberFormat="1" applyFont="1" applyFill="1" applyBorder="1" applyAlignment="1" applyProtection="1">
      <alignment vertical="center"/>
    </xf>
    <xf numFmtId="49" fontId="103" fillId="23" borderId="59" xfId="0" applyNumberFormat="1" applyFont="1" applyFill="1" applyBorder="1" applyAlignment="1" applyProtection="1">
      <alignment vertical="center"/>
    </xf>
    <xf numFmtId="49" fontId="103" fillId="23" borderId="126" xfId="0" applyNumberFormat="1" applyFont="1" applyFill="1" applyBorder="1" applyAlignment="1" applyProtection="1">
      <alignment vertical="center"/>
    </xf>
    <xf numFmtId="49" fontId="103" fillId="23" borderId="2" xfId="0" applyNumberFormat="1" applyFont="1" applyFill="1" applyBorder="1" applyAlignment="1" applyProtection="1">
      <alignment vertical="center"/>
    </xf>
    <xf numFmtId="0" fontId="27" fillId="13" borderId="116" xfId="0" applyNumberFormat="1" applyFont="1" applyFill="1" applyBorder="1" applyAlignment="1" applyProtection="1">
      <alignment horizontal="left" vertical="top"/>
      <protection locked="0"/>
    </xf>
    <xf numFmtId="0" fontId="0" fillId="13" borderId="100" xfId="0" applyNumberFormat="1" applyFill="1" applyBorder="1" applyAlignment="1" applyProtection="1">
      <protection locked="0"/>
    </xf>
    <xf numFmtId="0" fontId="8" fillId="10" borderId="87" xfId="0" applyFont="1" applyFill="1" applyBorder="1" applyAlignment="1">
      <alignment horizontal="center" vertical="center"/>
    </xf>
    <xf numFmtId="0" fontId="0" fillId="0" borderId="54" xfId="0" applyBorder="1" applyAlignment="1">
      <alignment horizontal="center" vertical="center"/>
    </xf>
    <xf numFmtId="0" fontId="0" fillId="0" borderId="88" xfId="0" applyBorder="1" applyAlignment="1">
      <alignment horizontal="center" vertical="center"/>
    </xf>
    <xf numFmtId="0" fontId="8" fillId="10" borderId="89" xfId="0" applyFont="1" applyFill="1" applyBorder="1" applyAlignment="1">
      <alignment horizontal="center" vertical="center"/>
    </xf>
    <xf numFmtId="0" fontId="1" fillId="0" borderId="66" xfId="0" applyFont="1" applyBorder="1" applyAlignment="1">
      <alignment horizontal="center" vertical="center"/>
    </xf>
    <xf numFmtId="0" fontId="0" fillId="0" borderId="90" xfId="0" applyBorder="1" applyAlignment="1">
      <alignment horizontal="center" vertical="center"/>
    </xf>
    <xf numFmtId="0" fontId="27" fillId="13" borderId="115" xfId="0" applyNumberFormat="1" applyFont="1" applyFill="1" applyBorder="1" applyAlignment="1" applyProtection="1">
      <alignment horizontal="left" vertical="top"/>
      <protection locked="0"/>
    </xf>
    <xf numFmtId="0" fontId="27" fillId="13" borderId="92" xfId="0" applyNumberFormat="1" applyFont="1" applyFill="1" applyBorder="1" applyAlignment="1" applyProtection="1">
      <alignment horizontal="left" vertical="top"/>
      <protection locked="0"/>
    </xf>
    <xf numFmtId="0" fontId="27" fillId="13" borderId="100" xfId="0" applyNumberFormat="1" applyFont="1" applyFill="1" applyBorder="1" applyAlignment="1" applyProtection="1">
      <alignment horizontal="left" vertical="top"/>
      <protection locked="0"/>
    </xf>
    <xf numFmtId="0" fontId="50" fillId="0" borderId="0" xfId="0" applyFont="1" applyFill="1" applyBorder="1" applyAlignment="1">
      <alignment horizontal="center" vertical="center"/>
    </xf>
    <xf numFmtId="0" fontId="51" fillId="0" borderId="0" xfId="0" applyFont="1" applyFill="1" applyBorder="1"/>
    <xf numFmtId="0" fontId="27" fillId="13" borderId="118" xfId="0" applyNumberFormat="1" applyFont="1" applyFill="1" applyBorder="1" applyAlignment="1" applyProtection="1">
      <alignment horizontal="left" vertical="top"/>
      <protection locked="0"/>
    </xf>
    <xf numFmtId="0" fontId="0" fillId="13" borderId="108" xfId="0" applyNumberFormat="1" applyFill="1" applyBorder="1" applyAlignment="1" applyProtection="1">
      <protection locked="0"/>
    </xf>
    <xf numFmtId="0" fontId="2" fillId="0" borderId="0" xfId="0" applyFont="1" applyBorder="1" applyAlignment="1">
      <alignment horizontal="left" vertical="top" wrapText="1"/>
    </xf>
    <xf numFmtId="0" fontId="0" fillId="0" borderId="0" xfId="0" applyAlignment="1">
      <alignment wrapText="1"/>
    </xf>
    <xf numFmtId="0" fontId="96" fillId="22" borderId="84" xfId="0" applyFont="1" applyFill="1" applyBorder="1" applyAlignment="1" applyProtection="1">
      <alignment horizontal="left" vertical="center"/>
      <protection locked="0"/>
    </xf>
    <xf numFmtId="0" fontId="97" fillId="22" borderId="85" xfId="0" applyFont="1" applyFill="1" applyBorder="1" applyAlignment="1" applyProtection="1">
      <alignment horizontal="left" vertical="center"/>
      <protection locked="0"/>
    </xf>
    <xf numFmtId="0" fontId="97" fillId="22" borderId="86" xfId="0" applyFont="1" applyFill="1" applyBorder="1" applyAlignment="1" applyProtection="1">
      <alignment horizontal="left" vertical="center"/>
      <protection locked="0"/>
    </xf>
    <xf numFmtId="0" fontId="98" fillId="22" borderId="84" xfId="0" applyFont="1" applyFill="1" applyBorder="1" applyAlignment="1" applyProtection="1">
      <alignment vertical="center"/>
      <protection locked="0"/>
    </xf>
    <xf numFmtId="0" fontId="97" fillId="22" borderId="85" xfId="0" applyFont="1" applyFill="1" applyBorder="1" applyAlignment="1" applyProtection="1">
      <alignment vertical="center"/>
      <protection locked="0"/>
    </xf>
    <xf numFmtId="0" fontId="97" fillId="22" borderId="86" xfId="0" applyFont="1" applyFill="1" applyBorder="1" applyAlignment="1" applyProtection="1">
      <alignment vertical="center"/>
      <protection locked="0"/>
    </xf>
    <xf numFmtId="0" fontId="8" fillId="10" borderId="59" xfId="0" applyFont="1" applyFill="1" applyBorder="1" applyAlignment="1">
      <alignment horizontal="center" wrapText="1"/>
    </xf>
    <xf numFmtId="0" fontId="0" fillId="0" borderId="66" xfId="0" applyBorder="1" applyAlignment="1">
      <alignment horizontal="center"/>
    </xf>
    <xf numFmtId="0" fontId="96" fillId="22" borderId="84" xfId="0" applyFont="1" applyFill="1" applyBorder="1" applyAlignment="1" applyProtection="1">
      <alignment horizontal="center" vertical="center"/>
      <protection locked="0"/>
    </xf>
    <xf numFmtId="0" fontId="97" fillId="22" borderId="85" xfId="0" applyFont="1" applyFill="1" applyBorder="1" applyAlignment="1" applyProtection="1">
      <alignment horizontal="center" vertical="center"/>
      <protection locked="0"/>
    </xf>
    <xf numFmtId="0" fontId="97" fillId="22" borderId="86" xfId="0" applyFont="1" applyFill="1" applyBorder="1" applyAlignment="1" applyProtection="1">
      <alignment horizontal="center" vertical="center"/>
      <protection locked="0"/>
    </xf>
    <xf numFmtId="185" fontId="97" fillId="22" borderId="84" xfId="0" applyNumberFormat="1" applyFont="1" applyFill="1" applyBorder="1" applyAlignment="1" applyProtection="1">
      <alignment horizontal="center" vertical="center"/>
      <protection locked="0"/>
    </xf>
    <xf numFmtId="185" fontId="97" fillId="22" borderId="85" xfId="0" applyNumberFormat="1" applyFont="1" applyFill="1" applyBorder="1" applyAlignment="1" applyProtection="1">
      <alignment horizontal="center" vertical="center"/>
      <protection locked="0"/>
    </xf>
    <xf numFmtId="185" fontId="97" fillId="22" borderId="86" xfId="0" applyNumberFormat="1" applyFont="1" applyFill="1" applyBorder="1" applyAlignment="1" applyProtection="1">
      <alignment horizontal="center" vertical="center"/>
      <protection locked="0"/>
    </xf>
    <xf numFmtId="0" fontId="27" fillId="13" borderId="116" xfId="0" applyNumberFormat="1" applyFont="1" applyFill="1" applyBorder="1" applyAlignment="1" applyProtection="1">
      <alignment horizontal="left" vertical="top" wrapText="1"/>
      <protection locked="0"/>
    </xf>
    <xf numFmtId="0" fontId="55" fillId="13" borderId="100" xfId="0" applyNumberFormat="1" applyFont="1" applyFill="1" applyBorder="1" applyAlignment="1" applyProtection="1">
      <alignment horizontal="left" vertical="top"/>
      <protection locked="0"/>
    </xf>
    <xf numFmtId="0" fontId="8" fillId="0" borderId="145" xfId="0" applyFont="1" applyFill="1" applyBorder="1" applyAlignment="1" applyProtection="1">
      <alignment horizontal="center" vertical="center"/>
      <protection locked="0"/>
    </xf>
    <xf numFmtId="0" fontId="8" fillId="0" borderId="144" xfId="0" applyFont="1" applyFill="1" applyBorder="1" applyAlignment="1" applyProtection="1">
      <alignment horizontal="center" vertical="center"/>
      <protection locked="0"/>
    </xf>
    <xf numFmtId="0" fontId="2" fillId="23" borderId="0" xfId="0" applyFont="1" applyFill="1" applyAlignment="1" applyProtection="1">
      <alignment horizontal="left" vertical="center"/>
    </xf>
    <xf numFmtId="0" fontId="2" fillId="23" borderId="0" xfId="0" applyFont="1" applyFill="1" applyAlignment="1" applyProtection="1">
      <alignment horizontal="left" vertical="center" wrapText="1"/>
    </xf>
    <xf numFmtId="0" fontId="106" fillId="26" borderId="0" xfId="0" applyFont="1" applyFill="1" applyBorder="1" applyAlignment="1" applyProtection="1">
      <alignment horizontal="left" vertical="center"/>
    </xf>
    <xf numFmtId="0" fontId="102" fillId="34" borderId="140" xfId="0" applyFont="1" applyFill="1" applyBorder="1" applyAlignment="1" applyProtection="1">
      <alignment horizontal="left" vertical="center"/>
    </xf>
    <xf numFmtId="0" fontId="102" fillId="34" borderId="141" xfId="0" applyFont="1" applyFill="1" applyBorder="1" applyAlignment="1" applyProtection="1">
      <alignment horizontal="left" vertical="center"/>
    </xf>
    <xf numFmtId="0" fontId="2" fillId="34" borderId="0" xfId="0" applyFont="1" applyFill="1" applyBorder="1" applyAlignment="1" applyProtection="1">
      <alignment horizontal="left" vertical="center" wrapText="1"/>
    </xf>
    <xf numFmtId="0" fontId="2" fillId="34" borderId="89" xfId="0" applyFont="1" applyFill="1" applyBorder="1" applyAlignment="1" applyProtection="1">
      <alignment horizontal="center" vertical="center" wrapText="1"/>
    </xf>
    <xf numFmtId="0" fontId="2" fillId="34" borderId="66" xfId="0" applyFont="1" applyFill="1" applyBorder="1" applyAlignment="1" applyProtection="1">
      <alignment horizontal="center" vertical="center" wrapText="1"/>
    </xf>
    <xf numFmtId="0" fontId="2" fillId="34" borderId="37" xfId="0" applyFont="1" applyFill="1" applyBorder="1" applyAlignment="1" applyProtection="1">
      <alignment horizontal="left" vertical="center" wrapText="1"/>
    </xf>
    <xf numFmtId="0" fontId="2" fillId="34" borderId="127" xfId="0" applyFont="1" applyFill="1" applyBorder="1" applyAlignment="1" applyProtection="1">
      <alignment horizontal="left" vertical="center" wrapText="1"/>
    </xf>
    <xf numFmtId="0" fontId="2" fillId="34" borderId="129" xfId="0" applyFont="1" applyFill="1" applyBorder="1" applyAlignment="1" applyProtection="1">
      <alignment horizontal="left" vertical="center" wrapText="1"/>
    </xf>
    <xf numFmtId="0" fontId="8" fillId="33" borderId="0" xfId="0" applyFont="1" applyFill="1" applyBorder="1" applyAlignment="1" applyProtection="1">
      <alignment horizontal="right" vertical="center" wrapText="1"/>
    </xf>
    <xf numFmtId="0" fontId="8" fillId="33" borderId="134" xfId="0" applyFont="1" applyFill="1" applyBorder="1" applyAlignment="1" applyProtection="1">
      <alignment horizontal="right" vertical="center" wrapText="1"/>
    </xf>
    <xf numFmtId="0" fontId="2" fillId="0" borderId="37" xfId="0" applyFont="1" applyFill="1" applyBorder="1" applyAlignment="1" applyProtection="1">
      <alignment horizontal="center" textRotation="90" wrapText="1"/>
      <protection locked="0"/>
    </xf>
    <xf numFmtId="0" fontId="2" fillId="0" borderId="127" xfId="0" applyFont="1" applyFill="1" applyBorder="1" applyAlignment="1" applyProtection="1">
      <alignment horizontal="center" textRotation="90" wrapText="1"/>
      <protection locked="0"/>
    </xf>
    <xf numFmtId="0" fontId="2" fillId="0" borderId="38" xfId="0" applyFont="1" applyFill="1" applyBorder="1" applyAlignment="1" applyProtection="1">
      <alignment horizontal="center" textRotation="90" wrapText="1"/>
      <protection locked="0"/>
    </xf>
    <xf numFmtId="0" fontId="2" fillId="0" borderId="89" xfId="0" applyFont="1" applyFill="1" applyBorder="1" applyAlignment="1" applyProtection="1">
      <alignment horizontal="left" vertical="center"/>
      <protection locked="0"/>
    </xf>
    <xf numFmtId="0" fontId="2" fillId="0" borderId="66" xfId="0" applyFont="1" applyFill="1" applyBorder="1" applyAlignment="1" applyProtection="1">
      <alignment horizontal="left" vertical="center"/>
      <protection locked="0"/>
    </xf>
    <xf numFmtId="0" fontId="100" fillId="26" borderId="0" xfId="0" applyFont="1" applyFill="1" applyBorder="1" applyAlignment="1" applyProtection="1">
      <alignment horizontal="left" vertical="center"/>
    </xf>
    <xf numFmtId="0" fontId="8" fillId="29" borderId="132" xfId="0" applyFont="1" applyFill="1" applyBorder="1" applyAlignment="1" applyProtection="1">
      <alignment horizontal="left" vertical="center"/>
    </xf>
    <xf numFmtId="0" fontId="8" fillId="29" borderId="117" xfId="0" applyFont="1" applyFill="1" applyBorder="1" applyAlignment="1" applyProtection="1">
      <alignment horizontal="left" vertical="center"/>
    </xf>
    <xf numFmtId="0" fontId="2" fillId="29" borderId="131" xfId="0" applyFont="1" applyFill="1" applyBorder="1" applyAlignment="1" applyProtection="1">
      <alignment horizontal="left" vertical="center"/>
    </xf>
    <xf numFmtId="0" fontId="2" fillId="29" borderId="3" xfId="0" applyFont="1" applyFill="1" applyBorder="1" applyAlignment="1" applyProtection="1">
      <alignment horizontal="left" vertical="center"/>
    </xf>
    <xf numFmtId="0" fontId="100" fillId="26" borderId="0" xfId="0" applyFont="1" applyFill="1" applyBorder="1" applyAlignment="1" applyProtection="1">
      <alignment horizontal="left" vertical="center" wrapText="1"/>
    </xf>
    <xf numFmtId="0" fontId="100" fillId="26" borderId="131" xfId="0" applyFont="1" applyFill="1" applyBorder="1" applyAlignment="1" applyProtection="1">
      <alignment horizontal="left" vertical="center" wrapText="1"/>
      <protection locked="0"/>
    </xf>
    <xf numFmtId="0" fontId="100" fillId="26" borderId="3" xfId="0" applyFont="1" applyFill="1" applyBorder="1" applyAlignment="1" applyProtection="1">
      <alignment horizontal="left" vertical="center" wrapText="1"/>
      <protection locked="0"/>
    </xf>
    <xf numFmtId="0" fontId="100" fillId="26" borderId="133" xfId="0" applyFont="1" applyFill="1" applyBorder="1" applyAlignment="1" applyProtection="1">
      <alignment horizontal="left" vertical="center" wrapText="1"/>
      <protection locked="0"/>
    </xf>
    <xf numFmtId="0" fontId="100" fillId="26" borderId="130" xfId="0" applyFont="1" applyFill="1" applyBorder="1" applyAlignment="1" applyProtection="1">
      <alignment horizontal="left" vertical="center" wrapText="1"/>
      <protection locked="0"/>
    </xf>
    <xf numFmtId="0" fontId="100" fillId="26" borderId="0" xfId="0" applyFont="1" applyFill="1" applyBorder="1" applyAlignment="1" applyProtection="1">
      <alignment horizontal="left" vertical="center" wrapText="1"/>
      <protection locked="0"/>
    </xf>
    <xf numFmtId="0" fontId="100" fillId="26" borderId="134" xfId="0" applyFont="1" applyFill="1" applyBorder="1" applyAlignment="1" applyProtection="1">
      <alignment horizontal="left" vertical="center" wrapText="1"/>
      <protection locked="0"/>
    </xf>
    <xf numFmtId="0" fontId="100" fillId="26" borderId="126" xfId="0" applyFont="1" applyFill="1" applyBorder="1" applyAlignment="1" applyProtection="1">
      <alignment horizontal="left" vertical="center" wrapText="1"/>
      <protection locked="0"/>
    </xf>
    <xf numFmtId="0" fontId="100" fillId="26" borderId="2" xfId="0" applyFont="1" applyFill="1" applyBorder="1" applyAlignment="1" applyProtection="1">
      <alignment horizontal="left" vertical="center" wrapText="1"/>
      <protection locked="0"/>
    </xf>
    <xf numFmtId="0" fontId="100" fillId="26" borderId="56" xfId="0" applyFont="1" applyFill="1" applyBorder="1" applyAlignment="1" applyProtection="1">
      <alignment horizontal="left" vertical="center" wrapText="1"/>
      <protection locked="0"/>
    </xf>
    <xf numFmtId="0" fontId="2" fillId="29" borderId="89" xfId="0" applyFont="1" applyFill="1" applyBorder="1" applyAlignment="1" applyProtection="1">
      <alignment horizontal="left" vertical="center"/>
    </xf>
    <xf numFmtId="0" fontId="2" fillId="29" borderId="59" xfId="0" applyFont="1" applyFill="1" applyBorder="1" applyAlignment="1" applyProtection="1">
      <alignment horizontal="left" vertical="center"/>
    </xf>
    <xf numFmtId="0" fontId="2" fillId="29" borderId="89" xfId="0" applyFont="1" applyFill="1" applyBorder="1" applyAlignment="1" applyProtection="1">
      <alignment vertical="center"/>
    </xf>
    <xf numFmtId="0" fontId="2" fillId="29" borderId="59" xfId="0" applyFont="1" applyFill="1" applyBorder="1" applyAlignment="1" applyProtection="1">
      <alignment vertical="center"/>
    </xf>
    <xf numFmtId="0" fontId="2" fillId="29" borderId="0" xfId="0" applyFont="1" applyFill="1" applyBorder="1" applyAlignment="1" applyProtection="1">
      <alignment horizontal="left" vertical="center" wrapText="1"/>
    </xf>
    <xf numFmtId="0" fontId="102" fillId="34" borderId="138" xfId="0" applyFont="1" applyFill="1" applyBorder="1" applyAlignment="1" applyProtection="1">
      <alignment horizontal="left" vertical="center"/>
    </xf>
    <xf numFmtId="0" fontId="102" fillId="34" borderId="139" xfId="0" applyFont="1" applyFill="1" applyBorder="1" applyAlignment="1" applyProtection="1">
      <alignment horizontal="left" vertical="center"/>
    </xf>
    <xf numFmtId="0" fontId="2" fillId="29" borderId="126" xfId="0" applyFont="1" applyFill="1" applyBorder="1" applyAlignment="1" applyProtection="1">
      <alignment horizontal="left" vertical="center"/>
    </xf>
    <xf numFmtId="0" fontId="2" fillId="29" borderId="2" xfId="0" applyFont="1" applyFill="1" applyBorder="1" applyAlignment="1" applyProtection="1">
      <alignment horizontal="left" vertical="center"/>
    </xf>
    <xf numFmtId="0" fontId="2" fillId="29" borderId="127" xfId="0" applyFont="1" applyFill="1" applyBorder="1" applyAlignment="1" applyProtection="1">
      <alignment horizontal="center" vertical="center" wrapText="1"/>
    </xf>
    <xf numFmtId="0" fontId="2" fillId="29" borderId="129" xfId="0" applyFont="1" applyFill="1" applyBorder="1" applyAlignment="1" applyProtection="1">
      <alignment horizontal="center" vertical="center" wrapText="1"/>
    </xf>
    <xf numFmtId="0" fontId="2" fillId="29" borderId="37" xfId="0" applyFont="1" applyFill="1" applyBorder="1" applyAlignment="1" applyProtection="1">
      <alignment horizontal="left" vertical="center" wrapText="1"/>
    </xf>
    <xf numFmtId="0" fontId="2" fillId="29" borderId="127" xfId="0" applyFont="1" applyFill="1" applyBorder="1" applyAlignment="1" applyProtection="1">
      <alignment horizontal="left" vertical="center" wrapText="1"/>
    </xf>
    <xf numFmtId="0" fontId="2" fillId="29" borderId="129" xfId="0" applyFont="1" applyFill="1" applyBorder="1" applyAlignment="1" applyProtection="1">
      <alignment horizontal="left" vertical="center" wrapText="1"/>
    </xf>
    <xf numFmtId="0" fontId="8" fillId="29" borderId="143" xfId="0" applyFont="1" applyFill="1" applyBorder="1" applyAlignment="1" applyProtection="1">
      <alignment horizontal="center" vertical="center"/>
    </xf>
    <xf numFmtId="0" fontId="8" fillId="29" borderId="145" xfId="0" applyFont="1" applyFill="1" applyBorder="1" applyAlignment="1" applyProtection="1">
      <alignment horizontal="center" vertical="center"/>
    </xf>
    <xf numFmtId="0" fontId="8" fillId="29" borderId="144" xfId="0" applyFont="1" applyFill="1" applyBorder="1" applyAlignment="1" applyProtection="1">
      <alignment horizontal="center" vertical="center"/>
    </xf>
    <xf numFmtId="0" fontId="2" fillId="0" borderId="59" xfId="0" applyFont="1" applyBorder="1" applyAlignment="1" applyProtection="1">
      <alignment horizontal="left" vertical="center"/>
      <protection locked="0"/>
    </xf>
    <xf numFmtId="0" fontId="2" fillId="0" borderId="0" xfId="0" applyFont="1" applyAlignment="1" applyProtection="1">
      <alignment horizontal="center" vertical="center" wrapText="1"/>
    </xf>
    <xf numFmtId="0" fontId="2" fillId="0" borderId="3" xfId="0" applyFont="1" applyBorder="1" applyAlignment="1" applyProtection="1">
      <alignment horizontal="center" vertical="center" wrapText="1"/>
    </xf>
    <xf numFmtId="0" fontId="2" fillId="0" borderId="133"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134" xfId="0" applyFont="1" applyBorder="1" applyAlignment="1" applyProtection="1">
      <alignment horizontal="center" vertical="center" wrapText="1"/>
    </xf>
    <xf numFmtId="0" fontId="2" fillId="0" borderId="2" xfId="0" applyFont="1" applyBorder="1" applyAlignment="1" applyProtection="1">
      <alignment horizontal="center" vertical="center" wrapText="1"/>
    </xf>
    <xf numFmtId="0" fontId="2" fillId="0" borderId="56" xfId="0" applyFont="1" applyBorder="1" applyAlignment="1" applyProtection="1">
      <alignment horizontal="center" vertical="center" wrapText="1"/>
    </xf>
    <xf numFmtId="0" fontId="2" fillId="0" borderId="37" xfId="0" applyFont="1" applyBorder="1" applyAlignment="1" applyProtection="1">
      <alignment horizontal="center" vertical="center" wrapText="1"/>
    </xf>
    <xf numFmtId="0" fontId="2" fillId="0" borderId="127" xfId="0" applyFont="1" applyBorder="1" applyAlignment="1" applyProtection="1">
      <alignment horizontal="center" vertical="center" wrapText="1"/>
    </xf>
    <xf numFmtId="0" fontId="2" fillId="0" borderId="38" xfId="0" applyFont="1" applyBorder="1" applyAlignment="1" applyProtection="1">
      <alignment horizontal="center" vertical="center" wrapText="1"/>
    </xf>
    <xf numFmtId="0" fontId="2" fillId="0" borderId="130" xfId="0" applyFont="1" applyBorder="1" applyAlignment="1" applyProtection="1">
      <alignment horizontal="center" vertical="center" wrapText="1"/>
    </xf>
    <xf numFmtId="0" fontId="2" fillId="0" borderId="131" xfId="0" applyFont="1" applyBorder="1" applyAlignment="1" applyProtection="1">
      <alignment horizontal="center" vertical="center" wrapText="1"/>
    </xf>
    <xf numFmtId="0" fontId="2" fillId="0" borderId="126" xfId="0" applyFont="1" applyBorder="1" applyAlignment="1" applyProtection="1">
      <alignment horizontal="center" vertical="center" wrapText="1"/>
    </xf>
    <xf numFmtId="2" fontId="8" fillId="29" borderId="143" xfId="0" applyNumberFormat="1" applyFont="1" applyFill="1" applyBorder="1" applyAlignment="1" applyProtection="1">
      <alignment horizontal="center" vertical="center"/>
    </xf>
    <xf numFmtId="2" fontId="8" fillId="29" borderId="145" xfId="0" applyNumberFormat="1" applyFont="1" applyFill="1" applyBorder="1" applyAlignment="1" applyProtection="1">
      <alignment horizontal="center" vertical="center"/>
    </xf>
    <xf numFmtId="2" fontId="8" fillId="29" borderId="144" xfId="0" applyNumberFormat="1" applyFont="1" applyFill="1" applyBorder="1" applyAlignment="1" applyProtection="1">
      <alignment horizontal="center" vertical="center"/>
    </xf>
    <xf numFmtId="0" fontId="8" fillId="29" borderId="146" xfId="0" applyFont="1" applyFill="1" applyBorder="1" applyAlignment="1" applyProtection="1">
      <alignment horizontal="center" vertical="center"/>
    </xf>
    <xf numFmtId="0" fontId="8" fillId="29" borderId="4" xfId="0" applyFont="1" applyFill="1" applyBorder="1" applyAlignment="1" applyProtection="1">
      <alignment horizontal="center" vertical="center"/>
    </xf>
    <xf numFmtId="0" fontId="8" fillId="29" borderId="147" xfId="0" applyFont="1" applyFill="1" applyBorder="1" applyAlignment="1" applyProtection="1">
      <alignment horizontal="center" vertical="center"/>
    </xf>
  </cellXfs>
  <cellStyles count="5">
    <cellStyle name="Normal" xfId="0" builtinId="0"/>
    <cellStyle name="Normal 2" xfId="3"/>
    <cellStyle name="Normal 3" xfId="2"/>
    <cellStyle name="Percent" xfId="1" builtinId="5"/>
    <cellStyle name="Percent 2" xfId="4"/>
  </cellStyles>
  <dxfs count="227">
    <dxf>
      <fill>
        <patternFill>
          <bgColor theme="9" tint="0.39994506668294322"/>
        </patternFill>
      </fill>
    </dxf>
    <dxf>
      <fill>
        <patternFill>
          <bgColor theme="9" tint="0.39994506668294322"/>
        </patternFill>
      </fill>
    </dxf>
    <dxf>
      <font>
        <b/>
        <i val="0"/>
        <color theme="0"/>
      </font>
      <fill>
        <patternFill>
          <bgColor rgb="FFFF0000"/>
        </patternFill>
      </fill>
    </dxf>
    <dxf>
      <fill>
        <patternFill>
          <bgColor theme="5" tint="0.59996337778862885"/>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0000"/>
        </patternFill>
      </fill>
    </dxf>
    <dxf>
      <font>
        <b/>
        <i val="0"/>
        <color auto="1"/>
      </font>
      <fill>
        <patternFill>
          <bgColor rgb="FFFFFF00"/>
        </patternFill>
      </fill>
    </dxf>
    <dxf>
      <font>
        <b/>
        <i val="0"/>
        <color auto="1"/>
      </font>
      <fill>
        <patternFill>
          <bgColor rgb="FFFFFF00"/>
        </patternFill>
      </fill>
      <border>
        <left/>
        <right/>
        <top/>
        <bottom/>
      </border>
    </dxf>
    <dxf>
      <font>
        <b/>
        <i val="0"/>
        <color theme="0"/>
      </font>
      <fill>
        <patternFill>
          <bgColor rgb="FFFF0000"/>
        </patternFill>
      </fill>
    </dxf>
    <dxf>
      <font>
        <b/>
        <i val="0"/>
        <color theme="0"/>
      </font>
      <fill>
        <patternFill>
          <bgColor rgb="FFFF0000"/>
        </patternFill>
      </fill>
    </dxf>
    <dxf>
      <fill>
        <patternFill>
          <bgColor theme="0" tint="-0.1499679555650502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auto="1"/>
      </font>
      <fill>
        <patternFill>
          <bgColor theme="5" tint="0.39994506668294322"/>
        </patternFill>
      </fill>
    </dxf>
    <dxf>
      <font>
        <b/>
        <i val="0"/>
        <color theme="0"/>
      </font>
      <fill>
        <patternFill>
          <bgColor rgb="FFFF0000"/>
        </patternFill>
      </fill>
    </dxf>
    <dxf>
      <font>
        <b/>
        <i val="0"/>
        <color theme="0"/>
      </font>
      <fill>
        <patternFill>
          <bgColor rgb="FFFF0000"/>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ont>
        <b/>
        <i val="0"/>
        <color theme="0"/>
      </font>
      <fill>
        <patternFill>
          <bgColor rgb="FFFF0000"/>
        </patternFill>
      </fill>
    </dxf>
    <dxf>
      <fill>
        <patternFill>
          <bgColor theme="2" tint="-9.9948118533890809E-2"/>
        </patternFill>
      </fill>
    </dxf>
    <dxf>
      <font>
        <b/>
        <i val="0"/>
        <color theme="0"/>
      </font>
      <fill>
        <patternFill>
          <bgColor rgb="FFFF0000"/>
        </patternFill>
      </fill>
    </dxf>
    <dxf>
      <fill>
        <patternFill>
          <bgColor theme="2" tint="-9.9948118533890809E-2"/>
        </patternFill>
      </fill>
    </dxf>
    <dxf>
      <font>
        <b/>
        <i val="0"/>
        <color theme="0"/>
      </font>
      <fill>
        <patternFill>
          <bgColor rgb="FFFF0000"/>
        </patternFill>
      </fill>
    </dxf>
    <dxf>
      <fill>
        <patternFill>
          <bgColor theme="2" tint="-9.9948118533890809E-2"/>
        </patternFill>
      </fill>
    </dxf>
    <dxf>
      <fill>
        <patternFill>
          <bgColor theme="2" tint="-9.9948118533890809E-2"/>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theme="2" tint="-9.9948118533890809E-2"/>
        </patternFill>
      </fill>
    </dxf>
    <dxf>
      <font>
        <b/>
        <i val="0"/>
        <color theme="0"/>
      </font>
      <fill>
        <patternFill>
          <bgColor rgb="FFFF0000"/>
        </patternFill>
      </fill>
    </dxf>
    <dxf>
      <font>
        <b/>
        <i val="0"/>
        <color theme="0"/>
      </font>
      <fill>
        <patternFill>
          <bgColor rgb="FFFF0000"/>
        </patternFill>
      </fill>
    </dxf>
    <dxf>
      <font>
        <b/>
        <i/>
        <color rgb="FF008000"/>
      </font>
    </dxf>
    <dxf>
      <font>
        <b/>
        <i/>
        <color rgb="FFFF0000"/>
      </font>
    </dxf>
    <dxf>
      <font>
        <b/>
        <i/>
        <color rgb="FF008000"/>
      </font>
    </dxf>
    <dxf>
      <font>
        <b/>
        <i/>
        <color rgb="FFFF0000"/>
      </font>
    </dxf>
    <dxf>
      <font>
        <b/>
        <i/>
        <color rgb="FF008000"/>
      </font>
    </dxf>
    <dxf>
      <font>
        <b/>
        <i/>
        <color rgb="FFFF0000"/>
      </font>
    </dxf>
    <dxf>
      <font>
        <b/>
        <i/>
        <color rgb="FF008000"/>
      </font>
    </dxf>
    <dxf>
      <font>
        <b/>
        <i/>
        <color rgb="FFFF0000"/>
      </font>
    </dxf>
    <dxf>
      <font>
        <b/>
        <i/>
        <color rgb="FF008000"/>
      </font>
    </dxf>
    <dxf>
      <font>
        <b/>
        <i/>
        <color rgb="FFFF0000"/>
      </font>
    </dxf>
    <dxf>
      <font>
        <b/>
        <i/>
        <color rgb="FF008000"/>
      </font>
    </dxf>
    <dxf>
      <font>
        <b/>
        <i val="0"/>
        <color rgb="FFFF9900"/>
      </font>
    </dxf>
    <dxf>
      <font>
        <condense val="0"/>
        <extend val="0"/>
        <color indexed="9"/>
      </font>
      <fill>
        <patternFill patternType="solid">
          <bgColor theme="0"/>
        </patternFill>
      </fill>
      <border>
        <left/>
        <right/>
      </border>
    </dxf>
    <dxf>
      <fill>
        <patternFill>
          <bgColor rgb="FFFFFFCC"/>
        </patternFill>
      </fill>
    </dxf>
    <dxf>
      <font>
        <b/>
        <i/>
        <condense val="0"/>
        <extend val="0"/>
        <color indexed="9"/>
      </font>
      <fill>
        <patternFill>
          <bgColor rgb="FFFFCC99"/>
        </patternFill>
      </fill>
    </dxf>
    <dxf>
      <font>
        <b/>
        <i/>
        <condense val="0"/>
        <extend val="0"/>
        <color indexed="9"/>
      </font>
      <fill>
        <patternFill>
          <bgColor rgb="FFFF9900"/>
        </patternFill>
      </fill>
    </dxf>
    <dxf>
      <font>
        <condense val="0"/>
        <extend val="0"/>
      </font>
      <fill>
        <patternFill>
          <bgColor rgb="FFFFFFCC"/>
        </patternFill>
      </fill>
    </dxf>
    <dxf>
      <font>
        <b/>
        <i/>
        <condense val="0"/>
        <extend val="0"/>
        <color indexed="9"/>
      </font>
      <fill>
        <patternFill>
          <bgColor rgb="FFFFCC99"/>
        </patternFill>
      </fill>
    </dxf>
    <dxf>
      <font>
        <b/>
        <i/>
        <condense val="0"/>
        <extend val="0"/>
        <color indexed="9"/>
      </font>
      <fill>
        <patternFill>
          <bgColor rgb="FFFF9900"/>
        </patternFill>
      </fill>
    </dxf>
    <dxf>
      <font>
        <condense val="0"/>
        <extend val="0"/>
      </font>
      <fill>
        <patternFill>
          <bgColor rgb="FFFFFFCC"/>
        </patternFill>
      </fill>
    </dxf>
    <dxf>
      <font>
        <b val="0"/>
        <i/>
        <condense val="0"/>
        <extend val="0"/>
      </font>
      <fill>
        <patternFill>
          <bgColor rgb="FFFFFFCC"/>
        </patternFill>
      </fill>
    </dxf>
    <dxf>
      <fill>
        <patternFill>
          <bgColor rgb="FFFFCC99"/>
        </patternFill>
      </fill>
    </dxf>
    <dxf>
      <font>
        <b/>
        <i/>
        <condense val="0"/>
        <extend val="0"/>
        <color indexed="9"/>
      </font>
      <fill>
        <patternFill>
          <bgColor rgb="FFFF9900"/>
        </patternFill>
      </fill>
    </dxf>
    <dxf>
      <fill>
        <patternFill>
          <bgColor rgb="FFFFFFCC"/>
        </patternFill>
      </fill>
    </dxf>
    <dxf>
      <font>
        <condense val="0"/>
        <extend val="0"/>
      </font>
      <fill>
        <patternFill>
          <bgColor rgb="FFFFCC99"/>
        </patternFill>
      </fill>
    </dxf>
    <dxf>
      <font>
        <b/>
        <i/>
        <condense val="0"/>
        <extend val="0"/>
        <color indexed="9"/>
      </font>
      <fill>
        <patternFill>
          <bgColor rgb="FFFF9900"/>
        </patternFill>
      </fill>
    </dxf>
    <dxf>
      <font>
        <condense val="0"/>
        <extend val="0"/>
      </font>
      <fill>
        <patternFill>
          <bgColor rgb="FFFFFFCC"/>
        </patternFill>
      </fill>
    </dxf>
    <dxf>
      <font>
        <condense val="0"/>
        <extend val="0"/>
      </font>
      <fill>
        <patternFill>
          <bgColor rgb="FFFFCC99"/>
        </patternFill>
      </fill>
    </dxf>
    <dxf>
      <font>
        <b/>
        <i/>
        <condense val="0"/>
        <extend val="0"/>
        <color indexed="9"/>
      </font>
      <fill>
        <patternFill>
          <bgColor rgb="FFFF9900"/>
        </patternFill>
      </fill>
    </dxf>
    <dxf>
      <font>
        <b/>
        <i val="0"/>
        <color rgb="FF0000FF"/>
      </font>
      <fill>
        <patternFill>
          <bgColor rgb="FFFFFFCC"/>
        </patternFill>
      </fill>
    </dxf>
    <dxf>
      <fill>
        <patternFill>
          <bgColor rgb="FFFFCC99"/>
        </patternFill>
      </fill>
    </dxf>
    <dxf>
      <font>
        <b/>
        <i/>
        <condense val="0"/>
        <extend val="0"/>
        <color indexed="9"/>
      </font>
      <fill>
        <patternFill>
          <bgColor rgb="FFFF9900"/>
        </patternFill>
      </fill>
    </dxf>
    <dxf>
      <font>
        <b/>
        <i val="0"/>
        <strike val="0"/>
        <color rgb="FF0000FF"/>
      </font>
      <fill>
        <patternFill>
          <bgColor rgb="FFFFFFCC"/>
        </patternFill>
      </fill>
    </dxf>
    <dxf>
      <fill>
        <patternFill>
          <bgColor rgb="FFFFCC99"/>
        </patternFill>
      </fill>
    </dxf>
    <dxf>
      <font>
        <b/>
        <i/>
        <condense val="0"/>
        <extend val="0"/>
        <color indexed="9"/>
      </font>
      <fill>
        <patternFill>
          <bgColor rgb="FFFF9900"/>
        </patternFill>
      </fill>
    </dxf>
    <dxf>
      <fill>
        <patternFill>
          <bgColor rgb="FFFFFFCC"/>
        </patternFill>
      </fill>
    </dxf>
    <dxf>
      <fill>
        <patternFill>
          <bgColor rgb="FFFFCC99"/>
        </patternFill>
      </fill>
    </dxf>
    <dxf>
      <font>
        <b/>
        <i/>
        <condense val="0"/>
        <extend val="0"/>
        <color indexed="9"/>
      </font>
      <fill>
        <patternFill>
          <bgColor rgb="FFFF9900"/>
        </patternFill>
      </fill>
    </dxf>
    <dxf>
      <font>
        <condense val="0"/>
        <extend val="0"/>
        <color indexed="9"/>
      </font>
      <fill>
        <patternFill>
          <bgColor indexed="17"/>
        </patternFill>
      </fill>
      <border>
        <left style="thin">
          <color theme="0"/>
        </left>
        <right style="thin">
          <color theme="0"/>
        </right>
        <top style="thin">
          <color theme="0"/>
        </top>
      </border>
    </dxf>
    <dxf>
      <font>
        <b val="0"/>
        <i/>
        <color theme="0"/>
      </font>
      <fill>
        <patternFill>
          <bgColor rgb="FFFF0000"/>
        </patternFill>
      </fill>
      <border>
        <left style="thin">
          <color theme="0"/>
        </left>
        <right style="thin">
          <color theme="0"/>
        </right>
        <top style="thin">
          <color theme="0"/>
        </top>
      </border>
    </dxf>
    <dxf>
      <fill>
        <patternFill patternType="solid">
          <bgColor indexed="9"/>
        </patternFill>
      </fill>
      <border>
        <left/>
        <right/>
      </border>
    </dxf>
    <dxf>
      <font>
        <condense val="0"/>
        <extend val="0"/>
        <color indexed="9"/>
      </font>
      <fill>
        <patternFill>
          <bgColor indexed="17"/>
        </patternFill>
      </fill>
      <border>
        <left style="thin">
          <color theme="0"/>
        </left>
        <right style="thin">
          <color theme="0"/>
        </right>
        <top style="thin">
          <color theme="0"/>
        </top>
      </border>
    </dxf>
    <dxf>
      <font>
        <b/>
        <i/>
        <color theme="0"/>
      </font>
      <fill>
        <patternFill>
          <bgColor rgb="FFFF0000"/>
        </patternFill>
      </fill>
      <border>
        <left style="thin">
          <color theme="0"/>
        </left>
        <right style="thin">
          <color theme="0"/>
        </right>
        <top style="thin">
          <color theme="0"/>
        </top>
      </border>
    </dxf>
    <dxf>
      <fill>
        <patternFill patternType="solid">
          <bgColor indexed="9"/>
        </patternFill>
      </fill>
      <border>
        <left/>
        <right/>
      </border>
    </dxf>
    <dxf>
      <font>
        <condense val="0"/>
        <extend val="0"/>
        <color indexed="9"/>
      </font>
      <fill>
        <patternFill>
          <bgColor indexed="17"/>
        </patternFill>
      </fill>
      <border>
        <right style="thin">
          <color theme="0"/>
        </right>
        <top style="thin">
          <color theme="0"/>
        </top>
      </border>
    </dxf>
    <dxf>
      <font>
        <b val="0"/>
        <i/>
        <color theme="0"/>
      </font>
      <fill>
        <patternFill patternType="solid">
          <fgColor rgb="FFFF0000"/>
          <bgColor rgb="FFFF0000"/>
        </patternFill>
      </fill>
      <border>
        <right style="thin">
          <color theme="0"/>
        </right>
        <top style="thin">
          <color theme="0"/>
        </top>
      </border>
    </dxf>
    <dxf>
      <fill>
        <patternFill patternType="solid">
          <bgColor theme="0"/>
        </patternFill>
      </fill>
      <border>
        <left/>
        <right/>
      </border>
    </dxf>
    <dxf>
      <font>
        <b val="0"/>
        <i/>
        <condense val="0"/>
        <extend val="0"/>
        <color indexed="10"/>
      </font>
    </dxf>
    <dxf>
      <font>
        <b/>
        <i val="0"/>
        <color rgb="FFFF9900"/>
      </font>
    </dxf>
    <dxf>
      <fill>
        <patternFill patternType="solid">
          <bgColor theme="0"/>
        </patternFill>
      </fill>
      <border>
        <right/>
      </border>
    </dxf>
    <dxf>
      <font>
        <condense val="0"/>
        <extend val="0"/>
        <color indexed="9"/>
      </font>
      <fill>
        <patternFill>
          <bgColor indexed="17"/>
        </patternFill>
      </fill>
      <border>
        <left style="thin">
          <color theme="0"/>
        </left>
        <top style="thin">
          <color theme="0"/>
        </top>
      </border>
    </dxf>
    <dxf>
      <font>
        <b/>
        <i/>
        <color theme="0"/>
      </font>
      <fill>
        <patternFill>
          <bgColor rgb="FFFF0000"/>
        </patternFill>
      </fill>
      <border>
        <left style="thin">
          <color theme="0"/>
        </left>
        <top style="thin">
          <color theme="0"/>
        </top>
      </border>
    </dxf>
    <dxf>
      <fill>
        <patternFill patternType="solid">
          <bgColor theme="0"/>
        </patternFill>
      </fill>
      <border>
        <left/>
      </border>
    </dxf>
    <dxf>
      <font>
        <b/>
        <i/>
        <color rgb="FFFF0000"/>
      </font>
    </dxf>
    <dxf>
      <font>
        <b/>
        <i/>
        <color rgb="FF008000"/>
      </font>
    </dxf>
    <dxf>
      <font>
        <color theme="0"/>
      </font>
      <fill>
        <patternFill>
          <bgColor rgb="FFFF0000"/>
        </patternFill>
      </fill>
    </dxf>
    <dxf>
      <font>
        <color theme="0"/>
      </font>
      <fill>
        <patternFill>
          <bgColor rgb="FFFF0000"/>
        </patternFill>
      </fill>
    </dxf>
    <dxf>
      <fill>
        <patternFill>
          <bgColor indexed="42"/>
        </patternFill>
      </fill>
      <border>
        <left style="thin">
          <color rgb="FF008000"/>
        </left>
        <right style="thin">
          <color rgb="FF008000"/>
        </right>
        <top style="thin">
          <color rgb="FF008000"/>
        </top>
        <bottom style="thin">
          <color rgb="FF008000"/>
        </bottom>
      </border>
    </dxf>
    <dxf>
      <font>
        <condense val="0"/>
        <extend val="0"/>
      </font>
      <fill>
        <patternFill>
          <bgColor rgb="FFFFCC99"/>
        </patternFill>
      </fill>
    </dxf>
    <dxf>
      <font>
        <condense val="0"/>
        <extend val="0"/>
      </font>
      <fill>
        <patternFill patternType="none">
          <bgColor indexed="65"/>
        </patternFill>
      </fill>
      <border>
        <left/>
        <right/>
        <top/>
        <bottom/>
      </border>
    </dxf>
    <dxf>
      <font>
        <b/>
        <i val="0"/>
        <condense val="0"/>
        <extend val="0"/>
        <color indexed="9"/>
      </font>
      <fill>
        <patternFill>
          <bgColor indexed="10"/>
        </patternFill>
      </fill>
    </dxf>
    <dxf>
      <font>
        <b/>
        <i val="0"/>
        <condense val="0"/>
        <extend val="0"/>
        <color indexed="9"/>
      </font>
      <fill>
        <patternFill>
          <bgColor rgb="FFFF9900"/>
        </patternFill>
      </fill>
    </dxf>
    <dxf>
      <font>
        <b/>
        <i val="0"/>
        <condense val="0"/>
        <extend val="0"/>
      </font>
    </dxf>
    <dxf>
      <font>
        <condense val="0"/>
        <extend val="0"/>
      </font>
      <fill>
        <patternFill>
          <bgColor indexed="42"/>
        </patternFill>
      </fill>
      <border>
        <left style="thin">
          <color rgb="FF008000"/>
        </left>
        <right style="thin">
          <color rgb="FF008000"/>
        </right>
        <bottom style="thin">
          <color rgb="FF008000"/>
        </bottom>
      </border>
    </dxf>
    <dxf>
      <font>
        <condense val="0"/>
        <extend val="0"/>
      </font>
      <fill>
        <patternFill>
          <bgColor rgb="FFFFCC99"/>
        </patternFill>
      </fill>
    </dxf>
    <dxf>
      <font>
        <b/>
        <i val="0"/>
        <condense val="0"/>
        <extend val="0"/>
      </font>
    </dxf>
    <dxf>
      <font>
        <condense val="0"/>
        <extend val="0"/>
      </font>
      <fill>
        <patternFill>
          <bgColor indexed="42"/>
        </patternFill>
      </fill>
      <border>
        <left style="thin">
          <color rgb="FF008000"/>
        </left>
        <right style="thin">
          <color rgb="FF008000"/>
        </right>
        <top style="thin">
          <color rgb="FF008000"/>
        </top>
      </border>
    </dxf>
    <dxf>
      <font>
        <condense val="0"/>
        <extend val="0"/>
      </font>
      <fill>
        <patternFill>
          <bgColor rgb="FFFFCC99"/>
        </patternFill>
      </fill>
    </dxf>
    <dxf>
      <font>
        <b/>
        <i val="0"/>
        <condense val="0"/>
        <extend val="0"/>
      </font>
    </dxf>
    <dxf>
      <font>
        <condense val="0"/>
        <extend val="0"/>
      </font>
      <fill>
        <patternFill>
          <bgColor indexed="42"/>
        </patternFill>
      </fill>
      <border>
        <left style="thin">
          <color rgb="FF008000"/>
        </left>
        <right style="thin">
          <color rgb="FF008000"/>
        </right>
        <top style="thin">
          <color rgb="FF008000"/>
        </top>
        <bottom style="thin">
          <color rgb="FF008000"/>
        </bottom>
      </border>
    </dxf>
    <dxf>
      <font>
        <condense val="0"/>
        <extend val="0"/>
      </font>
      <fill>
        <patternFill>
          <bgColor rgb="FFFFCC99"/>
        </patternFill>
      </fill>
    </dxf>
    <dxf>
      <font>
        <condense val="0"/>
        <extend val="0"/>
        <color indexed="9"/>
      </font>
      <fill>
        <patternFill>
          <bgColor rgb="FFFF0000"/>
        </patternFill>
      </fill>
    </dxf>
    <dxf>
      <fill>
        <patternFill>
          <bgColor rgb="FFFFCC99"/>
        </patternFill>
      </fill>
    </dxf>
    <dxf>
      <font>
        <condense val="0"/>
        <extend val="0"/>
      </font>
      <fill>
        <patternFill>
          <bgColor indexed="42"/>
        </patternFill>
      </fill>
      <border>
        <left style="thin">
          <color rgb="FF008000"/>
        </left>
        <right style="thin">
          <color rgb="FF008000"/>
        </right>
        <top style="thin">
          <color rgb="FF008000"/>
        </top>
        <bottom style="thin">
          <color rgb="FF008000"/>
        </bottom>
      </border>
    </dxf>
    <dxf>
      <fill>
        <patternFill>
          <bgColor indexed="42"/>
        </patternFill>
      </fill>
      <border>
        <left style="thin">
          <color rgb="FF008000"/>
        </left>
        <right style="thin">
          <color rgb="FF008000"/>
        </right>
        <top style="thin">
          <color rgb="FF008000"/>
        </top>
        <bottom style="thin">
          <color rgb="FF008000"/>
        </bottom>
      </border>
    </dxf>
    <dxf>
      <font>
        <condense val="0"/>
        <extend val="0"/>
      </font>
      <fill>
        <patternFill>
          <bgColor rgb="FFFFCC99"/>
        </patternFill>
      </fill>
    </dxf>
    <dxf>
      <font>
        <condense val="0"/>
        <extend val="0"/>
      </font>
      <fill>
        <patternFill>
          <bgColor indexed="42"/>
        </patternFill>
      </fill>
      <border>
        <left style="thin">
          <color rgb="FF008000"/>
        </left>
        <right style="thin">
          <color rgb="FF008000"/>
        </right>
        <top style="thin">
          <color rgb="FF008000"/>
        </top>
        <bottom style="thin">
          <color rgb="FF008000"/>
        </bottom>
      </border>
    </dxf>
    <dxf>
      <font>
        <condense val="0"/>
        <extend val="0"/>
      </font>
      <fill>
        <patternFill>
          <bgColor rgb="FFFFCC99"/>
        </patternFill>
      </fill>
    </dxf>
    <dxf>
      <font>
        <b/>
        <i val="0"/>
        <condense val="0"/>
        <extend val="0"/>
        <color indexed="9"/>
      </font>
      <fill>
        <patternFill patternType="solid">
          <bgColor indexed="17"/>
        </patternFill>
      </fill>
      <border>
        <left style="thin">
          <color theme="0"/>
        </left>
        <bottom style="thin">
          <color theme="0"/>
        </bottom>
      </border>
    </dxf>
    <dxf>
      <font>
        <b/>
        <i/>
        <condense val="0"/>
        <extend val="0"/>
        <color indexed="9"/>
      </font>
      <fill>
        <patternFill patternType="solid">
          <fgColor rgb="FFFF0000"/>
          <bgColor rgb="FFFF0000"/>
        </patternFill>
      </fill>
      <border>
        <left style="thin">
          <color theme="0"/>
        </left>
        <bottom style="thin">
          <color theme="0"/>
        </bottom>
      </border>
    </dxf>
    <dxf>
      <font>
        <b/>
        <i val="0"/>
        <condense val="0"/>
        <extend val="0"/>
        <color indexed="9"/>
      </font>
      <fill>
        <patternFill patternType="solid">
          <bgColor indexed="17"/>
        </patternFill>
      </fill>
      <border>
        <right style="thin">
          <color theme="0"/>
        </right>
        <bottom style="thin">
          <color theme="0"/>
        </bottom>
      </border>
    </dxf>
    <dxf>
      <font>
        <b/>
        <i/>
        <condense val="0"/>
        <extend val="0"/>
        <color indexed="9"/>
      </font>
      <fill>
        <patternFill patternType="solid">
          <fgColor rgb="FFFF0000"/>
          <bgColor rgb="FFFF0000"/>
        </patternFill>
      </fill>
      <border>
        <right style="thin">
          <color theme="0"/>
        </right>
        <bottom style="thin">
          <color theme="0"/>
        </bottom>
      </border>
    </dxf>
    <dxf>
      <font>
        <b val="0"/>
        <i val="0"/>
        <condense val="0"/>
        <extend val="0"/>
        <color indexed="9"/>
      </font>
      <fill>
        <patternFill patternType="solid">
          <bgColor indexed="17"/>
        </patternFill>
      </fill>
      <border>
        <left style="thin">
          <color indexed="9"/>
        </left>
        <top style="thin">
          <color indexed="9"/>
        </top>
        <bottom style="thin">
          <color indexed="9"/>
        </bottom>
      </border>
    </dxf>
    <dxf>
      <font>
        <condense val="0"/>
        <extend val="0"/>
        <color indexed="9"/>
      </font>
      <fill>
        <patternFill patternType="solid">
          <fgColor rgb="FFFF0000"/>
          <bgColor rgb="FFFF0000"/>
        </patternFill>
      </fill>
      <border>
        <left style="thin">
          <color indexed="9"/>
        </left>
        <top style="thin">
          <color indexed="9"/>
        </top>
        <bottom style="thin">
          <color indexed="9"/>
        </bottom>
      </border>
    </dxf>
    <dxf>
      <font>
        <b val="0"/>
        <i val="0"/>
        <condense val="0"/>
        <extend val="0"/>
        <color indexed="55"/>
      </font>
    </dxf>
    <dxf>
      <font>
        <b val="0"/>
        <i val="0"/>
        <condense val="0"/>
        <extend val="0"/>
        <color indexed="9"/>
      </font>
      <fill>
        <patternFill patternType="solid">
          <bgColor indexed="17"/>
        </patternFill>
      </fill>
      <border>
        <left style="thin">
          <color indexed="9"/>
        </left>
        <right style="thin">
          <color indexed="9"/>
        </right>
        <top style="thin">
          <color indexed="9"/>
        </top>
        <bottom style="thin">
          <color indexed="9"/>
        </bottom>
      </border>
    </dxf>
    <dxf>
      <font>
        <condense val="0"/>
        <extend val="0"/>
        <color indexed="9"/>
      </font>
      <fill>
        <patternFill patternType="solid">
          <fgColor rgb="FFFF0000"/>
          <bgColor rgb="FFFF0000"/>
        </patternFill>
      </fill>
      <border>
        <left style="thin">
          <color indexed="9"/>
        </left>
        <right style="thin">
          <color indexed="9"/>
        </right>
        <top style="thin">
          <color indexed="9"/>
        </top>
        <bottom style="thin">
          <color indexed="9"/>
        </bottom>
      </border>
    </dxf>
    <dxf>
      <font>
        <b val="0"/>
        <i val="0"/>
        <condense val="0"/>
        <extend val="0"/>
        <color indexed="55"/>
      </font>
    </dxf>
    <dxf>
      <font>
        <b val="0"/>
        <i val="0"/>
        <condense val="0"/>
        <extend val="0"/>
        <color indexed="9"/>
      </font>
      <fill>
        <patternFill patternType="solid">
          <bgColor indexed="17"/>
        </patternFill>
      </fill>
      <border>
        <left style="thin">
          <color indexed="9"/>
        </left>
        <right style="thin">
          <color indexed="9"/>
        </right>
        <top style="thin">
          <color indexed="9"/>
        </top>
        <bottom style="thin">
          <color indexed="9"/>
        </bottom>
      </border>
    </dxf>
    <dxf>
      <font>
        <b/>
        <i val="0"/>
        <condense val="0"/>
        <extend val="0"/>
        <color indexed="9"/>
      </font>
      <fill>
        <patternFill patternType="solid">
          <fgColor indexed="10"/>
          <bgColor rgb="FFFF0000"/>
        </patternFill>
      </fill>
      <border>
        <left style="thin">
          <color indexed="9"/>
        </left>
        <right style="thin">
          <color indexed="9"/>
        </right>
        <top style="thin">
          <color indexed="9"/>
        </top>
        <bottom style="thin">
          <color indexed="9"/>
        </bottom>
      </border>
    </dxf>
    <dxf>
      <font>
        <b val="0"/>
        <i val="0"/>
        <condense val="0"/>
        <extend val="0"/>
        <color indexed="55"/>
      </font>
    </dxf>
    <dxf>
      <font>
        <b val="0"/>
        <i val="0"/>
        <condense val="0"/>
        <extend val="0"/>
        <color indexed="9"/>
      </font>
      <fill>
        <patternFill patternType="solid">
          <bgColor indexed="17"/>
        </patternFill>
      </fill>
      <border>
        <left/>
        <right/>
        <top/>
        <bottom/>
      </border>
    </dxf>
    <dxf>
      <font>
        <condense val="0"/>
        <extend val="0"/>
        <color indexed="9"/>
      </font>
      <fill>
        <patternFill patternType="solid">
          <fgColor rgb="FFFF0000"/>
          <bgColor rgb="FFFF0000"/>
        </patternFill>
      </fill>
      <border>
        <right style="thin">
          <color indexed="9"/>
        </right>
        <top style="thin">
          <color indexed="9"/>
        </top>
        <bottom style="thin">
          <color indexed="9"/>
        </bottom>
      </border>
    </dxf>
    <dxf>
      <font>
        <b val="0"/>
        <i val="0"/>
        <condense val="0"/>
        <extend val="0"/>
        <color indexed="55"/>
      </font>
    </dxf>
    <dxf>
      <fill>
        <patternFill patternType="solid">
          <bgColor indexed="10"/>
        </patternFill>
      </fill>
    </dxf>
    <dxf>
      <border>
        <top/>
      </border>
    </dxf>
    <dxf>
      <border>
        <bottom style="thin">
          <color rgb="FF969696"/>
        </bottom>
      </border>
    </dxf>
    <dxf>
      <font>
        <condense val="0"/>
        <extend val="0"/>
      </font>
      <fill>
        <patternFill>
          <bgColor indexed="17"/>
        </patternFill>
      </fill>
      <border>
        <left style="thin">
          <color indexed="17"/>
        </left>
        <right style="thin">
          <color indexed="17"/>
        </right>
        <top style="thin">
          <color indexed="17"/>
        </top>
        <bottom style="thin">
          <color indexed="17"/>
        </bottom>
      </border>
    </dxf>
    <dxf>
      <font>
        <condense val="0"/>
        <extend val="0"/>
      </font>
      <fill>
        <patternFill>
          <bgColor indexed="10"/>
        </patternFill>
      </fill>
      <border>
        <left style="thin">
          <color indexed="10"/>
        </left>
        <right style="thin">
          <color indexed="10"/>
        </right>
        <top style="thin">
          <color indexed="10"/>
        </top>
        <bottom style="thin">
          <color indexed="10"/>
        </bottom>
      </border>
    </dxf>
    <dxf>
      <font>
        <b/>
        <i val="0"/>
        <condense val="0"/>
        <extend val="0"/>
      </font>
      <fill>
        <patternFill>
          <bgColor indexed="43"/>
        </patternFill>
      </fill>
    </dxf>
    <dxf>
      <font>
        <b/>
        <i val="0"/>
        <condense val="0"/>
        <extend val="0"/>
      </font>
    </dxf>
    <dxf>
      <font>
        <b/>
        <i/>
        <condense val="0"/>
        <extend val="0"/>
        <color indexed="9"/>
      </font>
      <fill>
        <patternFill>
          <bgColor indexed="10"/>
        </patternFill>
      </fill>
    </dxf>
    <dxf>
      <font>
        <b/>
        <i/>
        <condense val="0"/>
        <extend val="0"/>
        <color indexed="10"/>
      </font>
    </dxf>
    <dxf>
      <font>
        <b/>
        <i val="0"/>
        <condense val="0"/>
        <extend val="0"/>
        <color indexed="10"/>
      </font>
    </dxf>
    <dxf>
      <font>
        <condense val="0"/>
        <extend val="0"/>
        <color indexed="10"/>
      </font>
    </dxf>
    <dxf>
      <font>
        <b/>
        <i val="0"/>
        <condense val="0"/>
        <extend val="0"/>
      </font>
      <fill>
        <patternFill>
          <bgColor indexed="26"/>
        </patternFill>
      </fill>
    </dxf>
    <dxf>
      <font>
        <b/>
        <i val="0"/>
        <condense val="0"/>
        <extend val="0"/>
        <color indexed="10"/>
      </font>
      <fill>
        <patternFill>
          <bgColor indexed="43"/>
        </patternFill>
      </fill>
    </dxf>
    <dxf>
      <font>
        <b val="0"/>
        <i/>
        <condense val="0"/>
        <extend val="0"/>
        <color indexed="10"/>
      </font>
      <fill>
        <patternFill>
          <bgColor indexed="47"/>
        </patternFill>
      </fill>
    </dxf>
    <dxf>
      <font>
        <b/>
        <i val="0"/>
        <condense val="0"/>
        <extend val="0"/>
        <color indexed="10"/>
      </font>
      <fill>
        <patternFill>
          <bgColor indexed="47"/>
        </patternFill>
      </fill>
    </dxf>
    <dxf>
      <font>
        <b/>
        <i val="0"/>
        <condense val="0"/>
        <extend val="0"/>
        <color indexed="10"/>
      </font>
      <fill>
        <patternFill>
          <bgColor indexed="43"/>
        </patternFill>
      </fill>
    </dxf>
    <dxf>
      <font>
        <b/>
        <i/>
        <condense val="0"/>
        <extend val="0"/>
        <color indexed="9"/>
      </font>
      <fill>
        <patternFill>
          <bgColor indexed="10"/>
        </patternFill>
      </fill>
    </dxf>
    <dxf>
      <fill>
        <patternFill patternType="solid">
          <bgColor indexed="22"/>
        </patternFill>
      </fill>
    </dxf>
    <dxf>
      <font>
        <b/>
        <i val="0"/>
        <condense val="0"/>
        <extend val="0"/>
        <color indexed="9"/>
      </font>
      <fill>
        <patternFill patternType="solid">
          <bgColor indexed="10"/>
        </patternFill>
      </fill>
    </dxf>
    <dxf>
      <fill>
        <patternFill patternType="solid">
          <bgColor indexed="22"/>
        </patternFill>
      </fill>
    </dxf>
    <dxf>
      <fill>
        <patternFill>
          <bgColor indexed="47"/>
        </patternFill>
      </fill>
    </dxf>
    <dxf>
      <font>
        <b/>
        <i val="0"/>
        <condense val="0"/>
        <extend val="0"/>
        <color indexed="9"/>
      </font>
      <fill>
        <patternFill>
          <bgColor indexed="10"/>
        </patternFill>
      </fill>
    </dxf>
    <dxf>
      <fill>
        <patternFill patternType="solid">
          <bgColor indexed="22"/>
        </patternFill>
      </fill>
    </dxf>
    <dxf>
      <font>
        <b/>
        <i/>
        <condense val="0"/>
        <extend val="0"/>
        <color indexed="9"/>
      </font>
      <fill>
        <patternFill>
          <bgColor indexed="10"/>
        </patternFill>
      </fill>
    </dxf>
    <dxf>
      <font>
        <b/>
        <i val="0"/>
        <condense val="0"/>
        <extend val="0"/>
        <color indexed="10"/>
      </font>
    </dxf>
    <dxf>
      <font>
        <b/>
        <i val="0"/>
        <condense val="0"/>
        <extend val="0"/>
      </font>
    </dxf>
    <dxf>
      <font>
        <b/>
        <i val="0"/>
        <condense val="0"/>
        <extend val="0"/>
        <color auto="1"/>
      </font>
    </dxf>
    <dxf>
      <font>
        <color rgb="FF0000FF"/>
      </font>
      <border>
        <bottom style="thin">
          <color indexed="55"/>
        </bottom>
      </border>
    </dxf>
    <dxf>
      <font>
        <b/>
        <i val="0"/>
        <color rgb="FF0000FF"/>
      </font>
      <fill>
        <patternFill>
          <bgColor rgb="FFFFFFCC"/>
        </patternFill>
      </fill>
      <border>
        <bottom style="thin">
          <color rgb="FF969696"/>
        </bottom>
      </border>
    </dxf>
    <dxf>
      <font>
        <color rgb="FFFFFFCC"/>
      </font>
      <fill>
        <patternFill>
          <bgColor rgb="FFFFFFCC"/>
        </patternFill>
      </fill>
    </dxf>
    <dxf>
      <font>
        <color rgb="FF0000FF"/>
      </font>
    </dxf>
    <dxf>
      <font>
        <b/>
        <i val="0"/>
        <color rgb="FF0000FF"/>
      </font>
      <fill>
        <patternFill>
          <bgColor rgb="FFFFFFCC"/>
        </patternFill>
      </fill>
    </dxf>
    <dxf>
      <fill>
        <patternFill patternType="solid">
          <bgColor indexed="9"/>
        </patternFill>
      </fill>
      <border>
        <left/>
        <right/>
      </border>
    </dxf>
    <dxf>
      <border>
        <bottom style="thin">
          <color rgb="FF969696"/>
        </bottom>
      </border>
    </dxf>
    <dxf>
      <font>
        <b val="0"/>
        <i/>
        <color rgb="FFFF0000"/>
      </font>
      <fill>
        <patternFill>
          <bgColor rgb="FFFFFFCC"/>
        </patternFill>
      </fill>
    </dxf>
    <dxf>
      <font>
        <b/>
        <i/>
        <color indexed="10"/>
      </font>
      <fill>
        <patternFill>
          <bgColor indexed="43"/>
        </patternFill>
      </fill>
    </dxf>
    <dxf>
      <font>
        <b/>
        <i val="0"/>
        <condense val="0"/>
        <extend val="0"/>
      </font>
    </dxf>
  </dxfs>
  <tableStyles count="0" defaultTableStyle="TableStyleMedium9" defaultPivotStyle="PivotStyleLight16"/>
  <colors>
    <mruColors>
      <color rgb="FFFF66CC"/>
      <color rgb="FF0000FF"/>
      <color rgb="FFFFCC99"/>
      <color rgb="FFFFFFCC"/>
      <color rgb="FFFFFF99"/>
      <color rgb="FFFF0000"/>
      <color rgb="FF969696"/>
      <color rgb="FFC0C0C0"/>
      <color rgb="FFFF9900"/>
      <color rgb="FF00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ScreenShot2"/><Relationship Id="rId2" Type="http://schemas.openxmlformats.org/officeDocument/2006/relationships/hyperlink" Target="#ScreenShot1"/><Relationship Id="rId1" Type="http://schemas.openxmlformats.org/officeDocument/2006/relationships/hyperlink" Target="#Building"/><Relationship Id="rId4" Type="http://schemas.openxmlformats.org/officeDocument/2006/relationships/hyperlink" Target="#ScreenShot3"/></Relationships>
</file>

<file path=xl/drawings/_rels/drawing2.xml.rels><?xml version="1.0" encoding="UTF-8" standalone="yes"?>
<Relationships xmlns="http://schemas.openxmlformats.org/package/2006/relationships"><Relationship Id="rId3" Type="http://schemas.openxmlformats.org/officeDocument/2006/relationships/hyperlink" Target="#Help"/><Relationship Id="rId2" Type="http://schemas.openxmlformats.org/officeDocument/2006/relationships/hyperlink" Target="#Building"/><Relationship Id="rId1" Type="http://schemas.openxmlformats.org/officeDocument/2006/relationships/image" Target="../media/image1.PNG"/><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hyperlink" Target="#Help"/></Relationships>
</file>

<file path=xl/drawings/_rels/drawing4.xml.rels><?xml version="1.0" encoding="UTF-8" standalone="yes"?>
<Relationships xmlns="http://schemas.openxmlformats.org/package/2006/relationships"><Relationship Id="rId1" Type="http://schemas.openxmlformats.org/officeDocument/2006/relationships/hyperlink" Target="#Building"/></Relationships>
</file>

<file path=xl/drawings/drawing1.xml><?xml version="1.0" encoding="utf-8"?>
<xdr:wsDr xmlns:xdr="http://schemas.openxmlformats.org/drawingml/2006/spreadsheetDrawing" xmlns:a="http://schemas.openxmlformats.org/drawingml/2006/main">
  <xdr:twoCellAnchor>
    <xdr:from>
      <xdr:col>2</xdr:col>
      <xdr:colOff>0</xdr:colOff>
      <xdr:row>5</xdr:row>
      <xdr:rowOff>142875</xdr:rowOff>
    </xdr:from>
    <xdr:to>
      <xdr:col>5</xdr:col>
      <xdr:colOff>0</xdr:colOff>
      <xdr:row>7</xdr:row>
      <xdr:rowOff>76200</xdr:rowOff>
    </xdr:to>
    <xdr:sp macro="" textlink="">
      <xdr:nvSpPr>
        <xdr:cNvPr id="4097" name="AutoShape 1">
          <a:hlinkClick xmlns:r="http://schemas.openxmlformats.org/officeDocument/2006/relationships" r:id="rId1" tooltip="Click here to return to the Calculator form"/>
        </xdr:cNvPr>
        <xdr:cNvSpPr>
          <a:spLocks noChangeArrowheads="1"/>
        </xdr:cNvSpPr>
      </xdr:nvSpPr>
      <xdr:spPr bwMode="auto">
        <a:xfrm>
          <a:off x="228600" y="304800"/>
          <a:ext cx="5705475" cy="257175"/>
        </a:xfrm>
        <a:prstGeom prst="roundRect">
          <a:avLst>
            <a:gd name="adj" fmla="val 16667"/>
          </a:avLst>
        </a:prstGeom>
        <a:gradFill rotWithShape="1">
          <a:gsLst>
            <a:gs pos="0">
              <a:srgbClr val="339966"/>
            </a:gs>
            <a:gs pos="100000">
              <a:srgbClr val="339966">
                <a:gamma/>
                <a:shade val="46275"/>
                <a:invGamma/>
              </a:srgbClr>
            </a:gs>
          </a:gsLst>
          <a:lin ang="5400000" scaled="1"/>
        </a:gradFill>
        <a:ln w="9525">
          <a:solidFill>
            <a:srgbClr val="008000"/>
          </a:solidFill>
          <a:round/>
          <a:headEnd/>
          <a:tailEnd/>
        </a:ln>
        <a:effectLst/>
      </xdr:spPr>
      <xdr:txBody>
        <a:bodyPr vertOverflow="clip" wrap="square" lIns="27432" tIns="22860" rIns="27432" bIns="22860" anchor="ctr" upright="1"/>
        <a:lstStyle/>
        <a:p>
          <a:pPr algn="ctr" rtl="0">
            <a:defRPr sz="1000"/>
          </a:pPr>
          <a:r>
            <a:rPr lang="en-AU" sz="1000" b="1" i="1" u="none" strike="noStrike" baseline="0">
              <a:solidFill>
                <a:srgbClr val="FFFFFF"/>
              </a:solidFill>
              <a:latin typeface="Arial"/>
              <a:cs typeface="Arial"/>
            </a:rPr>
            <a:t>RETURN TO CALCULATOR</a:t>
          </a:r>
        </a:p>
      </xdr:txBody>
    </xdr:sp>
    <xdr:clientData fPrintsWithSheet="0"/>
  </xdr:twoCellAnchor>
  <xdr:twoCellAnchor>
    <xdr:from>
      <xdr:col>4</xdr:col>
      <xdr:colOff>3590925</xdr:colOff>
      <xdr:row>22</xdr:row>
      <xdr:rowOff>123825</xdr:rowOff>
    </xdr:from>
    <xdr:to>
      <xdr:col>5</xdr:col>
      <xdr:colOff>0</xdr:colOff>
      <xdr:row>24</xdr:row>
      <xdr:rowOff>0</xdr:rowOff>
    </xdr:to>
    <xdr:sp macro="" textlink="">
      <xdr:nvSpPr>
        <xdr:cNvPr id="2" name="AutoShape 2">
          <a:hlinkClick xmlns:r="http://schemas.openxmlformats.org/officeDocument/2006/relationships" r:id="rId2" tooltip="Click here to show annotated screenshot 1"/>
        </xdr:cNvPr>
        <xdr:cNvSpPr>
          <a:spLocks noChangeArrowheads="1"/>
        </xdr:cNvSpPr>
      </xdr:nvSpPr>
      <xdr:spPr bwMode="auto">
        <a:xfrm>
          <a:off x="4133850" y="3562350"/>
          <a:ext cx="1800225" cy="200025"/>
        </a:xfrm>
        <a:prstGeom prst="roundRect">
          <a:avLst>
            <a:gd name="adj" fmla="val 16667"/>
          </a:avLst>
        </a:prstGeom>
        <a:gradFill rotWithShape="1">
          <a:gsLst>
            <a:gs pos="0">
              <a:srgbClr val="0000FF"/>
            </a:gs>
            <a:gs pos="100000">
              <a:srgbClr val="0000FF">
                <a:gamma/>
                <a:shade val="46275"/>
                <a:invGamma/>
              </a:srgbClr>
            </a:gs>
          </a:gsLst>
          <a:lin ang="5400000" scaled="1"/>
        </a:gradFill>
        <a:ln w="9525">
          <a:solidFill>
            <a:srgbClr val="0000FF"/>
          </a:solidFill>
          <a:round/>
          <a:headEnd/>
          <a:tailEnd/>
        </a:ln>
        <a:effectLst/>
      </xdr:spPr>
      <xdr:txBody>
        <a:bodyPr vertOverflow="clip" wrap="square" lIns="27432" tIns="22860" rIns="27432" bIns="22860" anchor="ctr" upright="1"/>
        <a:lstStyle/>
        <a:p>
          <a:pPr algn="ctr" rtl="0">
            <a:defRPr sz="1000"/>
          </a:pPr>
          <a:r>
            <a:rPr lang="en-AU" sz="1000" b="1" i="1" u="none" strike="noStrike" baseline="0">
              <a:solidFill>
                <a:srgbClr val="FFFFFF"/>
              </a:solidFill>
              <a:latin typeface="Arial"/>
              <a:cs typeface="Arial"/>
            </a:rPr>
            <a:t>SHOW SCREENSHOT  1</a:t>
          </a:r>
        </a:p>
      </xdr:txBody>
    </xdr:sp>
    <xdr:clientData fPrintsWithSheet="0"/>
  </xdr:twoCellAnchor>
  <xdr:twoCellAnchor>
    <xdr:from>
      <xdr:col>4</xdr:col>
      <xdr:colOff>3590925</xdr:colOff>
      <xdr:row>28</xdr:row>
      <xdr:rowOff>123825</xdr:rowOff>
    </xdr:from>
    <xdr:to>
      <xdr:col>5</xdr:col>
      <xdr:colOff>0</xdr:colOff>
      <xdr:row>30</xdr:row>
      <xdr:rowOff>0</xdr:rowOff>
    </xdr:to>
    <xdr:sp macro="" textlink="">
      <xdr:nvSpPr>
        <xdr:cNvPr id="3" name="AutoShape 3">
          <a:hlinkClick xmlns:r="http://schemas.openxmlformats.org/officeDocument/2006/relationships" r:id="rId3" tooltip="Click here to show annotated screenshot 2"/>
        </xdr:cNvPr>
        <xdr:cNvSpPr>
          <a:spLocks noChangeArrowheads="1"/>
        </xdr:cNvSpPr>
      </xdr:nvSpPr>
      <xdr:spPr bwMode="auto">
        <a:xfrm>
          <a:off x="4133850" y="5991225"/>
          <a:ext cx="1800225" cy="200025"/>
        </a:xfrm>
        <a:prstGeom prst="roundRect">
          <a:avLst>
            <a:gd name="adj" fmla="val 16667"/>
          </a:avLst>
        </a:prstGeom>
        <a:gradFill rotWithShape="1">
          <a:gsLst>
            <a:gs pos="0">
              <a:srgbClr val="0000FF"/>
            </a:gs>
            <a:gs pos="100000">
              <a:srgbClr val="0000FF">
                <a:gamma/>
                <a:shade val="46275"/>
                <a:invGamma/>
              </a:srgbClr>
            </a:gs>
          </a:gsLst>
          <a:lin ang="5400000" scaled="1"/>
        </a:gradFill>
        <a:ln w="9525">
          <a:solidFill>
            <a:srgbClr val="0000FF"/>
          </a:solidFill>
          <a:round/>
          <a:headEnd/>
          <a:tailEnd/>
        </a:ln>
        <a:effectLst/>
      </xdr:spPr>
      <xdr:txBody>
        <a:bodyPr vertOverflow="clip" wrap="square" lIns="27432" tIns="22860" rIns="27432" bIns="22860" anchor="ctr" upright="1"/>
        <a:lstStyle/>
        <a:p>
          <a:pPr algn="ctr" rtl="0">
            <a:defRPr sz="1000"/>
          </a:pPr>
          <a:r>
            <a:rPr lang="en-AU" sz="1000" b="1" i="1" u="none" strike="noStrike" baseline="0">
              <a:solidFill>
                <a:srgbClr val="FFFFFF"/>
              </a:solidFill>
              <a:latin typeface="Arial"/>
              <a:cs typeface="Arial"/>
            </a:rPr>
            <a:t>SHOW SCREENSHOT  2</a:t>
          </a:r>
        </a:p>
      </xdr:txBody>
    </xdr:sp>
    <xdr:clientData fPrintsWithSheet="0"/>
  </xdr:twoCellAnchor>
  <xdr:twoCellAnchor>
    <xdr:from>
      <xdr:col>4</xdr:col>
      <xdr:colOff>3590925</xdr:colOff>
      <xdr:row>38</xdr:row>
      <xdr:rowOff>123825</xdr:rowOff>
    </xdr:from>
    <xdr:to>
      <xdr:col>5</xdr:col>
      <xdr:colOff>0</xdr:colOff>
      <xdr:row>40</xdr:row>
      <xdr:rowOff>0</xdr:rowOff>
    </xdr:to>
    <xdr:sp macro="" textlink="">
      <xdr:nvSpPr>
        <xdr:cNvPr id="4" name="AutoShape 4">
          <a:hlinkClick xmlns:r="http://schemas.openxmlformats.org/officeDocument/2006/relationships" r:id="rId4" tooltip="Click here to show annotated screenshot 3"/>
        </xdr:cNvPr>
        <xdr:cNvSpPr>
          <a:spLocks noChangeArrowheads="1"/>
        </xdr:cNvSpPr>
      </xdr:nvSpPr>
      <xdr:spPr bwMode="auto">
        <a:xfrm>
          <a:off x="4133850" y="9067800"/>
          <a:ext cx="1800225" cy="200025"/>
        </a:xfrm>
        <a:prstGeom prst="roundRect">
          <a:avLst>
            <a:gd name="adj" fmla="val 16667"/>
          </a:avLst>
        </a:prstGeom>
        <a:gradFill rotWithShape="1">
          <a:gsLst>
            <a:gs pos="0">
              <a:srgbClr val="0000FF"/>
            </a:gs>
            <a:gs pos="100000">
              <a:srgbClr val="0000FF">
                <a:gamma/>
                <a:shade val="46275"/>
                <a:invGamma/>
              </a:srgbClr>
            </a:gs>
          </a:gsLst>
          <a:lin ang="5400000" scaled="1"/>
        </a:gradFill>
        <a:ln w="9525">
          <a:solidFill>
            <a:srgbClr val="0000FF"/>
          </a:solidFill>
          <a:round/>
          <a:headEnd/>
          <a:tailEnd/>
        </a:ln>
        <a:effectLst/>
      </xdr:spPr>
      <xdr:txBody>
        <a:bodyPr vertOverflow="clip" wrap="square" lIns="27432" tIns="22860" rIns="27432" bIns="22860" anchor="ctr" upright="1"/>
        <a:lstStyle/>
        <a:p>
          <a:pPr algn="ctr" rtl="0">
            <a:defRPr sz="1000"/>
          </a:pPr>
          <a:r>
            <a:rPr lang="en-AU" sz="1000" b="1" i="1" u="none" strike="noStrike" baseline="0">
              <a:solidFill>
                <a:srgbClr val="FFFFFF"/>
              </a:solidFill>
              <a:latin typeface="Arial"/>
              <a:cs typeface="Arial"/>
            </a:rPr>
            <a:t>SHOW SCREENSHOT  3</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0</xdr:col>
      <xdr:colOff>3324</xdr:colOff>
      <xdr:row>6</xdr:row>
      <xdr:rowOff>152401</xdr:rowOff>
    </xdr:from>
    <xdr:to>
      <xdr:col>17</xdr:col>
      <xdr:colOff>59583</xdr:colOff>
      <xdr:row>46</xdr:row>
      <xdr:rowOff>114301</xdr:rowOff>
    </xdr:to>
    <xdr:pic>
      <xdr:nvPicPr>
        <xdr:cNvPr id="7" name="Picture 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24" y="857251"/>
          <a:ext cx="9390759" cy="6438900"/>
        </a:xfrm>
        <a:prstGeom prst="rect">
          <a:avLst/>
        </a:prstGeom>
      </xdr:spPr>
    </xdr:pic>
    <xdr:clientData/>
  </xdr:twoCellAnchor>
  <xdr:twoCellAnchor editAs="oneCell">
    <xdr:from>
      <xdr:col>13</xdr:col>
      <xdr:colOff>57150</xdr:colOff>
      <xdr:row>4</xdr:row>
      <xdr:rowOff>47625</xdr:rowOff>
    </xdr:from>
    <xdr:to>
      <xdr:col>17</xdr:col>
      <xdr:colOff>28575</xdr:colOff>
      <xdr:row>4</xdr:row>
      <xdr:rowOff>247650</xdr:rowOff>
    </xdr:to>
    <xdr:sp macro="" textlink="">
      <xdr:nvSpPr>
        <xdr:cNvPr id="5121" name="AutoShape 1">
          <a:hlinkClick xmlns:r="http://schemas.openxmlformats.org/officeDocument/2006/relationships" r:id="rId2" tooltip="Click here to return to the Calculator form"/>
        </xdr:cNvPr>
        <xdr:cNvSpPr>
          <a:spLocks noChangeArrowheads="1"/>
        </xdr:cNvSpPr>
      </xdr:nvSpPr>
      <xdr:spPr bwMode="auto">
        <a:xfrm>
          <a:off x="7248525" y="209550"/>
          <a:ext cx="2114550" cy="200025"/>
        </a:xfrm>
        <a:prstGeom prst="roundRect">
          <a:avLst>
            <a:gd name="adj" fmla="val 16667"/>
          </a:avLst>
        </a:prstGeom>
        <a:gradFill rotWithShape="1">
          <a:gsLst>
            <a:gs pos="0">
              <a:srgbClr val="339966"/>
            </a:gs>
            <a:gs pos="100000">
              <a:srgbClr val="339966">
                <a:gamma/>
                <a:shade val="46275"/>
                <a:invGamma/>
              </a:srgbClr>
            </a:gs>
          </a:gsLst>
          <a:lin ang="5400000" scaled="1"/>
        </a:gradFill>
        <a:ln w="9525">
          <a:solidFill>
            <a:srgbClr val="008000"/>
          </a:solidFill>
          <a:round/>
          <a:headEnd/>
          <a:tailEnd/>
        </a:ln>
        <a:effectLst/>
      </xdr:spPr>
      <xdr:txBody>
        <a:bodyPr vertOverflow="clip" wrap="square" lIns="27432" tIns="22860" rIns="27432" bIns="22860" anchor="ctr" upright="1"/>
        <a:lstStyle/>
        <a:p>
          <a:pPr algn="ctr" rtl="0">
            <a:defRPr sz="1000"/>
          </a:pPr>
          <a:r>
            <a:rPr lang="en-AU" sz="1000" b="1" i="1" u="none" strike="noStrike" baseline="0">
              <a:solidFill>
                <a:srgbClr val="FFFFFF"/>
              </a:solidFill>
              <a:latin typeface="Arial"/>
              <a:cs typeface="Arial"/>
            </a:rPr>
            <a:t>RETURN TO CALCULATOR</a:t>
          </a:r>
        </a:p>
      </xdr:txBody>
    </xdr:sp>
    <xdr:clientData fPrintsWithSheet="0"/>
  </xdr:twoCellAnchor>
  <xdr:twoCellAnchor editAs="oneCell">
    <xdr:from>
      <xdr:col>13</xdr:col>
      <xdr:colOff>57150</xdr:colOff>
      <xdr:row>4</xdr:row>
      <xdr:rowOff>342900</xdr:rowOff>
    </xdr:from>
    <xdr:to>
      <xdr:col>17</xdr:col>
      <xdr:colOff>28575</xdr:colOff>
      <xdr:row>6</xdr:row>
      <xdr:rowOff>3329</xdr:rowOff>
    </xdr:to>
    <xdr:sp macro="" textlink="">
      <xdr:nvSpPr>
        <xdr:cNvPr id="5124" name="AutoShape 4">
          <a:hlinkClick xmlns:r="http://schemas.openxmlformats.org/officeDocument/2006/relationships" r:id="rId3" tooltip="Click here to return to the Help screen"/>
        </xdr:cNvPr>
        <xdr:cNvSpPr>
          <a:spLocks noChangeArrowheads="1"/>
        </xdr:cNvSpPr>
      </xdr:nvSpPr>
      <xdr:spPr bwMode="auto">
        <a:xfrm>
          <a:off x="7248525" y="504825"/>
          <a:ext cx="2114550" cy="200025"/>
        </a:xfrm>
        <a:prstGeom prst="roundRect">
          <a:avLst>
            <a:gd name="adj" fmla="val 16667"/>
          </a:avLst>
        </a:prstGeom>
        <a:gradFill rotWithShape="1">
          <a:gsLst>
            <a:gs pos="0">
              <a:srgbClr val="FF0000"/>
            </a:gs>
            <a:gs pos="100000">
              <a:srgbClr val="FF0000">
                <a:gamma/>
                <a:shade val="46275"/>
                <a:invGamma/>
              </a:srgbClr>
            </a:gs>
          </a:gsLst>
          <a:lin ang="5400000" scaled="1"/>
        </a:gradFill>
        <a:ln w="9525">
          <a:solidFill>
            <a:srgbClr val="800000"/>
          </a:solidFill>
          <a:round/>
          <a:headEnd/>
          <a:tailEnd/>
        </a:ln>
        <a:effectLst/>
      </xdr:spPr>
      <xdr:txBody>
        <a:bodyPr vertOverflow="clip" wrap="square" lIns="27432" tIns="22860" rIns="27432" bIns="22860" anchor="ctr" upright="1"/>
        <a:lstStyle/>
        <a:p>
          <a:pPr algn="ctr" rtl="0">
            <a:defRPr sz="1000"/>
          </a:pPr>
          <a:r>
            <a:rPr lang="en-AU" sz="1000" b="1" i="1" u="none" strike="noStrike" baseline="0">
              <a:solidFill>
                <a:srgbClr val="FFFFFF"/>
              </a:solidFill>
              <a:latin typeface="Arial"/>
              <a:cs typeface="Arial"/>
            </a:rPr>
            <a:t>RETURN TO HELP</a:t>
          </a:r>
        </a:p>
      </xdr:txBody>
    </xdr:sp>
    <xdr:clientData fPrintsWithSheet="0"/>
  </xdr:twoCellAnchor>
  <xdr:twoCellAnchor editAs="oneCell">
    <xdr:from>
      <xdr:col>13</xdr:col>
      <xdr:colOff>57150</xdr:colOff>
      <xdr:row>63</xdr:row>
      <xdr:rowOff>47625</xdr:rowOff>
    </xdr:from>
    <xdr:to>
      <xdr:col>17</xdr:col>
      <xdr:colOff>28575</xdr:colOff>
      <xdr:row>63</xdr:row>
      <xdr:rowOff>247650</xdr:rowOff>
    </xdr:to>
    <xdr:sp macro="" textlink="">
      <xdr:nvSpPr>
        <xdr:cNvPr id="5125" name="AutoShape 5">
          <a:hlinkClick xmlns:r="http://schemas.openxmlformats.org/officeDocument/2006/relationships" r:id="rId2" tooltip="Click here to return to the Calculator form"/>
        </xdr:cNvPr>
        <xdr:cNvSpPr>
          <a:spLocks noChangeArrowheads="1"/>
        </xdr:cNvSpPr>
      </xdr:nvSpPr>
      <xdr:spPr bwMode="auto">
        <a:xfrm>
          <a:off x="7248525" y="9982200"/>
          <a:ext cx="2114550" cy="200025"/>
        </a:xfrm>
        <a:prstGeom prst="roundRect">
          <a:avLst>
            <a:gd name="adj" fmla="val 16667"/>
          </a:avLst>
        </a:prstGeom>
        <a:gradFill rotWithShape="1">
          <a:gsLst>
            <a:gs pos="0">
              <a:srgbClr val="339966"/>
            </a:gs>
            <a:gs pos="100000">
              <a:srgbClr val="339966">
                <a:gamma/>
                <a:shade val="46275"/>
                <a:invGamma/>
              </a:srgbClr>
            </a:gs>
          </a:gsLst>
          <a:lin ang="5400000" scaled="1"/>
        </a:gradFill>
        <a:ln w="9525">
          <a:solidFill>
            <a:srgbClr val="008000"/>
          </a:solidFill>
          <a:round/>
          <a:headEnd/>
          <a:tailEnd/>
        </a:ln>
        <a:effectLst/>
      </xdr:spPr>
      <xdr:txBody>
        <a:bodyPr vertOverflow="clip" wrap="square" lIns="27432" tIns="22860" rIns="27432" bIns="22860" anchor="ctr" upright="1"/>
        <a:lstStyle/>
        <a:p>
          <a:pPr algn="ctr" rtl="0">
            <a:defRPr sz="1000"/>
          </a:pPr>
          <a:r>
            <a:rPr lang="en-AU" sz="1000" b="1" i="1" u="none" strike="noStrike" baseline="0">
              <a:solidFill>
                <a:srgbClr val="FFFFFF"/>
              </a:solidFill>
              <a:latin typeface="Arial"/>
              <a:cs typeface="Arial"/>
            </a:rPr>
            <a:t>RETURN TO CALCULATOR</a:t>
          </a:r>
        </a:p>
      </xdr:txBody>
    </xdr:sp>
    <xdr:clientData fPrintsWithSheet="0"/>
  </xdr:twoCellAnchor>
  <xdr:twoCellAnchor editAs="oneCell">
    <xdr:from>
      <xdr:col>13</xdr:col>
      <xdr:colOff>57150</xdr:colOff>
      <xdr:row>63</xdr:row>
      <xdr:rowOff>342900</xdr:rowOff>
    </xdr:from>
    <xdr:to>
      <xdr:col>17</xdr:col>
      <xdr:colOff>28575</xdr:colOff>
      <xdr:row>64</xdr:row>
      <xdr:rowOff>161192</xdr:rowOff>
    </xdr:to>
    <xdr:sp macro="" textlink="">
      <xdr:nvSpPr>
        <xdr:cNvPr id="5126" name="AutoShape 6">
          <a:hlinkClick xmlns:r="http://schemas.openxmlformats.org/officeDocument/2006/relationships" r:id="rId3" tooltip="Click here to return to the Help screen"/>
        </xdr:cNvPr>
        <xdr:cNvSpPr>
          <a:spLocks noChangeArrowheads="1"/>
        </xdr:cNvSpPr>
      </xdr:nvSpPr>
      <xdr:spPr bwMode="auto">
        <a:xfrm>
          <a:off x="7248525" y="10277475"/>
          <a:ext cx="2114550" cy="200025"/>
        </a:xfrm>
        <a:prstGeom prst="roundRect">
          <a:avLst>
            <a:gd name="adj" fmla="val 16667"/>
          </a:avLst>
        </a:prstGeom>
        <a:gradFill rotWithShape="1">
          <a:gsLst>
            <a:gs pos="0">
              <a:srgbClr val="FF0000"/>
            </a:gs>
            <a:gs pos="100000">
              <a:srgbClr val="FF0000">
                <a:gamma/>
                <a:shade val="46275"/>
                <a:invGamma/>
              </a:srgbClr>
            </a:gs>
          </a:gsLst>
          <a:lin ang="5400000" scaled="1"/>
        </a:gradFill>
        <a:ln w="9525">
          <a:solidFill>
            <a:srgbClr val="800000"/>
          </a:solidFill>
          <a:round/>
          <a:headEnd/>
          <a:tailEnd/>
        </a:ln>
        <a:effectLst/>
      </xdr:spPr>
      <xdr:txBody>
        <a:bodyPr vertOverflow="clip" wrap="square" lIns="27432" tIns="22860" rIns="27432" bIns="22860" anchor="ctr" upright="1"/>
        <a:lstStyle/>
        <a:p>
          <a:pPr algn="ctr" rtl="0">
            <a:defRPr sz="1000"/>
          </a:pPr>
          <a:r>
            <a:rPr lang="en-AU" sz="1000" b="1" i="1" u="none" strike="noStrike" baseline="0">
              <a:solidFill>
                <a:srgbClr val="FFFFFF"/>
              </a:solidFill>
              <a:latin typeface="Arial"/>
              <a:cs typeface="Arial"/>
            </a:rPr>
            <a:t>RETURN TO HELP</a:t>
          </a:r>
        </a:p>
      </xdr:txBody>
    </xdr:sp>
    <xdr:clientData fPrintsWithSheet="0"/>
  </xdr:twoCellAnchor>
  <xdr:twoCellAnchor editAs="oneCell">
    <xdr:from>
      <xdr:col>13</xdr:col>
      <xdr:colOff>57150</xdr:colOff>
      <xdr:row>122</xdr:row>
      <xdr:rowOff>47625</xdr:rowOff>
    </xdr:from>
    <xdr:to>
      <xdr:col>17</xdr:col>
      <xdr:colOff>28575</xdr:colOff>
      <xdr:row>122</xdr:row>
      <xdr:rowOff>247650</xdr:rowOff>
    </xdr:to>
    <xdr:sp macro="" textlink="">
      <xdr:nvSpPr>
        <xdr:cNvPr id="5127" name="AutoShape 7">
          <a:hlinkClick xmlns:r="http://schemas.openxmlformats.org/officeDocument/2006/relationships" r:id="rId2" tooltip="Click here to return to the Calculator form"/>
        </xdr:cNvPr>
        <xdr:cNvSpPr>
          <a:spLocks noChangeArrowheads="1"/>
        </xdr:cNvSpPr>
      </xdr:nvSpPr>
      <xdr:spPr bwMode="auto">
        <a:xfrm>
          <a:off x="7248525" y="19754850"/>
          <a:ext cx="2114550" cy="200025"/>
        </a:xfrm>
        <a:prstGeom prst="roundRect">
          <a:avLst>
            <a:gd name="adj" fmla="val 16667"/>
          </a:avLst>
        </a:prstGeom>
        <a:gradFill rotWithShape="1">
          <a:gsLst>
            <a:gs pos="0">
              <a:srgbClr val="339966"/>
            </a:gs>
            <a:gs pos="100000">
              <a:srgbClr val="339966">
                <a:gamma/>
                <a:shade val="46275"/>
                <a:invGamma/>
              </a:srgbClr>
            </a:gs>
          </a:gsLst>
          <a:lin ang="5400000" scaled="1"/>
        </a:gradFill>
        <a:ln w="9525">
          <a:solidFill>
            <a:srgbClr val="008000"/>
          </a:solidFill>
          <a:round/>
          <a:headEnd/>
          <a:tailEnd/>
        </a:ln>
        <a:effectLst/>
      </xdr:spPr>
      <xdr:txBody>
        <a:bodyPr vertOverflow="clip" wrap="square" lIns="27432" tIns="22860" rIns="27432" bIns="22860" anchor="ctr" upright="1"/>
        <a:lstStyle/>
        <a:p>
          <a:pPr algn="ctr" rtl="0">
            <a:defRPr sz="1000"/>
          </a:pPr>
          <a:r>
            <a:rPr lang="en-AU" sz="1000" b="1" i="1" u="none" strike="noStrike" baseline="0">
              <a:solidFill>
                <a:srgbClr val="FFFFFF"/>
              </a:solidFill>
              <a:latin typeface="Arial"/>
              <a:cs typeface="Arial"/>
            </a:rPr>
            <a:t>RETURN TO CALCULATOR</a:t>
          </a:r>
        </a:p>
      </xdr:txBody>
    </xdr:sp>
    <xdr:clientData fPrintsWithSheet="0"/>
  </xdr:twoCellAnchor>
  <xdr:twoCellAnchor editAs="oneCell">
    <xdr:from>
      <xdr:col>13</xdr:col>
      <xdr:colOff>57150</xdr:colOff>
      <xdr:row>122</xdr:row>
      <xdr:rowOff>342900</xdr:rowOff>
    </xdr:from>
    <xdr:to>
      <xdr:col>17</xdr:col>
      <xdr:colOff>28575</xdr:colOff>
      <xdr:row>124</xdr:row>
      <xdr:rowOff>0</xdr:rowOff>
    </xdr:to>
    <xdr:sp macro="" textlink="">
      <xdr:nvSpPr>
        <xdr:cNvPr id="5128" name="AutoShape 8">
          <a:hlinkClick xmlns:r="http://schemas.openxmlformats.org/officeDocument/2006/relationships" r:id="rId3" tooltip="Click here to return to the Help screen"/>
        </xdr:cNvPr>
        <xdr:cNvSpPr>
          <a:spLocks noChangeArrowheads="1"/>
        </xdr:cNvSpPr>
      </xdr:nvSpPr>
      <xdr:spPr bwMode="auto">
        <a:xfrm>
          <a:off x="7248525" y="20050125"/>
          <a:ext cx="2114550" cy="200025"/>
        </a:xfrm>
        <a:prstGeom prst="roundRect">
          <a:avLst>
            <a:gd name="adj" fmla="val 16667"/>
          </a:avLst>
        </a:prstGeom>
        <a:gradFill rotWithShape="1">
          <a:gsLst>
            <a:gs pos="0">
              <a:srgbClr val="FF0000"/>
            </a:gs>
            <a:gs pos="100000">
              <a:srgbClr val="FF0000">
                <a:gamma/>
                <a:shade val="46275"/>
                <a:invGamma/>
              </a:srgbClr>
            </a:gs>
          </a:gsLst>
          <a:lin ang="5400000" scaled="1"/>
        </a:gradFill>
        <a:ln w="9525">
          <a:solidFill>
            <a:srgbClr val="800000"/>
          </a:solidFill>
          <a:round/>
          <a:headEnd/>
          <a:tailEnd/>
        </a:ln>
        <a:effectLst/>
      </xdr:spPr>
      <xdr:txBody>
        <a:bodyPr vertOverflow="clip" wrap="square" lIns="27432" tIns="22860" rIns="27432" bIns="22860" anchor="ctr" upright="1"/>
        <a:lstStyle/>
        <a:p>
          <a:pPr algn="ctr" rtl="0">
            <a:defRPr sz="1000"/>
          </a:pPr>
          <a:r>
            <a:rPr lang="en-AU" sz="1000" b="1" i="1" u="none" strike="noStrike" baseline="0">
              <a:solidFill>
                <a:srgbClr val="FFFFFF"/>
              </a:solidFill>
              <a:latin typeface="Arial"/>
              <a:cs typeface="Arial"/>
            </a:rPr>
            <a:t>RETURN TO HELP</a:t>
          </a:r>
        </a:p>
      </xdr:txBody>
    </xdr:sp>
    <xdr:clientData fPrintsWithSheet="0"/>
  </xdr:twoCellAnchor>
  <xdr:twoCellAnchor editAs="oneCell">
    <xdr:from>
      <xdr:col>1</xdr:col>
      <xdr:colOff>114395</xdr:colOff>
      <xdr:row>126</xdr:row>
      <xdr:rowOff>0</xdr:rowOff>
    </xdr:from>
    <xdr:to>
      <xdr:col>17</xdr:col>
      <xdr:colOff>46404</xdr:colOff>
      <xdr:row>167</xdr:row>
      <xdr:rowOff>123493</xdr:rowOff>
    </xdr:to>
    <xdr:grpSp>
      <xdr:nvGrpSpPr>
        <xdr:cNvPr id="6" name="Group 5"/>
        <xdr:cNvGrpSpPr/>
      </xdr:nvGrpSpPr>
      <xdr:grpSpPr>
        <a:xfrm>
          <a:off x="228695" y="20574000"/>
          <a:ext cx="9152209" cy="6762418"/>
          <a:chOff x="228695" y="20574000"/>
          <a:chExt cx="9152209" cy="6762418"/>
        </a:xfrm>
      </xdr:grpSpPr>
      <xdr:pic>
        <xdr:nvPicPr>
          <xdr:cNvPr id="3" name="Picture 2"/>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28695" y="20574000"/>
            <a:ext cx="9152209" cy="6762418"/>
          </a:xfrm>
          <a:prstGeom prst="rect">
            <a:avLst/>
          </a:prstGeom>
        </xdr:spPr>
      </xdr:pic>
      <xdr:sp macro="" textlink="">
        <xdr:nvSpPr>
          <xdr:cNvPr id="31301" name="AutoShape 3653"/>
          <xdr:cNvSpPr>
            <a:spLocks noChangeArrowheads="1"/>
          </xdr:cNvSpPr>
        </xdr:nvSpPr>
        <xdr:spPr bwMode="auto">
          <a:xfrm>
            <a:off x="2463628" y="20929331"/>
            <a:ext cx="1612075" cy="1167696"/>
          </a:xfrm>
          <a:prstGeom prst="wedgeRoundRectCallout">
            <a:avLst>
              <a:gd name="adj1" fmla="val -50596"/>
              <a:gd name="adj2" fmla="val 82406"/>
              <a:gd name="adj3" fmla="val 16667"/>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spAutoFit/>
          </a:bodyPr>
          <a:lstStyle/>
          <a:p>
            <a:pPr algn="l" rtl="0">
              <a:defRPr sz="1000"/>
            </a:pPr>
            <a:r>
              <a:rPr lang="en-AU" sz="1000" b="1" i="0" u="none" strike="noStrike" baseline="0">
                <a:solidFill>
                  <a:srgbClr val="000000"/>
                </a:solidFill>
                <a:latin typeface="Arial"/>
                <a:cs typeface="Arial"/>
              </a:rPr>
              <a:t>Messages above the glazing elements table:</a:t>
            </a: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Red text and tan fill highlight inputs missing after glazing elements have been listed.</a:t>
            </a:r>
          </a:p>
          <a:p>
            <a:pPr algn="l" rtl="0">
              <a:defRPr sz="1000"/>
            </a:pPr>
            <a:endParaRPr lang="en-AU" sz="1000" b="0" i="0" u="none" strike="noStrike" baseline="0">
              <a:solidFill>
                <a:srgbClr val="000000"/>
              </a:solidFill>
              <a:latin typeface="Arial"/>
              <a:cs typeface="Arial"/>
            </a:endParaRPr>
          </a:p>
        </xdr:txBody>
      </xdr:sp>
      <xdr:sp macro="" textlink="">
        <xdr:nvSpPr>
          <xdr:cNvPr id="31302" name="AutoShape 3654"/>
          <xdr:cNvSpPr>
            <a:spLocks noChangeArrowheads="1"/>
          </xdr:cNvSpPr>
        </xdr:nvSpPr>
        <xdr:spPr bwMode="auto">
          <a:xfrm>
            <a:off x="3364649" y="23760783"/>
            <a:ext cx="1295065" cy="841365"/>
          </a:xfrm>
          <a:prstGeom prst="wedgeRoundRectCallout">
            <a:avLst>
              <a:gd name="adj1" fmla="val -50410"/>
              <a:gd name="adj2" fmla="val 91516"/>
              <a:gd name="adj3" fmla="val 16667"/>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spAutoFit/>
          </a:bodyPr>
          <a:lstStyle/>
          <a:p>
            <a:pPr algn="l" rtl="0">
              <a:defRPr sz="1000"/>
            </a:pPr>
            <a:r>
              <a:rPr lang="en-AU" sz="1000" b="1" i="0" u="none" strike="noStrike" baseline="0">
                <a:solidFill>
                  <a:srgbClr val="000000"/>
                </a:solidFill>
                <a:latin typeface="Arial"/>
                <a:cs typeface="Arial"/>
              </a:rPr>
              <a:t>Colour fills:</a:t>
            </a: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Cell colour highlights inputs mentioned in Error or Input alerts.</a:t>
            </a:r>
          </a:p>
          <a:p>
            <a:pPr algn="l" rtl="0">
              <a:defRPr sz="1000"/>
            </a:pPr>
            <a:endParaRPr lang="en-AU" sz="1000" b="0" i="0" u="none" strike="noStrike" baseline="0">
              <a:solidFill>
                <a:srgbClr val="000000"/>
              </a:solidFill>
              <a:latin typeface="Arial"/>
              <a:cs typeface="Arial"/>
            </a:endParaRPr>
          </a:p>
        </xdr:txBody>
      </xdr:sp>
      <xdr:sp macro="" textlink="">
        <xdr:nvSpPr>
          <xdr:cNvPr id="31303" name="AutoShape 3655"/>
          <xdr:cNvSpPr>
            <a:spLocks noChangeArrowheads="1"/>
          </xdr:cNvSpPr>
        </xdr:nvSpPr>
        <xdr:spPr bwMode="auto">
          <a:xfrm>
            <a:off x="6942880" y="21617807"/>
            <a:ext cx="1372445" cy="1004530"/>
          </a:xfrm>
          <a:prstGeom prst="wedgeRoundRectCallout">
            <a:avLst>
              <a:gd name="adj1" fmla="val -50728"/>
              <a:gd name="adj2" fmla="val 110604"/>
              <a:gd name="adj3" fmla="val 16667"/>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spAutoFit/>
          </a:bodyPr>
          <a:lstStyle/>
          <a:p>
            <a:pPr algn="l" rtl="0">
              <a:defRPr sz="1000"/>
            </a:pPr>
            <a:r>
              <a:rPr lang="en-AU" sz="1000" b="1" i="0" u="none" strike="noStrike" baseline="0">
                <a:solidFill>
                  <a:srgbClr val="000000"/>
                </a:solidFill>
                <a:latin typeface="Arial"/>
                <a:cs typeface="Arial"/>
              </a:rPr>
              <a:t>Input issues alert:</a:t>
            </a: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Calculated outcomes are hidden until all input issues are resolved.</a:t>
            </a:r>
          </a:p>
          <a:p>
            <a:pPr algn="l" rtl="0">
              <a:defRPr sz="1000"/>
            </a:pPr>
            <a:endParaRPr lang="en-AU" sz="1000" b="0" i="0" u="none" strike="noStrike" baseline="0">
              <a:solidFill>
                <a:srgbClr val="000000"/>
              </a:solidFill>
              <a:latin typeface="Arial"/>
              <a:cs typeface="Arial"/>
            </a:endParaRPr>
          </a:p>
        </xdr:txBody>
      </xdr:sp>
      <xdr:sp macro="" textlink="">
        <xdr:nvSpPr>
          <xdr:cNvPr id="31304" name="AutoShape 3656"/>
          <xdr:cNvSpPr>
            <a:spLocks noChangeArrowheads="1"/>
          </xdr:cNvSpPr>
        </xdr:nvSpPr>
        <xdr:spPr bwMode="auto">
          <a:xfrm>
            <a:off x="7041194" y="23502262"/>
            <a:ext cx="1875347" cy="1657191"/>
          </a:xfrm>
          <a:prstGeom prst="wedgeRoundRectCallout">
            <a:avLst>
              <a:gd name="adj1" fmla="val -49553"/>
              <a:gd name="adj2" fmla="val 71736"/>
              <a:gd name="adj3" fmla="val 16667"/>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spAutoFit/>
          </a:bodyPr>
          <a:lstStyle/>
          <a:p>
            <a:pPr algn="l" rtl="0">
              <a:defRPr sz="1000"/>
            </a:pPr>
            <a:r>
              <a:rPr lang="en-AU" sz="1000" b="1" i="0" u="none" strike="noStrike" baseline="0">
                <a:solidFill>
                  <a:srgbClr val="000000"/>
                </a:solidFill>
                <a:latin typeface="Arial"/>
                <a:cs typeface="Arial"/>
              </a:rPr>
              <a:t>Messages within the glazing elements table:</a:t>
            </a: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Each message here refers to the individual row in which it appears. In the first case, the glazing element has no size information. Height and Width are needed or (optionally) a value for the element area.</a:t>
            </a:r>
          </a:p>
          <a:p>
            <a:pPr algn="l" rtl="0">
              <a:defRPr sz="1000"/>
            </a:pPr>
            <a:endParaRPr lang="en-AU" sz="1000" b="0" i="0" u="none" strike="noStrike" baseline="0">
              <a:solidFill>
                <a:srgbClr val="000000"/>
              </a:solidFill>
              <a:latin typeface="Arial"/>
              <a:cs typeface="Arial"/>
            </a:endParaRPr>
          </a:p>
        </xdr:txBody>
      </xdr:sp>
    </xdr:grpSp>
    <xdr:clientData/>
  </xdr:twoCellAnchor>
  <xdr:twoCellAnchor editAs="oneCell">
    <xdr:from>
      <xdr:col>1</xdr:col>
      <xdr:colOff>183063</xdr:colOff>
      <xdr:row>6</xdr:row>
      <xdr:rowOff>85725</xdr:rowOff>
    </xdr:from>
    <xdr:to>
      <xdr:col>16</xdr:col>
      <xdr:colOff>234697</xdr:colOff>
      <xdr:row>46</xdr:row>
      <xdr:rowOff>112385</xdr:rowOff>
    </xdr:to>
    <xdr:grpSp>
      <xdr:nvGrpSpPr>
        <xdr:cNvPr id="2" name="Group 1"/>
        <xdr:cNvGrpSpPr/>
      </xdr:nvGrpSpPr>
      <xdr:grpSpPr>
        <a:xfrm>
          <a:off x="297363" y="790575"/>
          <a:ext cx="8957509" cy="6503660"/>
          <a:chOff x="297363" y="790575"/>
          <a:chExt cx="8957509" cy="6503660"/>
        </a:xfrm>
      </xdr:grpSpPr>
      <xdr:sp macro="" textlink="">
        <xdr:nvSpPr>
          <xdr:cNvPr id="31289" name="AutoShape 3641"/>
          <xdr:cNvSpPr>
            <a:spLocks noChangeArrowheads="1"/>
          </xdr:cNvSpPr>
        </xdr:nvSpPr>
        <xdr:spPr bwMode="auto">
          <a:xfrm>
            <a:off x="297363" y="1400176"/>
            <a:ext cx="1908657" cy="1966183"/>
          </a:xfrm>
          <a:prstGeom prst="wedgeRoundRectCallout">
            <a:avLst>
              <a:gd name="adj1" fmla="val 41191"/>
              <a:gd name="adj2" fmla="val 69490"/>
              <a:gd name="adj3" fmla="val 16667"/>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spAutoFit/>
          </a:bodyPr>
          <a:lstStyle/>
          <a:p>
            <a:pPr algn="l" rtl="0">
              <a:defRPr sz="1000"/>
            </a:pPr>
            <a:r>
              <a:rPr lang="en-AU" sz="1000" b="1" i="0" u="none" strike="noStrike" baseline="0">
                <a:solidFill>
                  <a:srgbClr val="000000"/>
                </a:solidFill>
                <a:latin typeface="Arial"/>
                <a:cs typeface="Arial"/>
              </a:rPr>
              <a:t>To change the number of rows displayed (step 1 of 2):</a:t>
            </a: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Input the required number of rows here and press Enter. Note the advice in red to the right of the number.</a:t>
            </a:r>
          </a:p>
          <a:p>
            <a:pPr algn="l" rtl="0">
              <a:defRPr sz="1000"/>
            </a:pP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(This cell will not accept numbers that would cause rows with data to be hidden.)</a:t>
            </a:r>
          </a:p>
          <a:p>
            <a:pPr algn="l" rtl="0">
              <a:defRPr sz="1000"/>
            </a:pPr>
            <a:endParaRPr lang="en-AU" sz="1000" b="0" i="0" u="none" strike="noStrike" baseline="0">
              <a:solidFill>
                <a:srgbClr val="000000"/>
              </a:solidFill>
              <a:latin typeface="Arial"/>
              <a:cs typeface="Arial"/>
            </a:endParaRPr>
          </a:p>
        </xdr:txBody>
      </xdr:sp>
      <xdr:sp macro="" textlink="">
        <xdr:nvSpPr>
          <xdr:cNvPr id="5" name="Rounded Rectangle 4"/>
          <xdr:cNvSpPr/>
        </xdr:nvSpPr>
        <xdr:spPr>
          <a:xfrm>
            <a:off x="2876356" y="1170825"/>
            <a:ext cx="322644" cy="618585"/>
          </a:xfrm>
          <a:prstGeom prst="roundRect">
            <a:avLst/>
          </a:prstGeom>
          <a:noFill/>
          <a:ln>
            <a:solidFill>
              <a:srgbClr val="FF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sp macro="" textlink="">
        <xdr:nvSpPr>
          <xdr:cNvPr id="31" name="Rounded Rectangle 30"/>
          <xdr:cNvSpPr/>
        </xdr:nvSpPr>
        <xdr:spPr>
          <a:xfrm>
            <a:off x="8083657" y="7112851"/>
            <a:ext cx="1171215" cy="181384"/>
          </a:xfrm>
          <a:prstGeom prst="roundRect">
            <a:avLst/>
          </a:prstGeom>
          <a:noFill/>
          <a:ln>
            <a:solidFill>
              <a:srgbClr val="FF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sp macro="" textlink="">
        <xdr:nvSpPr>
          <xdr:cNvPr id="30" name="AutoShape 3640"/>
          <xdr:cNvSpPr>
            <a:spLocks noChangeArrowheads="1"/>
          </xdr:cNvSpPr>
        </xdr:nvSpPr>
        <xdr:spPr bwMode="auto">
          <a:xfrm>
            <a:off x="7213222" y="5937754"/>
            <a:ext cx="1228152" cy="841365"/>
          </a:xfrm>
          <a:prstGeom prst="wedgeRoundRectCallout">
            <a:avLst>
              <a:gd name="adj1" fmla="val 37456"/>
              <a:gd name="adj2" fmla="val 93967"/>
              <a:gd name="adj3" fmla="val 16667"/>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spAutoFit/>
          </a:bodyPr>
          <a:lstStyle/>
          <a:p>
            <a:pPr algn="l" rtl="0">
              <a:defRPr sz="1000"/>
            </a:pPr>
            <a:r>
              <a:rPr lang="en-AU" sz="1000" b="1" i="0" u="none" strike="noStrike" baseline="0">
                <a:solidFill>
                  <a:srgbClr val="000000"/>
                </a:solidFill>
                <a:latin typeface="Arial"/>
                <a:cs typeface="Arial"/>
              </a:rPr>
              <a:t>Status bar zoom controls:</a:t>
            </a: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In Excel 2007 and later for Windows.</a:t>
            </a:r>
          </a:p>
          <a:p>
            <a:pPr algn="l" rtl="0">
              <a:defRPr sz="1000"/>
            </a:pPr>
            <a:endParaRPr lang="en-AU" sz="1000" b="0" i="0" u="none" strike="noStrike" baseline="0">
              <a:solidFill>
                <a:srgbClr val="000000"/>
              </a:solidFill>
              <a:latin typeface="Arial"/>
              <a:cs typeface="Arial"/>
            </a:endParaRPr>
          </a:p>
        </xdr:txBody>
      </xdr:sp>
      <xdr:sp macro="" textlink="">
        <xdr:nvSpPr>
          <xdr:cNvPr id="32" name="Rounded Rectangle 31"/>
          <xdr:cNvSpPr/>
        </xdr:nvSpPr>
        <xdr:spPr>
          <a:xfrm>
            <a:off x="308644" y="5650964"/>
            <a:ext cx="570706" cy="392907"/>
          </a:xfrm>
          <a:prstGeom prst="roundRect">
            <a:avLst/>
          </a:prstGeom>
          <a:noFill/>
          <a:ln>
            <a:solidFill>
              <a:srgbClr val="FF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sp macro="" textlink="">
        <xdr:nvSpPr>
          <xdr:cNvPr id="31290" name="AutoShape 3642"/>
          <xdr:cNvSpPr>
            <a:spLocks noChangeArrowheads="1"/>
          </xdr:cNvSpPr>
        </xdr:nvSpPr>
        <xdr:spPr bwMode="auto">
          <a:xfrm>
            <a:off x="731934" y="3912270"/>
            <a:ext cx="1960849" cy="1494026"/>
          </a:xfrm>
          <a:prstGeom prst="wedgeRoundRectCallout">
            <a:avLst>
              <a:gd name="adj1" fmla="val -46381"/>
              <a:gd name="adj2" fmla="val 85832"/>
              <a:gd name="adj3" fmla="val 16667"/>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spAutoFit/>
          </a:bodyPr>
          <a:lstStyle/>
          <a:p>
            <a:pPr algn="l" rtl="0">
              <a:defRPr sz="1000"/>
            </a:pPr>
            <a:r>
              <a:rPr lang="en-AU" sz="1000" b="1" i="0" u="none" strike="noStrike" baseline="0">
                <a:solidFill>
                  <a:srgbClr val="000000"/>
                </a:solidFill>
                <a:latin typeface="Arial"/>
                <a:cs typeface="Arial"/>
              </a:rPr>
              <a:t>To change the number of rows displayed (step 2 of 2):</a:t>
            </a:r>
          </a:p>
          <a:p>
            <a:pPr algn="l" rtl="0">
              <a:defRPr sz="1000"/>
            </a:pPr>
            <a:r>
              <a:rPr lang="en-AU" sz="1000" b="0" i="0" u="none" strike="noStrike" baseline="0">
                <a:solidFill>
                  <a:srgbClr val="000000"/>
                </a:solidFill>
                <a:latin typeface="Arial"/>
                <a:cs typeface="Arial"/>
              </a:rPr>
              <a:t>Click the arrow in the red filled cell and then select the only number in the drop down list. </a:t>
            </a:r>
          </a:p>
          <a:p>
            <a:pPr algn="l" rtl="0">
              <a:defRPr sz="1000"/>
            </a:pP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(This number will always match the number set in step 1.)</a:t>
            </a:r>
          </a:p>
          <a:p>
            <a:pPr algn="l" rtl="0">
              <a:defRPr sz="1000"/>
            </a:pPr>
            <a:endParaRPr lang="en-AU" sz="1000" b="0" i="0" u="none" strike="noStrike" baseline="0">
              <a:solidFill>
                <a:srgbClr val="000000"/>
              </a:solidFill>
              <a:latin typeface="Arial"/>
              <a:cs typeface="Arial"/>
            </a:endParaRPr>
          </a:p>
        </xdr:txBody>
      </xdr:sp>
      <xdr:sp macro="" textlink="">
        <xdr:nvSpPr>
          <xdr:cNvPr id="31288" name="AutoShape 3640"/>
          <xdr:cNvSpPr>
            <a:spLocks noChangeArrowheads="1"/>
          </xdr:cNvSpPr>
        </xdr:nvSpPr>
        <xdr:spPr bwMode="auto">
          <a:xfrm>
            <a:off x="4054623" y="790575"/>
            <a:ext cx="1612752" cy="1330861"/>
          </a:xfrm>
          <a:prstGeom prst="wedgeRoundRectCallout">
            <a:avLst>
              <a:gd name="adj1" fmla="val -62523"/>
              <a:gd name="adj2" fmla="val 100384"/>
              <a:gd name="adj3" fmla="val 16667"/>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spAutoFit/>
          </a:bodyPr>
          <a:lstStyle/>
          <a:p>
            <a:pPr algn="l" rtl="0">
              <a:defRPr sz="1000"/>
            </a:pPr>
            <a:r>
              <a:rPr lang="en-AU" sz="1000" b="1" i="0" u="none" strike="noStrike" baseline="0">
                <a:solidFill>
                  <a:srgbClr val="000000"/>
                </a:solidFill>
                <a:latin typeface="Arial"/>
                <a:cs typeface="Arial"/>
              </a:rPr>
              <a:t>To change the size of the form on screen:</a:t>
            </a: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Use the Zoom box on the Ribbon or adjust the slider on the Status Bar (below right - in Windows only).</a:t>
            </a:r>
          </a:p>
          <a:p>
            <a:pPr algn="l" rtl="0">
              <a:defRPr sz="1000"/>
            </a:pPr>
            <a:endParaRPr lang="en-AU" sz="1000" b="0" i="0" u="none" strike="noStrike" baseline="0">
              <a:solidFill>
                <a:srgbClr val="000000"/>
              </a:solidFill>
              <a:latin typeface="Arial"/>
              <a:cs typeface="Arial"/>
            </a:endParaRPr>
          </a:p>
        </xdr:txBody>
      </xdr:sp>
    </xdr:grpSp>
    <xdr:clientData/>
  </xdr:twoCellAnchor>
  <xdr:twoCellAnchor editAs="oneCell">
    <xdr:from>
      <xdr:col>5</xdr:col>
      <xdr:colOff>561975</xdr:colOff>
      <xdr:row>13</xdr:row>
      <xdr:rowOff>0</xdr:rowOff>
    </xdr:from>
    <xdr:to>
      <xdr:col>7</xdr:col>
      <xdr:colOff>344468</xdr:colOff>
      <xdr:row>20</xdr:row>
      <xdr:rowOff>142875</xdr:rowOff>
    </xdr:to>
    <xdr:pic>
      <xdr:nvPicPr>
        <xdr:cNvPr id="8" name="Picture 7"/>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876550" y="1838325"/>
          <a:ext cx="1001693" cy="1276350"/>
        </a:xfrm>
        <a:prstGeom prst="rect">
          <a:avLst/>
        </a:prstGeom>
      </xdr:spPr>
    </xdr:pic>
    <xdr:clientData/>
  </xdr:twoCellAnchor>
  <xdr:twoCellAnchor editAs="oneCell">
    <xdr:from>
      <xdr:col>1</xdr:col>
      <xdr:colOff>56779</xdr:colOff>
      <xdr:row>64</xdr:row>
      <xdr:rowOff>142875</xdr:rowOff>
    </xdr:from>
    <xdr:to>
      <xdr:col>17</xdr:col>
      <xdr:colOff>10105</xdr:colOff>
      <xdr:row>108</xdr:row>
      <xdr:rowOff>123503</xdr:rowOff>
    </xdr:to>
    <xdr:grpSp>
      <xdr:nvGrpSpPr>
        <xdr:cNvPr id="4" name="Group 3"/>
        <xdr:cNvGrpSpPr/>
      </xdr:nvGrpSpPr>
      <xdr:grpSpPr>
        <a:xfrm>
          <a:off x="171079" y="10458450"/>
          <a:ext cx="9173526" cy="7105328"/>
          <a:chOff x="171079" y="10458450"/>
          <a:chExt cx="9173526" cy="7105328"/>
        </a:xfrm>
      </xdr:grpSpPr>
      <xdr:pic>
        <xdr:nvPicPr>
          <xdr:cNvPr id="11" name="Picture 10"/>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1995" y="10801361"/>
            <a:ext cx="9172610" cy="6762417"/>
          </a:xfrm>
          <a:prstGeom prst="rect">
            <a:avLst/>
          </a:prstGeom>
        </xdr:spPr>
      </xdr:pic>
      <xdr:sp macro="" textlink="">
        <xdr:nvSpPr>
          <xdr:cNvPr id="39" name="AutoShape 3645"/>
          <xdr:cNvSpPr>
            <a:spLocks noChangeArrowheads="1"/>
          </xdr:cNvSpPr>
        </xdr:nvSpPr>
        <xdr:spPr bwMode="auto">
          <a:xfrm>
            <a:off x="3199132" y="12528854"/>
            <a:ext cx="1532107" cy="1167696"/>
          </a:xfrm>
          <a:prstGeom prst="wedgeRoundRectCallout">
            <a:avLst>
              <a:gd name="adj1" fmla="val -50625"/>
              <a:gd name="adj2" fmla="val 81796"/>
              <a:gd name="adj3" fmla="val 16667"/>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spAutoFit/>
          </a:bodyPr>
          <a:lstStyle/>
          <a:p>
            <a:pPr algn="l" rtl="0">
              <a:defRPr sz="1000"/>
            </a:pPr>
            <a:r>
              <a:rPr lang="en-AU" sz="1000" b="1" i="0" u="none" strike="noStrike" baseline="0">
                <a:solidFill>
                  <a:srgbClr val="000000"/>
                </a:solidFill>
                <a:latin typeface="Arial"/>
                <a:cs typeface="Arial"/>
              </a:rPr>
              <a:t>Cell tips:</a:t>
            </a: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Cells with red triangles have popup tips with advice or explanations about inputs or outcomes.</a:t>
            </a:r>
          </a:p>
          <a:p>
            <a:pPr algn="l" rtl="0">
              <a:defRPr sz="1000"/>
            </a:pPr>
            <a:endParaRPr lang="en-AU" sz="1000" b="0" i="0" u="none" strike="noStrike" baseline="0">
              <a:solidFill>
                <a:srgbClr val="000000"/>
              </a:solidFill>
              <a:latin typeface="Arial"/>
              <a:cs typeface="Arial"/>
            </a:endParaRPr>
          </a:p>
        </xdr:txBody>
      </xdr:sp>
      <xdr:sp macro="" textlink="">
        <xdr:nvSpPr>
          <xdr:cNvPr id="40" name="AutoShape 3645"/>
          <xdr:cNvSpPr>
            <a:spLocks noChangeArrowheads="1"/>
          </xdr:cNvSpPr>
        </xdr:nvSpPr>
        <xdr:spPr bwMode="auto">
          <a:xfrm>
            <a:off x="171079" y="10458450"/>
            <a:ext cx="2026989" cy="1494026"/>
          </a:xfrm>
          <a:prstGeom prst="wedgeRoundRectCallout">
            <a:avLst>
              <a:gd name="adj1" fmla="val -38735"/>
              <a:gd name="adj2" fmla="val 78794"/>
              <a:gd name="adj3" fmla="val 16667"/>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spAutoFit/>
          </a:bodyPr>
          <a:lstStyle/>
          <a:p>
            <a:pPr algn="l" rtl="0">
              <a:defRPr sz="1000"/>
            </a:pPr>
            <a:r>
              <a:rPr lang="en-AU" sz="1000" b="1" i="0" u="none" strike="noStrike" baseline="0">
                <a:solidFill>
                  <a:srgbClr val="000000"/>
                </a:solidFill>
                <a:latin typeface="Arial"/>
                <a:cs typeface="Arial"/>
              </a:rPr>
              <a:t>Inputs above the glazing elements table:</a:t>
            </a: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Upper inputs should be completed before listing glazing elements. Initial green fill (as seen in Screenshot 1 above) will be replaced by yellow as data is entered.</a:t>
            </a:r>
          </a:p>
          <a:p>
            <a:pPr algn="l" rtl="0">
              <a:defRPr sz="1000"/>
            </a:pPr>
            <a:endParaRPr lang="en-AU" sz="1000" b="0" i="0" u="none" strike="noStrike" baseline="0">
              <a:solidFill>
                <a:srgbClr val="000000"/>
              </a:solidFill>
              <a:latin typeface="Arial"/>
              <a:cs typeface="Arial"/>
            </a:endParaRPr>
          </a:p>
        </xdr:txBody>
      </xdr:sp>
      <xdr:sp macro="" textlink="">
        <xdr:nvSpPr>
          <xdr:cNvPr id="44" name="AutoShape 3648"/>
          <xdr:cNvSpPr>
            <a:spLocks noChangeArrowheads="1"/>
          </xdr:cNvSpPr>
        </xdr:nvSpPr>
        <xdr:spPr bwMode="auto">
          <a:xfrm>
            <a:off x="370735" y="14216334"/>
            <a:ext cx="1827671" cy="1330861"/>
          </a:xfrm>
          <a:prstGeom prst="wedgeRoundRectCallout">
            <a:avLst>
              <a:gd name="adj1" fmla="val 44848"/>
              <a:gd name="adj2" fmla="val 79545"/>
              <a:gd name="adj3" fmla="val 16667"/>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spAutoFit/>
          </a:bodyPr>
          <a:lstStyle/>
          <a:p>
            <a:pPr algn="l" rtl="0">
              <a:defRPr sz="1000"/>
            </a:pPr>
            <a:r>
              <a:rPr lang="en-AU" sz="1000" b="1" i="0" u="none" strike="noStrike" baseline="0">
                <a:solidFill>
                  <a:srgbClr val="000000"/>
                </a:solidFill>
                <a:latin typeface="Arial"/>
                <a:cs typeface="Arial"/>
              </a:rPr>
              <a:t>Inputs to the glazing elements table:</a:t>
            </a: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Rows remain uncoloured until the Facing sector input has been given. Yellow filled cells in each row accept user inputs.</a:t>
            </a:r>
          </a:p>
          <a:p>
            <a:pPr algn="l" rtl="0">
              <a:defRPr sz="1000"/>
            </a:pPr>
            <a:endParaRPr lang="en-AU" sz="1000" b="0" i="0" u="none" strike="noStrike" baseline="0">
              <a:solidFill>
                <a:srgbClr val="000000"/>
              </a:solidFill>
              <a:latin typeface="Arial"/>
              <a:cs typeface="Arial"/>
            </a:endParaRPr>
          </a:p>
        </xdr:txBody>
      </xdr:sp>
      <xdr:sp macro="" textlink="">
        <xdr:nvSpPr>
          <xdr:cNvPr id="45" name="Rounded Rectangle 44"/>
          <xdr:cNvSpPr/>
        </xdr:nvSpPr>
        <xdr:spPr>
          <a:xfrm>
            <a:off x="2066503" y="17236693"/>
            <a:ext cx="559987" cy="191111"/>
          </a:xfrm>
          <a:prstGeom prst="roundRect">
            <a:avLst/>
          </a:prstGeom>
          <a:noFill/>
          <a:ln>
            <a:solidFill>
              <a:srgbClr val="FF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sp macro="" textlink="">
        <xdr:nvSpPr>
          <xdr:cNvPr id="43" name="AutoShape 3646"/>
          <xdr:cNvSpPr>
            <a:spLocks noChangeArrowheads="1"/>
          </xdr:cNvSpPr>
        </xdr:nvSpPr>
        <xdr:spPr bwMode="auto">
          <a:xfrm>
            <a:off x="847611" y="15874276"/>
            <a:ext cx="1304314" cy="1167696"/>
          </a:xfrm>
          <a:prstGeom prst="wedgeRoundRectCallout">
            <a:avLst>
              <a:gd name="adj1" fmla="val 48542"/>
              <a:gd name="adj2" fmla="val 76551"/>
              <a:gd name="adj3" fmla="val 16667"/>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spAutoFit/>
          </a:bodyPr>
          <a:lstStyle/>
          <a:p>
            <a:pPr algn="l" rtl="0">
              <a:defRPr sz="1000"/>
            </a:pPr>
            <a:r>
              <a:rPr lang="en-AU" sz="1000" b="1" i="0" u="none" strike="noStrike" baseline="0">
                <a:solidFill>
                  <a:srgbClr val="000000"/>
                </a:solidFill>
                <a:latin typeface="Arial"/>
                <a:cs typeface="Arial"/>
              </a:rPr>
              <a:t>Users' worksheet:</a:t>
            </a: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The worksheet on this tab allows for recording of notes and calculations (if desired).</a:t>
            </a:r>
          </a:p>
          <a:p>
            <a:pPr algn="l" rtl="0">
              <a:defRPr sz="1000"/>
            </a:pPr>
            <a:endParaRPr lang="en-AU" sz="1000" b="0" i="0" u="none" strike="noStrike" baseline="0">
              <a:solidFill>
                <a:srgbClr val="000000"/>
              </a:solidFill>
              <a:latin typeface="Arial"/>
              <a:cs typeface="Arial"/>
            </a:endParaRPr>
          </a:p>
        </xdr:txBody>
      </xdr:sp>
      <xdr:sp macro="" textlink="">
        <xdr:nvSpPr>
          <xdr:cNvPr id="46" name="AutoShape 3647"/>
          <xdr:cNvSpPr>
            <a:spLocks noChangeArrowheads="1"/>
          </xdr:cNvSpPr>
        </xdr:nvSpPr>
        <xdr:spPr bwMode="auto">
          <a:xfrm>
            <a:off x="7483733" y="11442106"/>
            <a:ext cx="1408719" cy="1004530"/>
          </a:xfrm>
          <a:prstGeom prst="wedgeRoundRectCallout">
            <a:avLst>
              <a:gd name="adj1" fmla="val 674"/>
              <a:gd name="adj2" fmla="val 110912"/>
              <a:gd name="adj3" fmla="val 16667"/>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spAutoFit/>
          </a:bodyPr>
          <a:lstStyle/>
          <a:p>
            <a:pPr algn="l" rtl="0">
              <a:defRPr sz="1000"/>
            </a:pPr>
            <a:r>
              <a:rPr lang="en-AU" sz="1000" b="1" i="0" u="none" strike="noStrike" baseline="0">
                <a:solidFill>
                  <a:srgbClr val="000000"/>
                </a:solidFill>
                <a:latin typeface="Arial"/>
                <a:cs typeface="Arial"/>
              </a:rPr>
              <a:t>Glazing allowances:</a:t>
            </a: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The Calculator provides these details once necessary inputs have been given.</a:t>
            </a:r>
          </a:p>
          <a:p>
            <a:pPr algn="l" rtl="0">
              <a:defRPr sz="1000"/>
            </a:pPr>
            <a:endParaRPr lang="en-AU" sz="1000" b="0" i="0" u="none" strike="noStrike" baseline="0">
              <a:solidFill>
                <a:srgbClr val="000000"/>
              </a:solidFill>
              <a:latin typeface="Arial"/>
              <a:cs typeface="Arial"/>
            </a:endParaRPr>
          </a:p>
        </xdr:txBody>
      </xdr:sp>
      <xdr:sp macro="" textlink="">
        <xdr:nvSpPr>
          <xdr:cNvPr id="47" name="AutoShape 3649"/>
          <xdr:cNvSpPr>
            <a:spLocks noChangeArrowheads="1"/>
          </xdr:cNvSpPr>
        </xdr:nvSpPr>
        <xdr:spPr bwMode="auto">
          <a:xfrm>
            <a:off x="5408923" y="12096844"/>
            <a:ext cx="1608035" cy="1494026"/>
          </a:xfrm>
          <a:prstGeom prst="wedgeRoundRectCallout">
            <a:avLst>
              <a:gd name="adj1" fmla="val -37122"/>
              <a:gd name="adj2" fmla="val 67207"/>
              <a:gd name="adj3" fmla="val 16667"/>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spAutoFit/>
          </a:bodyPr>
          <a:lstStyle/>
          <a:p>
            <a:pPr algn="l" rtl="0">
              <a:defRPr sz="1000"/>
            </a:pPr>
            <a:r>
              <a:rPr lang="en-AU" sz="1000" b="1" i="0" u="none" strike="noStrike" baseline="0">
                <a:solidFill>
                  <a:srgbClr val="000000"/>
                </a:solidFill>
                <a:latin typeface="Arial"/>
                <a:cs typeface="Arial"/>
              </a:rPr>
              <a:t>Calculation data:</a:t>
            </a: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Light green filled columns show results of user inputs to the left. These results are for information and cannot be modified except by changing the inputs.</a:t>
            </a:r>
          </a:p>
          <a:p>
            <a:pPr algn="l" rtl="0">
              <a:defRPr sz="1000"/>
            </a:pPr>
            <a:endParaRPr lang="en-AU" sz="1000" b="0" i="0" u="none" strike="noStrike" baseline="0">
              <a:solidFill>
                <a:srgbClr val="000000"/>
              </a:solidFill>
              <a:latin typeface="Arial"/>
              <a:cs typeface="Arial"/>
            </a:endParaRPr>
          </a:p>
        </xdr:txBody>
      </xdr:sp>
      <xdr:sp macro="" textlink="">
        <xdr:nvSpPr>
          <xdr:cNvPr id="48" name="AutoShape 3650"/>
          <xdr:cNvSpPr>
            <a:spLocks noChangeArrowheads="1"/>
          </xdr:cNvSpPr>
        </xdr:nvSpPr>
        <xdr:spPr bwMode="auto">
          <a:xfrm>
            <a:off x="7379632" y="14005793"/>
            <a:ext cx="1875794" cy="1657191"/>
          </a:xfrm>
          <a:prstGeom prst="wedgeRoundRectCallout">
            <a:avLst>
              <a:gd name="adj1" fmla="val 4114"/>
              <a:gd name="adj2" fmla="val 67281"/>
              <a:gd name="adj3" fmla="val 16667"/>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spAutoFit/>
          </a:bodyPr>
          <a:lstStyle/>
          <a:p>
            <a:pPr algn="l" rtl="0">
              <a:defRPr sz="1000"/>
            </a:pPr>
            <a:r>
              <a:rPr lang="en-AU" sz="1000" b="1" i="0" u="none" strike="noStrike" baseline="0">
                <a:solidFill>
                  <a:srgbClr val="000000"/>
                </a:solidFill>
                <a:latin typeface="Arial"/>
                <a:cs typeface="Arial"/>
              </a:rPr>
              <a:t>Calculated outcomes:</a:t>
            </a: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Outcomes for the glazing design appear here (unless the Calculator identifies input issues).</a:t>
            </a:r>
          </a:p>
          <a:p>
            <a:pPr algn="l" rtl="0">
              <a:defRPr sz="1000"/>
            </a:pPr>
            <a:r>
              <a:rPr lang="en-AU" sz="1000" b="0" i="0" u="none" strike="noStrike" baseline="0">
                <a:solidFill>
                  <a:srgbClr val="000000"/>
                </a:solidFill>
                <a:latin typeface="Arial"/>
                <a:cs typeface="Arial"/>
              </a:rPr>
              <a:t>The column headings, a tick and green cell fill indicate passes.  A cross and red cell fill highlight failures.</a:t>
            </a:r>
          </a:p>
          <a:p>
            <a:pPr algn="l" rtl="0">
              <a:defRPr sz="1000"/>
            </a:pPr>
            <a:endParaRPr lang="en-AU" sz="1000" b="0" i="0" u="none" strike="noStrike" baseline="0">
              <a:solidFill>
                <a:srgbClr val="000000"/>
              </a:solidFill>
              <a:latin typeface="Arial"/>
              <a:cs typeface="Arial"/>
            </a:endParaRPr>
          </a:p>
        </xdr:txBody>
      </xdr:sp>
      <xdr:sp macro="" textlink="">
        <xdr:nvSpPr>
          <xdr:cNvPr id="38" name="AutoShape 3645"/>
          <xdr:cNvSpPr>
            <a:spLocks noChangeArrowheads="1"/>
          </xdr:cNvSpPr>
        </xdr:nvSpPr>
        <xdr:spPr bwMode="auto">
          <a:xfrm>
            <a:off x="2351966" y="10934700"/>
            <a:ext cx="2143834" cy="1494026"/>
          </a:xfrm>
          <a:prstGeom prst="wedgeRoundRectCallout">
            <a:avLst>
              <a:gd name="adj1" fmla="val -47235"/>
              <a:gd name="adj2" fmla="val 76890"/>
              <a:gd name="adj3" fmla="val 16667"/>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spAutoFit/>
          </a:bodyPr>
          <a:lstStyle/>
          <a:p>
            <a:pPr algn="l" rtl="0">
              <a:defRPr sz="1000"/>
            </a:pPr>
            <a:r>
              <a:rPr lang="en-AU" sz="1000" b="1" i="0" u="none" strike="noStrike" baseline="0">
                <a:solidFill>
                  <a:srgbClr val="000000"/>
                </a:solidFill>
                <a:latin typeface="Arial"/>
                <a:cs typeface="Arial"/>
              </a:rPr>
              <a:t>Area of each floor type on each storey:</a:t>
            </a: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Each storey needs a separate calculator form.</a:t>
            </a:r>
          </a:p>
          <a:p>
            <a:pPr algn="l" rtl="0">
              <a:defRPr sz="1000"/>
            </a:pPr>
            <a:r>
              <a:rPr lang="en-AU" sz="1000" b="0" i="0" u="none" strike="noStrike" baseline="0">
                <a:solidFill>
                  <a:srgbClr val="000000"/>
                </a:solidFill>
                <a:latin typeface="Arial"/>
                <a:cs typeface="Arial"/>
              </a:rPr>
              <a:t>An area must be given for at least one type of Floor Construction but a second floor type on the same storey can also be entered.</a:t>
            </a:r>
          </a:p>
          <a:p>
            <a:pPr algn="l" rtl="0">
              <a:defRPr sz="1000"/>
            </a:pPr>
            <a:endParaRPr lang="en-AU" sz="1000" b="0" i="0" u="none" strike="noStrike" baseline="0">
              <a:solidFill>
                <a:srgbClr val="000000"/>
              </a:solidFill>
              <a:latin typeface="Arial"/>
              <a:cs typeface="Arial"/>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117</xdr:row>
      <xdr:rowOff>0</xdr:rowOff>
    </xdr:from>
    <xdr:to>
      <xdr:col>19</xdr:col>
      <xdr:colOff>0</xdr:colOff>
      <xdr:row>119</xdr:row>
      <xdr:rowOff>0</xdr:rowOff>
    </xdr:to>
    <xdr:sp macro="" textlink="">
      <xdr:nvSpPr>
        <xdr:cNvPr id="41072" name="Text Box 21979"/>
        <xdr:cNvSpPr txBox="1">
          <a:spLocks noChangeArrowheads="1"/>
        </xdr:cNvSpPr>
      </xdr:nvSpPr>
      <xdr:spPr bwMode="auto">
        <a:xfrm>
          <a:off x="114300" y="4914900"/>
          <a:ext cx="8496300" cy="771525"/>
        </a:xfrm>
        <a:prstGeom prst="rect">
          <a:avLst/>
        </a:prstGeom>
        <a:gradFill rotWithShape="1">
          <a:gsLst>
            <a:gs pos="0">
              <a:srgbClr val="008000">
                <a:alpha val="20000"/>
              </a:srgbClr>
            </a:gs>
            <a:gs pos="100000">
              <a:srgbClr val="FFFFFF">
                <a:alpha val="20000"/>
              </a:srgbClr>
            </a:gs>
          </a:gsLst>
          <a:lin ang="0" scaled="1"/>
        </a:gradFill>
        <a:ln w="9525">
          <a:noFill/>
          <a:miter lim="800000"/>
          <a:headEnd/>
          <a:tailEnd/>
        </a:ln>
      </xdr:spPr>
    </xdr:sp>
    <xdr:clientData fPrintsWithSheet="0"/>
  </xdr:twoCellAnchor>
  <xdr:twoCellAnchor editAs="oneCell">
    <xdr:from>
      <xdr:col>1</xdr:col>
      <xdr:colOff>0</xdr:colOff>
      <xdr:row>0</xdr:row>
      <xdr:rowOff>0</xdr:rowOff>
    </xdr:from>
    <xdr:to>
      <xdr:col>20</xdr:col>
      <xdr:colOff>51676</xdr:colOff>
      <xdr:row>23</xdr:row>
      <xdr:rowOff>0</xdr:rowOff>
    </xdr:to>
    <xdr:sp macro="" textlink="B23">
      <xdr:nvSpPr>
        <xdr:cNvPr id="34211" name="Text Box 942"/>
        <xdr:cNvSpPr txBox="1">
          <a:spLocks noChangeArrowheads="1"/>
        </xdr:cNvSpPr>
      </xdr:nvSpPr>
      <xdr:spPr bwMode="auto">
        <a:xfrm>
          <a:off x="117231" y="0"/>
          <a:ext cx="9415483" cy="322385"/>
        </a:xfrm>
        <a:prstGeom prst="rect">
          <a:avLst/>
        </a:prstGeom>
        <a:gradFill rotWithShape="1">
          <a:gsLst>
            <a:gs pos="0">
              <a:srgbClr val="333399"/>
            </a:gs>
            <a:gs pos="100000">
              <a:srgbClr val="3366FF"/>
            </a:gs>
          </a:gsLst>
          <a:lin ang="0" scaled="1"/>
        </a:gradFill>
        <a:ln w="9525">
          <a:noFill/>
          <a:miter lim="800000"/>
          <a:headEnd/>
          <a:tailEnd/>
        </a:ln>
      </xdr:spPr>
      <xdr:txBody>
        <a:bodyPr vertOverflow="clip" wrap="square" lIns="108000" tIns="46800" rIns="90000" bIns="46800" anchor="ctr" upright="1"/>
        <a:lstStyle/>
        <a:p>
          <a:pPr algn="l" rtl="0">
            <a:defRPr sz="1000"/>
          </a:pPr>
          <a:fld id="{99B8D088-2F3F-4A93-BBDA-66DA947A4F91}" type="TxLink">
            <a:rPr lang="en-AU" sz="1500" b="1" i="1" u="none" strike="noStrike" baseline="0">
              <a:solidFill>
                <a:srgbClr val="FFFFFF"/>
              </a:solidFill>
              <a:latin typeface="Arial"/>
              <a:cs typeface="Arial"/>
            </a:rPr>
            <a:pPr algn="l" rtl="0">
              <a:defRPr sz="1000"/>
            </a:pPr>
            <a:t>BCA VOLUME TWO GLAZING CALCULATOR (first issued with BCA 2013)</a:t>
          </a:fld>
          <a:endParaRPr lang="en-AU" sz="1500" b="1" i="1" u="none" strike="noStrike" baseline="0">
            <a:solidFill>
              <a:srgbClr val="FFFFFF"/>
            </a:solidFill>
            <a:latin typeface="Arial"/>
            <a:cs typeface="Arial"/>
          </a:endParaRPr>
        </a:p>
      </xdr:txBody>
    </xdr:sp>
    <xdr:clientData fPrintsWithSheet="0"/>
  </xdr:twoCellAnchor>
  <xdr:twoCellAnchor editAs="oneCell">
    <xdr:from>
      <xdr:col>18</xdr:col>
      <xdr:colOff>390525</xdr:colOff>
      <xdr:row>22</xdr:row>
      <xdr:rowOff>76200</xdr:rowOff>
    </xdr:from>
    <xdr:to>
      <xdr:col>19</xdr:col>
      <xdr:colOff>847725</xdr:colOff>
      <xdr:row>22</xdr:row>
      <xdr:rowOff>276225</xdr:rowOff>
    </xdr:to>
    <xdr:sp macro="" textlink="">
      <xdr:nvSpPr>
        <xdr:cNvPr id="34212" name="AutoShape 231">
          <a:hlinkClick xmlns:r="http://schemas.openxmlformats.org/officeDocument/2006/relationships" r:id="rId1" tooltip="Click here to go to the Help screen"/>
        </xdr:cNvPr>
        <xdr:cNvSpPr>
          <a:spLocks noChangeArrowheads="1"/>
        </xdr:cNvSpPr>
      </xdr:nvSpPr>
      <xdr:spPr bwMode="auto">
        <a:xfrm>
          <a:off x="8543925" y="76200"/>
          <a:ext cx="914400" cy="200025"/>
        </a:xfrm>
        <a:prstGeom prst="roundRect">
          <a:avLst>
            <a:gd name="adj" fmla="val 16667"/>
          </a:avLst>
        </a:prstGeom>
        <a:gradFill rotWithShape="1">
          <a:gsLst>
            <a:gs pos="0">
              <a:srgbClr val="99CCFF"/>
            </a:gs>
            <a:gs pos="100000">
              <a:srgbClr val="000080"/>
            </a:gs>
          </a:gsLst>
          <a:lin ang="5400000" scaled="1"/>
        </a:gradFill>
        <a:ln w="9525">
          <a:solidFill>
            <a:srgbClr val="333399"/>
          </a:solidFill>
          <a:round/>
          <a:headEnd/>
          <a:tailEnd/>
        </a:ln>
      </xdr:spPr>
      <xdr:txBody>
        <a:bodyPr vertOverflow="clip" wrap="square" lIns="28800" tIns="0" rIns="28800" bIns="0" anchor="t" upright="1"/>
        <a:lstStyle/>
        <a:p>
          <a:pPr algn="ctr" rtl="0">
            <a:defRPr sz="1000"/>
          </a:pPr>
          <a:r>
            <a:rPr lang="en-AU" sz="1000" b="1" i="1" u="none" strike="noStrike" baseline="0">
              <a:solidFill>
                <a:srgbClr val="CCFFFF"/>
              </a:solidFill>
              <a:latin typeface="Arial"/>
              <a:cs typeface="Arial"/>
            </a:rPr>
            <a:t>HELP</a:t>
          </a:r>
        </a:p>
      </xdr:txBody>
    </xdr:sp>
    <xdr:clientData fPrintsWithSheet="0"/>
  </xdr:twoCellAnchor>
  <xdr:twoCellAnchor>
    <xdr:from>
      <xdr:col>12</xdr:col>
      <xdr:colOff>378701</xdr:colOff>
      <xdr:row>42</xdr:row>
      <xdr:rowOff>0</xdr:rowOff>
    </xdr:from>
    <xdr:to>
      <xdr:col>20</xdr:col>
      <xdr:colOff>6405</xdr:colOff>
      <xdr:row>43</xdr:row>
      <xdr:rowOff>0</xdr:rowOff>
    </xdr:to>
    <xdr:sp macro="" textlink="AS43">
      <xdr:nvSpPr>
        <xdr:cNvPr id="3925" name="Text Box 853"/>
        <xdr:cNvSpPr txBox="1">
          <a:spLocks noChangeArrowheads="1" noTextEdit="1"/>
        </xdr:cNvSpPr>
      </xdr:nvSpPr>
      <xdr:spPr bwMode="auto">
        <a:xfrm>
          <a:off x="5695950" y="3810000"/>
          <a:ext cx="3819525" cy="161925"/>
        </a:xfrm>
        <a:prstGeom prst="rect">
          <a:avLst/>
        </a:prstGeom>
        <a:noFill/>
        <a:ln w="9525" algn="ctr">
          <a:noFill/>
          <a:miter lim="800000"/>
          <a:headEnd/>
          <a:tailEnd/>
        </a:ln>
        <a:effectLst/>
      </xdr:spPr>
      <xdr:txBody>
        <a:bodyPr anchor="ctr"/>
        <a:lstStyle/>
        <a:p>
          <a:pPr algn="l" rtl="0">
            <a:defRPr sz="1000"/>
          </a:pPr>
          <a:fld id="{20C5ACEA-35CC-4FBE-B6D1-245123BCAB34}"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13</xdr:col>
      <xdr:colOff>7938</xdr:colOff>
      <xdr:row>36</xdr:row>
      <xdr:rowOff>0</xdr:rowOff>
    </xdr:from>
    <xdr:to>
      <xdr:col>20</xdr:col>
      <xdr:colOff>7938</xdr:colOff>
      <xdr:row>37</xdr:row>
      <xdr:rowOff>0</xdr:rowOff>
    </xdr:to>
    <xdr:sp macro="" textlink="AS37">
      <xdr:nvSpPr>
        <xdr:cNvPr id="3930" name="Text Box 858"/>
        <xdr:cNvSpPr txBox="1">
          <a:spLocks noChangeArrowheads="1" noTextEdit="1"/>
        </xdr:cNvSpPr>
      </xdr:nvSpPr>
      <xdr:spPr bwMode="auto">
        <a:xfrm>
          <a:off x="5635015" y="3011365"/>
          <a:ext cx="3853961" cy="161193"/>
        </a:xfrm>
        <a:prstGeom prst="rect">
          <a:avLst/>
        </a:prstGeom>
        <a:noFill/>
        <a:ln w="9525" algn="ctr">
          <a:noFill/>
          <a:miter lim="800000"/>
          <a:headEnd/>
          <a:tailEnd/>
        </a:ln>
        <a:effectLst/>
      </xdr:spPr>
      <xdr:txBody>
        <a:bodyPr anchor="ctr"/>
        <a:lstStyle/>
        <a:p>
          <a:pPr algn="l" rtl="0">
            <a:defRPr sz="1000"/>
          </a:pPr>
          <a:fld id="{E681A87D-BC07-44C1-BA3A-F177546308D3}"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37</xdr:row>
      <xdr:rowOff>0</xdr:rowOff>
    </xdr:from>
    <xdr:to>
      <xdr:col>20</xdr:col>
      <xdr:colOff>6405</xdr:colOff>
      <xdr:row>38</xdr:row>
      <xdr:rowOff>5474</xdr:rowOff>
    </xdr:to>
    <xdr:sp macro="" textlink="AS38">
      <xdr:nvSpPr>
        <xdr:cNvPr id="3931" name="Text Box 859"/>
        <xdr:cNvSpPr txBox="1">
          <a:spLocks noChangeArrowheads="1" noTextEdit="1"/>
        </xdr:cNvSpPr>
      </xdr:nvSpPr>
      <xdr:spPr bwMode="auto">
        <a:xfrm>
          <a:off x="5695950" y="3000375"/>
          <a:ext cx="3819525" cy="161925"/>
        </a:xfrm>
        <a:prstGeom prst="rect">
          <a:avLst/>
        </a:prstGeom>
        <a:noFill/>
        <a:ln w="9525" algn="ctr">
          <a:noFill/>
          <a:miter lim="800000"/>
          <a:headEnd/>
          <a:tailEnd/>
        </a:ln>
        <a:effectLst/>
      </xdr:spPr>
      <xdr:txBody>
        <a:bodyPr anchor="ctr"/>
        <a:lstStyle/>
        <a:p>
          <a:pPr algn="l" rtl="0">
            <a:defRPr sz="1000"/>
          </a:pPr>
          <a:fld id="{396CCECA-03C0-485B-B57E-82D1D7C63FF0}"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37</xdr:row>
      <xdr:rowOff>164224</xdr:rowOff>
    </xdr:from>
    <xdr:to>
      <xdr:col>20</xdr:col>
      <xdr:colOff>6405</xdr:colOff>
      <xdr:row>39</xdr:row>
      <xdr:rowOff>0</xdr:rowOff>
    </xdr:to>
    <xdr:sp macro="" textlink="AS39">
      <xdr:nvSpPr>
        <xdr:cNvPr id="3932" name="Text Box 860"/>
        <xdr:cNvSpPr txBox="1">
          <a:spLocks noChangeArrowheads="1" noTextEdit="1"/>
        </xdr:cNvSpPr>
      </xdr:nvSpPr>
      <xdr:spPr bwMode="auto">
        <a:xfrm>
          <a:off x="5695950" y="3162300"/>
          <a:ext cx="3819525" cy="161925"/>
        </a:xfrm>
        <a:prstGeom prst="rect">
          <a:avLst/>
        </a:prstGeom>
        <a:noFill/>
        <a:ln w="9525" algn="ctr">
          <a:noFill/>
          <a:miter lim="800000"/>
          <a:headEnd/>
          <a:tailEnd/>
        </a:ln>
        <a:effectLst/>
      </xdr:spPr>
      <xdr:txBody>
        <a:bodyPr anchor="ctr"/>
        <a:lstStyle/>
        <a:p>
          <a:pPr algn="l" rtl="0">
            <a:defRPr sz="1000"/>
          </a:pPr>
          <a:fld id="{00D6AE0C-88F1-46E9-A85C-BEAC61FFA371}"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39</xdr:row>
      <xdr:rowOff>0</xdr:rowOff>
    </xdr:from>
    <xdr:to>
      <xdr:col>20</xdr:col>
      <xdr:colOff>6405</xdr:colOff>
      <xdr:row>40</xdr:row>
      <xdr:rowOff>0</xdr:rowOff>
    </xdr:to>
    <xdr:sp macro="" textlink="AS40">
      <xdr:nvSpPr>
        <xdr:cNvPr id="3933" name="Text Box 861"/>
        <xdr:cNvSpPr txBox="1">
          <a:spLocks noChangeArrowheads="1" noTextEdit="1"/>
        </xdr:cNvSpPr>
      </xdr:nvSpPr>
      <xdr:spPr bwMode="auto">
        <a:xfrm>
          <a:off x="5695950" y="3324225"/>
          <a:ext cx="3819525" cy="161925"/>
        </a:xfrm>
        <a:prstGeom prst="rect">
          <a:avLst/>
        </a:prstGeom>
        <a:noFill/>
        <a:ln w="9525" algn="ctr">
          <a:noFill/>
          <a:miter lim="800000"/>
          <a:headEnd/>
          <a:tailEnd/>
        </a:ln>
        <a:effectLst/>
      </xdr:spPr>
      <xdr:txBody>
        <a:bodyPr anchor="ctr"/>
        <a:lstStyle/>
        <a:p>
          <a:pPr algn="l" rtl="0">
            <a:defRPr sz="1000"/>
          </a:pPr>
          <a:fld id="{735E1BC8-A41F-4F80-9E8F-64FC78B84223}"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40</xdr:row>
      <xdr:rowOff>0</xdr:rowOff>
    </xdr:from>
    <xdr:to>
      <xdr:col>20</xdr:col>
      <xdr:colOff>6405</xdr:colOff>
      <xdr:row>41</xdr:row>
      <xdr:rowOff>0</xdr:rowOff>
    </xdr:to>
    <xdr:sp macro="" textlink="AS41">
      <xdr:nvSpPr>
        <xdr:cNvPr id="3935" name="Text Box 863"/>
        <xdr:cNvSpPr txBox="1">
          <a:spLocks noChangeArrowheads="1" noTextEdit="1"/>
        </xdr:cNvSpPr>
      </xdr:nvSpPr>
      <xdr:spPr bwMode="auto">
        <a:xfrm>
          <a:off x="5695950" y="3486150"/>
          <a:ext cx="3819525" cy="161925"/>
        </a:xfrm>
        <a:prstGeom prst="rect">
          <a:avLst/>
        </a:prstGeom>
        <a:noFill/>
        <a:ln w="9525" algn="ctr">
          <a:noFill/>
          <a:miter lim="800000"/>
          <a:headEnd/>
          <a:tailEnd/>
        </a:ln>
        <a:effectLst/>
      </xdr:spPr>
      <xdr:txBody>
        <a:bodyPr anchor="ctr"/>
        <a:lstStyle/>
        <a:p>
          <a:pPr algn="l" rtl="0">
            <a:defRPr sz="1000"/>
          </a:pPr>
          <a:fld id="{2D9D296C-6ABF-47B7-B644-01F34B04D03E}"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41</xdr:row>
      <xdr:rowOff>0</xdr:rowOff>
    </xdr:from>
    <xdr:to>
      <xdr:col>20</xdr:col>
      <xdr:colOff>6405</xdr:colOff>
      <xdr:row>42</xdr:row>
      <xdr:rowOff>0</xdr:rowOff>
    </xdr:to>
    <xdr:sp macro="" textlink="AS42">
      <xdr:nvSpPr>
        <xdr:cNvPr id="3936" name="Text Box 864"/>
        <xdr:cNvSpPr txBox="1">
          <a:spLocks noChangeArrowheads="1" noTextEdit="1"/>
        </xdr:cNvSpPr>
      </xdr:nvSpPr>
      <xdr:spPr bwMode="auto">
        <a:xfrm>
          <a:off x="5695950" y="3648075"/>
          <a:ext cx="3819525" cy="161925"/>
        </a:xfrm>
        <a:prstGeom prst="rect">
          <a:avLst/>
        </a:prstGeom>
        <a:noFill/>
        <a:ln w="9525" algn="ctr">
          <a:noFill/>
          <a:miter lim="800000"/>
          <a:headEnd/>
          <a:tailEnd/>
        </a:ln>
        <a:effectLst/>
      </xdr:spPr>
      <xdr:txBody>
        <a:bodyPr anchor="ctr"/>
        <a:lstStyle/>
        <a:p>
          <a:pPr algn="l" rtl="0">
            <a:defRPr sz="1000"/>
          </a:pPr>
          <a:fld id="{BDC40D3F-6F00-4276-B580-271EDF0AED9C}"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43</xdr:row>
      <xdr:rowOff>0</xdr:rowOff>
    </xdr:from>
    <xdr:to>
      <xdr:col>20</xdr:col>
      <xdr:colOff>6405</xdr:colOff>
      <xdr:row>44</xdr:row>
      <xdr:rowOff>0</xdr:rowOff>
    </xdr:to>
    <xdr:sp macro="" textlink="AS44">
      <xdr:nvSpPr>
        <xdr:cNvPr id="3937" name="Text Box 865"/>
        <xdr:cNvSpPr txBox="1">
          <a:spLocks noChangeArrowheads="1" noTextEdit="1"/>
        </xdr:cNvSpPr>
      </xdr:nvSpPr>
      <xdr:spPr bwMode="auto">
        <a:xfrm>
          <a:off x="5695950" y="3971925"/>
          <a:ext cx="3819525" cy="161925"/>
        </a:xfrm>
        <a:prstGeom prst="rect">
          <a:avLst/>
        </a:prstGeom>
        <a:noFill/>
        <a:ln w="9525" algn="ctr">
          <a:noFill/>
          <a:miter lim="800000"/>
          <a:headEnd/>
          <a:tailEnd/>
        </a:ln>
        <a:effectLst/>
      </xdr:spPr>
      <xdr:txBody>
        <a:bodyPr anchor="ctr"/>
        <a:lstStyle/>
        <a:p>
          <a:pPr algn="l" rtl="0">
            <a:defRPr sz="1000"/>
          </a:pPr>
          <a:fld id="{B85610E5-01A7-4EDC-813C-793968C77B88}"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44</xdr:row>
      <xdr:rowOff>0</xdr:rowOff>
    </xdr:from>
    <xdr:to>
      <xdr:col>20</xdr:col>
      <xdr:colOff>6405</xdr:colOff>
      <xdr:row>44</xdr:row>
      <xdr:rowOff>164224</xdr:rowOff>
    </xdr:to>
    <xdr:sp macro="" textlink="AS45">
      <xdr:nvSpPr>
        <xdr:cNvPr id="3938" name="Text Box 866"/>
        <xdr:cNvSpPr txBox="1">
          <a:spLocks noChangeArrowheads="1" noTextEdit="1"/>
        </xdr:cNvSpPr>
      </xdr:nvSpPr>
      <xdr:spPr bwMode="auto">
        <a:xfrm>
          <a:off x="5695950" y="4133850"/>
          <a:ext cx="3819525" cy="161925"/>
        </a:xfrm>
        <a:prstGeom prst="rect">
          <a:avLst/>
        </a:prstGeom>
        <a:noFill/>
        <a:ln w="9525" algn="ctr">
          <a:noFill/>
          <a:miter lim="800000"/>
          <a:headEnd/>
          <a:tailEnd/>
        </a:ln>
        <a:effectLst/>
      </xdr:spPr>
      <xdr:txBody>
        <a:bodyPr anchor="ctr"/>
        <a:lstStyle/>
        <a:p>
          <a:pPr algn="l" rtl="0">
            <a:defRPr sz="1000"/>
          </a:pPr>
          <a:fld id="{25781157-3FE1-45F7-A367-ABA73AE0EAEA}"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44</xdr:row>
      <xdr:rowOff>164224</xdr:rowOff>
    </xdr:from>
    <xdr:to>
      <xdr:col>20</xdr:col>
      <xdr:colOff>6405</xdr:colOff>
      <xdr:row>46</xdr:row>
      <xdr:rowOff>0</xdr:rowOff>
    </xdr:to>
    <xdr:sp macro="" textlink="AS46">
      <xdr:nvSpPr>
        <xdr:cNvPr id="3939" name="Text Box 867"/>
        <xdr:cNvSpPr txBox="1">
          <a:spLocks noChangeArrowheads="1" noTextEdit="1"/>
        </xdr:cNvSpPr>
      </xdr:nvSpPr>
      <xdr:spPr bwMode="auto">
        <a:xfrm>
          <a:off x="5695950" y="4295775"/>
          <a:ext cx="3819525" cy="161925"/>
        </a:xfrm>
        <a:prstGeom prst="rect">
          <a:avLst/>
        </a:prstGeom>
        <a:noFill/>
        <a:ln w="9525" algn="ctr">
          <a:noFill/>
          <a:miter lim="800000"/>
          <a:headEnd/>
          <a:tailEnd/>
        </a:ln>
        <a:effectLst/>
      </xdr:spPr>
      <xdr:txBody>
        <a:bodyPr anchor="ctr"/>
        <a:lstStyle/>
        <a:p>
          <a:pPr algn="l" rtl="0">
            <a:defRPr sz="1000"/>
          </a:pPr>
          <a:fld id="{C239FF02-DA86-45EE-8738-33AB37162755}"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46</xdr:row>
      <xdr:rowOff>0</xdr:rowOff>
    </xdr:from>
    <xdr:to>
      <xdr:col>20</xdr:col>
      <xdr:colOff>6405</xdr:colOff>
      <xdr:row>47</xdr:row>
      <xdr:rowOff>0</xdr:rowOff>
    </xdr:to>
    <xdr:sp macro="" textlink="AS47">
      <xdr:nvSpPr>
        <xdr:cNvPr id="3941" name="Text Box 869"/>
        <xdr:cNvSpPr txBox="1">
          <a:spLocks noChangeArrowheads="1" noTextEdit="1"/>
        </xdr:cNvSpPr>
      </xdr:nvSpPr>
      <xdr:spPr bwMode="auto">
        <a:xfrm>
          <a:off x="5695950" y="4457700"/>
          <a:ext cx="3819525" cy="161925"/>
        </a:xfrm>
        <a:prstGeom prst="rect">
          <a:avLst/>
        </a:prstGeom>
        <a:noFill/>
        <a:ln w="9525" algn="ctr">
          <a:noFill/>
          <a:miter lim="800000"/>
          <a:headEnd/>
          <a:tailEnd/>
        </a:ln>
        <a:effectLst/>
      </xdr:spPr>
      <xdr:txBody>
        <a:bodyPr anchor="ctr"/>
        <a:lstStyle/>
        <a:p>
          <a:pPr algn="l" rtl="0">
            <a:defRPr sz="1000"/>
          </a:pPr>
          <a:fld id="{AB8A0D23-19F7-4B37-AC57-32B8E1474F54}"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47</xdr:row>
      <xdr:rowOff>0</xdr:rowOff>
    </xdr:from>
    <xdr:to>
      <xdr:col>20</xdr:col>
      <xdr:colOff>6405</xdr:colOff>
      <xdr:row>48</xdr:row>
      <xdr:rowOff>0</xdr:rowOff>
    </xdr:to>
    <xdr:sp macro="" textlink="AS48">
      <xdr:nvSpPr>
        <xdr:cNvPr id="3942" name="Text Box 870"/>
        <xdr:cNvSpPr txBox="1">
          <a:spLocks noChangeArrowheads="1" noTextEdit="1"/>
        </xdr:cNvSpPr>
      </xdr:nvSpPr>
      <xdr:spPr bwMode="auto">
        <a:xfrm>
          <a:off x="5695950" y="4619625"/>
          <a:ext cx="3819525" cy="171450"/>
        </a:xfrm>
        <a:prstGeom prst="rect">
          <a:avLst/>
        </a:prstGeom>
        <a:noFill/>
        <a:ln w="9525" algn="ctr">
          <a:noFill/>
          <a:miter lim="800000"/>
          <a:headEnd/>
          <a:tailEnd/>
        </a:ln>
        <a:effectLst/>
      </xdr:spPr>
      <xdr:txBody>
        <a:bodyPr anchor="ctr"/>
        <a:lstStyle/>
        <a:p>
          <a:pPr algn="l" rtl="0">
            <a:defRPr sz="1000"/>
          </a:pPr>
          <a:fld id="{7EF59823-CDD8-49DA-8E16-8252229271E3}"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48</xdr:row>
      <xdr:rowOff>0</xdr:rowOff>
    </xdr:from>
    <xdr:to>
      <xdr:col>20</xdr:col>
      <xdr:colOff>6405</xdr:colOff>
      <xdr:row>49</xdr:row>
      <xdr:rowOff>0</xdr:rowOff>
    </xdr:to>
    <xdr:sp macro="" textlink="AS49">
      <xdr:nvSpPr>
        <xdr:cNvPr id="3943" name="Text Box 871"/>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B54BA183-6065-402A-889E-4D03CBBFE6F1}"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49</xdr:row>
      <xdr:rowOff>0</xdr:rowOff>
    </xdr:from>
    <xdr:to>
      <xdr:col>20</xdr:col>
      <xdr:colOff>6405</xdr:colOff>
      <xdr:row>50</xdr:row>
      <xdr:rowOff>0</xdr:rowOff>
    </xdr:to>
    <xdr:sp macro="" textlink="AS50">
      <xdr:nvSpPr>
        <xdr:cNvPr id="3944" name="Text Box 872"/>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51E29C2D-A47E-4E86-A147-39B096497780}"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50</xdr:row>
      <xdr:rowOff>0</xdr:rowOff>
    </xdr:from>
    <xdr:to>
      <xdr:col>20</xdr:col>
      <xdr:colOff>6405</xdr:colOff>
      <xdr:row>51</xdr:row>
      <xdr:rowOff>0</xdr:rowOff>
    </xdr:to>
    <xdr:sp macro="" textlink="AS51">
      <xdr:nvSpPr>
        <xdr:cNvPr id="3945" name="Text Box 873"/>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CAF1CB61-A7DC-442F-9418-2D4E41171FE8}"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51</xdr:row>
      <xdr:rowOff>0</xdr:rowOff>
    </xdr:from>
    <xdr:to>
      <xdr:col>20</xdr:col>
      <xdr:colOff>6405</xdr:colOff>
      <xdr:row>51</xdr:row>
      <xdr:rowOff>164224</xdr:rowOff>
    </xdr:to>
    <xdr:sp macro="" textlink="AS52">
      <xdr:nvSpPr>
        <xdr:cNvPr id="3946" name="Text Box 874"/>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D8E38C16-46C5-4FFA-A377-383DF3564969}"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51</xdr:row>
      <xdr:rowOff>164224</xdr:rowOff>
    </xdr:from>
    <xdr:to>
      <xdr:col>20</xdr:col>
      <xdr:colOff>6405</xdr:colOff>
      <xdr:row>53</xdr:row>
      <xdr:rowOff>0</xdr:rowOff>
    </xdr:to>
    <xdr:sp macro="" textlink="AS53">
      <xdr:nvSpPr>
        <xdr:cNvPr id="3947" name="Text Box 875"/>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96023F13-AC0D-4995-A147-4C355786CF20}"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53</xdr:row>
      <xdr:rowOff>0</xdr:rowOff>
    </xdr:from>
    <xdr:to>
      <xdr:col>20</xdr:col>
      <xdr:colOff>6405</xdr:colOff>
      <xdr:row>54</xdr:row>
      <xdr:rowOff>0</xdr:rowOff>
    </xdr:to>
    <xdr:sp macro="" textlink="AS54">
      <xdr:nvSpPr>
        <xdr:cNvPr id="3948" name="Text Box 876"/>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D5D7C003-E56A-48E3-BF7F-4792E6E7D6FE}"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54</xdr:row>
      <xdr:rowOff>0</xdr:rowOff>
    </xdr:from>
    <xdr:to>
      <xdr:col>20</xdr:col>
      <xdr:colOff>6405</xdr:colOff>
      <xdr:row>55</xdr:row>
      <xdr:rowOff>0</xdr:rowOff>
    </xdr:to>
    <xdr:sp macro="" textlink="AS55">
      <xdr:nvSpPr>
        <xdr:cNvPr id="3949" name="Text Box 877"/>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83002C24-D17A-46B7-B3AB-BBD6D99B00B0}"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55</xdr:row>
      <xdr:rowOff>0</xdr:rowOff>
    </xdr:from>
    <xdr:to>
      <xdr:col>20</xdr:col>
      <xdr:colOff>6405</xdr:colOff>
      <xdr:row>56</xdr:row>
      <xdr:rowOff>0</xdr:rowOff>
    </xdr:to>
    <xdr:sp macro="" textlink="AS56">
      <xdr:nvSpPr>
        <xdr:cNvPr id="3950" name="Text Box 878"/>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369D69B7-64EE-4E45-97BD-1D920D15F1AD}"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56</xdr:row>
      <xdr:rowOff>0</xdr:rowOff>
    </xdr:from>
    <xdr:to>
      <xdr:col>20</xdr:col>
      <xdr:colOff>6405</xdr:colOff>
      <xdr:row>57</xdr:row>
      <xdr:rowOff>0</xdr:rowOff>
    </xdr:to>
    <xdr:sp macro="" textlink="AS57">
      <xdr:nvSpPr>
        <xdr:cNvPr id="3951" name="Text Box 879"/>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40C7FD9F-F54C-49F3-9940-50404A199C32}"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57</xdr:row>
      <xdr:rowOff>0</xdr:rowOff>
    </xdr:from>
    <xdr:to>
      <xdr:col>20</xdr:col>
      <xdr:colOff>6405</xdr:colOff>
      <xdr:row>58</xdr:row>
      <xdr:rowOff>0</xdr:rowOff>
    </xdr:to>
    <xdr:sp macro="" textlink="AS58">
      <xdr:nvSpPr>
        <xdr:cNvPr id="3952" name="Text Box 880"/>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2653CA6B-3731-4FCE-ACD4-2910CAE5F044}"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58</xdr:row>
      <xdr:rowOff>0</xdr:rowOff>
    </xdr:from>
    <xdr:to>
      <xdr:col>20</xdr:col>
      <xdr:colOff>6405</xdr:colOff>
      <xdr:row>58</xdr:row>
      <xdr:rowOff>164224</xdr:rowOff>
    </xdr:to>
    <xdr:sp macro="" textlink="AS59">
      <xdr:nvSpPr>
        <xdr:cNvPr id="3953" name="Text Box 881"/>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3132D1C1-E1D3-4D28-AF77-0C1551BD60E8}"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58</xdr:row>
      <xdr:rowOff>164224</xdr:rowOff>
    </xdr:from>
    <xdr:to>
      <xdr:col>20</xdr:col>
      <xdr:colOff>6405</xdr:colOff>
      <xdr:row>60</xdr:row>
      <xdr:rowOff>0</xdr:rowOff>
    </xdr:to>
    <xdr:sp macro="" textlink="AS60">
      <xdr:nvSpPr>
        <xdr:cNvPr id="3954" name="Text Box 882"/>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1B19951D-3AA5-42A2-B141-D7915D8FB15C}"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60</xdr:row>
      <xdr:rowOff>0</xdr:rowOff>
    </xdr:from>
    <xdr:to>
      <xdr:col>20</xdr:col>
      <xdr:colOff>6405</xdr:colOff>
      <xdr:row>61</xdr:row>
      <xdr:rowOff>0</xdr:rowOff>
    </xdr:to>
    <xdr:sp macro="" textlink="AS61">
      <xdr:nvSpPr>
        <xdr:cNvPr id="3955" name="Text Box 883"/>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8BE21A75-E992-4691-8D91-7C678F86EDED}"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61</xdr:row>
      <xdr:rowOff>0</xdr:rowOff>
    </xdr:from>
    <xdr:to>
      <xdr:col>20</xdr:col>
      <xdr:colOff>6405</xdr:colOff>
      <xdr:row>62</xdr:row>
      <xdr:rowOff>0</xdr:rowOff>
    </xdr:to>
    <xdr:sp macro="" textlink="AS62">
      <xdr:nvSpPr>
        <xdr:cNvPr id="3956" name="Text Box 884"/>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F55ADF57-E675-43D4-A78A-C1F6817705A7}"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62</xdr:row>
      <xdr:rowOff>0</xdr:rowOff>
    </xdr:from>
    <xdr:to>
      <xdr:col>20</xdr:col>
      <xdr:colOff>6405</xdr:colOff>
      <xdr:row>63</xdr:row>
      <xdr:rowOff>0</xdr:rowOff>
    </xdr:to>
    <xdr:sp macro="" textlink="AS63">
      <xdr:nvSpPr>
        <xdr:cNvPr id="3957" name="Text Box 885"/>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4D8E096C-48A0-41E1-BC8D-B29E747B87E4}"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63</xdr:row>
      <xdr:rowOff>0</xdr:rowOff>
    </xdr:from>
    <xdr:to>
      <xdr:col>20</xdr:col>
      <xdr:colOff>6405</xdr:colOff>
      <xdr:row>64</xdr:row>
      <xdr:rowOff>0</xdr:rowOff>
    </xdr:to>
    <xdr:sp macro="" textlink="AS64">
      <xdr:nvSpPr>
        <xdr:cNvPr id="3958" name="Text Box 886"/>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7CB90432-4699-4918-9D7C-0A056AC3022B}"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64</xdr:row>
      <xdr:rowOff>0</xdr:rowOff>
    </xdr:from>
    <xdr:to>
      <xdr:col>20</xdr:col>
      <xdr:colOff>6405</xdr:colOff>
      <xdr:row>65</xdr:row>
      <xdr:rowOff>0</xdr:rowOff>
    </xdr:to>
    <xdr:sp macro="" textlink="AS65">
      <xdr:nvSpPr>
        <xdr:cNvPr id="3959" name="Text Box 887"/>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15643799-DAD4-4CC4-9F63-C88E5854B587}"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65</xdr:row>
      <xdr:rowOff>0</xdr:rowOff>
    </xdr:from>
    <xdr:to>
      <xdr:col>20</xdr:col>
      <xdr:colOff>6405</xdr:colOff>
      <xdr:row>66</xdr:row>
      <xdr:rowOff>0</xdr:rowOff>
    </xdr:to>
    <xdr:sp macro="" textlink="AS66">
      <xdr:nvSpPr>
        <xdr:cNvPr id="3960" name="Text Box 888"/>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A9741060-6F61-472F-AFE3-EB4EAF9C1130}"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66</xdr:row>
      <xdr:rowOff>0</xdr:rowOff>
    </xdr:from>
    <xdr:to>
      <xdr:col>20</xdr:col>
      <xdr:colOff>6405</xdr:colOff>
      <xdr:row>66</xdr:row>
      <xdr:rowOff>164224</xdr:rowOff>
    </xdr:to>
    <xdr:sp macro="" textlink="AS67">
      <xdr:nvSpPr>
        <xdr:cNvPr id="3961" name="Text Box 889"/>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1B852575-2182-4127-9830-BE2334A39A38}"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66</xdr:row>
      <xdr:rowOff>164224</xdr:rowOff>
    </xdr:from>
    <xdr:to>
      <xdr:col>20</xdr:col>
      <xdr:colOff>6405</xdr:colOff>
      <xdr:row>68</xdr:row>
      <xdr:rowOff>0</xdr:rowOff>
    </xdr:to>
    <xdr:sp macro="" textlink="AS68">
      <xdr:nvSpPr>
        <xdr:cNvPr id="3962" name="Text Box 890"/>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A11C3BDE-ECDF-48A2-B0D6-440019D27CCD}"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68</xdr:row>
      <xdr:rowOff>0</xdr:rowOff>
    </xdr:from>
    <xdr:to>
      <xdr:col>20</xdr:col>
      <xdr:colOff>6405</xdr:colOff>
      <xdr:row>69</xdr:row>
      <xdr:rowOff>0</xdr:rowOff>
    </xdr:to>
    <xdr:sp macro="" textlink="AS69">
      <xdr:nvSpPr>
        <xdr:cNvPr id="3963" name="Text Box 891"/>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927FF264-5649-4BD9-8A94-0C0263F1FCF0}"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69</xdr:row>
      <xdr:rowOff>0</xdr:rowOff>
    </xdr:from>
    <xdr:to>
      <xdr:col>20</xdr:col>
      <xdr:colOff>6405</xdr:colOff>
      <xdr:row>70</xdr:row>
      <xdr:rowOff>0</xdr:rowOff>
    </xdr:to>
    <xdr:sp macro="" textlink="AS70">
      <xdr:nvSpPr>
        <xdr:cNvPr id="3964" name="Text Box 892"/>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F18C52DC-0348-4E82-8127-7920F7527419}"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70</xdr:row>
      <xdr:rowOff>0</xdr:rowOff>
    </xdr:from>
    <xdr:to>
      <xdr:col>20</xdr:col>
      <xdr:colOff>6405</xdr:colOff>
      <xdr:row>71</xdr:row>
      <xdr:rowOff>0</xdr:rowOff>
    </xdr:to>
    <xdr:sp macro="" textlink="AS71">
      <xdr:nvSpPr>
        <xdr:cNvPr id="3965" name="Text Box 893"/>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E2855E11-544B-4CC9-BC2F-503670D7534A}"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71</xdr:row>
      <xdr:rowOff>0</xdr:rowOff>
    </xdr:from>
    <xdr:to>
      <xdr:col>20</xdr:col>
      <xdr:colOff>6405</xdr:colOff>
      <xdr:row>72</xdr:row>
      <xdr:rowOff>0</xdr:rowOff>
    </xdr:to>
    <xdr:sp macro="" textlink="AS72">
      <xdr:nvSpPr>
        <xdr:cNvPr id="3966" name="Text Box 894"/>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F6BB8C87-B4CF-4B0C-ADD8-2E99B464517E}"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72</xdr:row>
      <xdr:rowOff>0</xdr:rowOff>
    </xdr:from>
    <xdr:to>
      <xdr:col>20</xdr:col>
      <xdr:colOff>6405</xdr:colOff>
      <xdr:row>73</xdr:row>
      <xdr:rowOff>0</xdr:rowOff>
    </xdr:to>
    <xdr:sp macro="" textlink="AS73">
      <xdr:nvSpPr>
        <xdr:cNvPr id="3967" name="Text Box 895"/>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BEDF2EB2-0F40-44C7-B967-E64262C57506}"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73</xdr:row>
      <xdr:rowOff>0</xdr:rowOff>
    </xdr:from>
    <xdr:to>
      <xdr:col>20</xdr:col>
      <xdr:colOff>6405</xdr:colOff>
      <xdr:row>73</xdr:row>
      <xdr:rowOff>164224</xdr:rowOff>
    </xdr:to>
    <xdr:sp macro="" textlink="AS74">
      <xdr:nvSpPr>
        <xdr:cNvPr id="3968" name="Text Box 896"/>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772CBD04-DF93-4152-A36A-4F35E5A5CF17}"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115</xdr:row>
      <xdr:rowOff>0</xdr:rowOff>
    </xdr:from>
    <xdr:to>
      <xdr:col>20</xdr:col>
      <xdr:colOff>6405</xdr:colOff>
      <xdr:row>115</xdr:row>
      <xdr:rowOff>161925</xdr:rowOff>
    </xdr:to>
    <xdr:sp macro="" textlink="AS116">
      <xdr:nvSpPr>
        <xdr:cNvPr id="3971" name="Text Box 899"/>
        <xdr:cNvSpPr txBox="1">
          <a:spLocks noChangeArrowheads="1" noTextEdit="1"/>
        </xdr:cNvSpPr>
      </xdr:nvSpPr>
      <xdr:spPr bwMode="auto">
        <a:xfrm>
          <a:off x="5628881" y="15544800"/>
          <a:ext cx="3910144" cy="161925"/>
        </a:xfrm>
        <a:prstGeom prst="rect">
          <a:avLst/>
        </a:prstGeom>
        <a:noFill/>
        <a:ln w="9525" algn="ctr">
          <a:noFill/>
          <a:miter lim="800000"/>
          <a:headEnd/>
          <a:tailEnd/>
        </a:ln>
        <a:effectLst/>
      </xdr:spPr>
      <xdr:txBody>
        <a:bodyPr anchor="ctr"/>
        <a:lstStyle/>
        <a:p>
          <a:pPr algn="l" rtl="0">
            <a:defRPr sz="1000"/>
          </a:pPr>
          <a:fld id="{D9197331-C341-49B7-AD87-17A6B9B52861}"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xdr:col>
      <xdr:colOff>0</xdr:colOff>
      <xdr:row>31</xdr:row>
      <xdr:rowOff>340178</xdr:rowOff>
    </xdr:from>
    <xdr:to>
      <xdr:col>5</xdr:col>
      <xdr:colOff>523875</xdr:colOff>
      <xdr:row>31</xdr:row>
      <xdr:rowOff>340178</xdr:rowOff>
    </xdr:to>
    <xdr:sp macro="" textlink="">
      <xdr:nvSpPr>
        <xdr:cNvPr id="41118" name="Line 974"/>
        <xdr:cNvSpPr>
          <a:spLocks noChangeShapeType="1"/>
        </xdr:cNvSpPr>
      </xdr:nvSpPr>
      <xdr:spPr bwMode="auto">
        <a:xfrm>
          <a:off x="115661" y="1993446"/>
          <a:ext cx="2354035" cy="0"/>
        </a:xfrm>
        <a:prstGeom prst="line">
          <a:avLst/>
        </a:prstGeom>
        <a:noFill/>
        <a:ln w="9525">
          <a:solidFill>
            <a:srgbClr val="969696"/>
          </a:solidFill>
          <a:round/>
          <a:headEnd/>
          <a:tailEnd/>
        </a:ln>
      </xdr:spPr>
    </xdr:sp>
    <xdr:clientData/>
  </xdr:twoCellAnchor>
  <xdr:oneCellAnchor>
    <xdr:from>
      <xdr:col>18</xdr:col>
      <xdr:colOff>168543</xdr:colOff>
      <xdr:row>28</xdr:row>
      <xdr:rowOff>21106</xdr:rowOff>
    </xdr:from>
    <xdr:ext cx="256545" cy="117917"/>
    <xdr:sp macro="" textlink="$X$29">
      <xdr:nvSpPr>
        <xdr:cNvPr id="34259" name="TextBox 52"/>
        <xdr:cNvSpPr txBox="1">
          <a:spLocks noChangeArrowheads="1"/>
        </xdr:cNvSpPr>
      </xdr:nvSpPr>
      <xdr:spPr bwMode="auto">
        <a:xfrm>
          <a:off x="8274318" y="1164106"/>
          <a:ext cx="256545" cy="117917"/>
        </a:xfrm>
        <a:prstGeom prst="rect">
          <a:avLst/>
        </a:prstGeom>
        <a:noFill/>
        <a:ln w="9525">
          <a:noFill/>
          <a:miter lim="800000"/>
          <a:headEnd/>
          <a:tailEnd/>
        </a:ln>
      </xdr:spPr>
      <xdr:txBody>
        <a:bodyPr wrap="none" lIns="0" tIns="0" rIns="0" bIns="0" anchor="b" anchorCtr="0" upright="1">
          <a:spAutoFit/>
        </a:bodyPr>
        <a:lstStyle/>
        <a:p>
          <a:pPr algn="l" rtl="0">
            <a:defRPr sz="1000"/>
          </a:pPr>
          <a:fld id="{195C7BA2-3424-42E6-A74E-829FA9D45083}" type="TxLink">
            <a:rPr lang="en-AU" sz="800" b="0" i="0" u="none" strike="noStrike" baseline="0">
              <a:solidFill>
                <a:srgbClr val="000000"/>
              </a:solidFill>
              <a:latin typeface="Arial"/>
              <a:cs typeface="Arial"/>
            </a:rPr>
            <a:pPr algn="l" rtl="0">
              <a:defRPr sz="1000"/>
            </a:pPr>
            <a:t>(only)</a:t>
          </a:fld>
          <a:endParaRPr lang="en-AU" sz="800" b="0" i="0" u="none" strike="noStrike" baseline="0">
            <a:solidFill>
              <a:srgbClr val="000000"/>
            </a:solidFill>
            <a:latin typeface="Arial"/>
            <a:cs typeface="Arial"/>
          </a:endParaRPr>
        </a:p>
      </xdr:txBody>
    </xdr:sp>
    <xdr:clientData/>
  </xdr:oneCellAnchor>
  <xdr:twoCellAnchor>
    <xdr:from>
      <xdr:col>12</xdr:col>
      <xdr:colOff>378701</xdr:colOff>
      <xdr:row>74</xdr:row>
      <xdr:rowOff>0</xdr:rowOff>
    </xdr:from>
    <xdr:to>
      <xdr:col>20</xdr:col>
      <xdr:colOff>6405</xdr:colOff>
      <xdr:row>75</xdr:row>
      <xdr:rowOff>4204</xdr:rowOff>
    </xdr:to>
    <xdr:sp macro="" textlink="AS75">
      <xdr:nvSpPr>
        <xdr:cNvPr id="60" name="Text Box 896"/>
        <xdr:cNvSpPr txBox="1">
          <a:spLocks noChangeArrowheads="1" noTextEdit="1"/>
        </xdr:cNvSpPr>
      </xdr:nvSpPr>
      <xdr:spPr bwMode="auto">
        <a:xfrm>
          <a:off x="5628881" y="8983980"/>
          <a:ext cx="3910144" cy="164224"/>
        </a:xfrm>
        <a:prstGeom prst="rect">
          <a:avLst/>
        </a:prstGeom>
        <a:noFill/>
        <a:ln w="9525" algn="ctr">
          <a:noFill/>
          <a:miter lim="800000"/>
          <a:headEnd/>
          <a:tailEnd/>
        </a:ln>
        <a:effectLst/>
      </xdr:spPr>
      <xdr:txBody>
        <a:bodyPr anchor="ctr"/>
        <a:lstStyle/>
        <a:p>
          <a:pPr algn="l" rtl="0">
            <a:defRPr sz="1000"/>
          </a:pPr>
          <a:fld id="{C035084C-14B7-4D1C-B7E9-D5643BBC848B}"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75</xdr:row>
      <xdr:rowOff>0</xdr:rowOff>
    </xdr:from>
    <xdr:to>
      <xdr:col>20</xdr:col>
      <xdr:colOff>6405</xdr:colOff>
      <xdr:row>76</xdr:row>
      <xdr:rowOff>4204</xdr:rowOff>
    </xdr:to>
    <xdr:sp macro="" textlink="AS76">
      <xdr:nvSpPr>
        <xdr:cNvPr id="62" name="Text Box 896"/>
        <xdr:cNvSpPr txBox="1">
          <a:spLocks noChangeArrowheads="1" noTextEdit="1"/>
        </xdr:cNvSpPr>
      </xdr:nvSpPr>
      <xdr:spPr bwMode="auto">
        <a:xfrm>
          <a:off x="5628881" y="9144000"/>
          <a:ext cx="3910144" cy="164224"/>
        </a:xfrm>
        <a:prstGeom prst="rect">
          <a:avLst/>
        </a:prstGeom>
        <a:noFill/>
        <a:ln w="9525" algn="ctr">
          <a:noFill/>
          <a:miter lim="800000"/>
          <a:headEnd/>
          <a:tailEnd/>
        </a:ln>
        <a:effectLst/>
      </xdr:spPr>
      <xdr:txBody>
        <a:bodyPr anchor="ctr"/>
        <a:lstStyle/>
        <a:p>
          <a:pPr algn="l" rtl="0">
            <a:defRPr sz="1000"/>
          </a:pPr>
          <a:fld id="{D988B978-9D15-4881-944C-0B9FEF0B61DC}"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76</xdr:row>
      <xdr:rowOff>0</xdr:rowOff>
    </xdr:from>
    <xdr:to>
      <xdr:col>20</xdr:col>
      <xdr:colOff>6405</xdr:colOff>
      <xdr:row>77</xdr:row>
      <xdr:rowOff>4204</xdr:rowOff>
    </xdr:to>
    <xdr:sp macro="" textlink="AS77">
      <xdr:nvSpPr>
        <xdr:cNvPr id="65" name="Text Box 896"/>
        <xdr:cNvSpPr txBox="1">
          <a:spLocks noChangeArrowheads="1" noTextEdit="1"/>
        </xdr:cNvSpPr>
      </xdr:nvSpPr>
      <xdr:spPr bwMode="auto">
        <a:xfrm>
          <a:off x="5628881" y="9304020"/>
          <a:ext cx="3910144" cy="164224"/>
        </a:xfrm>
        <a:prstGeom prst="rect">
          <a:avLst/>
        </a:prstGeom>
        <a:noFill/>
        <a:ln w="9525" algn="ctr">
          <a:noFill/>
          <a:miter lim="800000"/>
          <a:headEnd/>
          <a:tailEnd/>
        </a:ln>
        <a:effectLst/>
      </xdr:spPr>
      <xdr:txBody>
        <a:bodyPr anchor="ctr"/>
        <a:lstStyle/>
        <a:p>
          <a:pPr algn="l" rtl="0">
            <a:defRPr sz="1000"/>
          </a:pPr>
          <a:fld id="{773A93AA-687F-4414-A9DC-321BB770EDF8}"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77</xdr:row>
      <xdr:rowOff>0</xdr:rowOff>
    </xdr:from>
    <xdr:to>
      <xdr:col>20</xdr:col>
      <xdr:colOff>6405</xdr:colOff>
      <xdr:row>78</xdr:row>
      <xdr:rowOff>4204</xdr:rowOff>
    </xdr:to>
    <xdr:sp macro="" textlink="AS78">
      <xdr:nvSpPr>
        <xdr:cNvPr id="68" name="Text Box 896"/>
        <xdr:cNvSpPr txBox="1">
          <a:spLocks noChangeArrowheads="1" noTextEdit="1"/>
        </xdr:cNvSpPr>
      </xdr:nvSpPr>
      <xdr:spPr bwMode="auto">
        <a:xfrm>
          <a:off x="5628881" y="9464040"/>
          <a:ext cx="3910144" cy="164224"/>
        </a:xfrm>
        <a:prstGeom prst="rect">
          <a:avLst/>
        </a:prstGeom>
        <a:noFill/>
        <a:ln w="9525" algn="ctr">
          <a:noFill/>
          <a:miter lim="800000"/>
          <a:headEnd/>
          <a:tailEnd/>
        </a:ln>
        <a:effectLst/>
      </xdr:spPr>
      <xdr:txBody>
        <a:bodyPr anchor="ctr"/>
        <a:lstStyle/>
        <a:p>
          <a:pPr algn="l" rtl="0">
            <a:defRPr sz="1000"/>
          </a:pPr>
          <a:fld id="{53EBDBE5-2859-4475-A96F-A713BEE90B20}"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78</xdr:row>
      <xdr:rowOff>0</xdr:rowOff>
    </xdr:from>
    <xdr:to>
      <xdr:col>20</xdr:col>
      <xdr:colOff>6405</xdr:colOff>
      <xdr:row>79</xdr:row>
      <xdr:rowOff>4204</xdr:rowOff>
    </xdr:to>
    <xdr:sp macro="" textlink="AS79">
      <xdr:nvSpPr>
        <xdr:cNvPr id="71" name="Text Box 896"/>
        <xdr:cNvSpPr txBox="1">
          <a:spLocks noChangeArrowheads="1" noTextEdit="1"/>
        </xdr:cNvSpPr>
      </xdr:nvSpPr>
      <xdr:spPr bwMode="auto">
        <a:xfrm>
          <a:off x="5628881" y="9624060"/>
          <a:ext cx="3910144" cy="164224"/>
        </a:xfrm>
        <a:prstGeom prst="rect">
          <a:avLst/>
        </a:prstGeom>
        <a:noFill/>
        <a:ln w="9525" algn="ctr">
          <a:noFill/>
          <a:miter lim="800000"/>
          <a:headEnd/>
          <a:tailEnd/>
        </a:ln>
        <a:effectLst/>
      </xdr:spPr>
      <xdr:txBody>
        <a:bodyPr anchor="ctr"/>
        <a:lstStyle/>
        <a:p>
          <a:pPr algn="l" rtl="0">
            <a:defRPr sz="1000"/>
          </a:pPr>
          <a:fld id="{2197D0D2-3055-41A9-B5E3-672108A1B101}"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79</xdr:row>
      <xdr:rowOff>0</xdr:rowOff>
    </xdr:from>
    <xdr:to>
      <xdr:col>20</xdr:col>
      <xdr:colOff>6405</xdr:colOff>
      <xdr:row>80</xdr:row>
      <xdr:rowOff>4204</xdr:rowOff>
    </xdr:to>
    <xdr:sp macro="" textlink="AS80">
      <xdr:nvSpPr>
        <xdr:cNvPr id="74" name="Text Box 896"/>
        <xdr:cNvSpPr txBox="1">
          <a:spLocks noChangeArrowheads="1" noTextEdit="1"/>
        </xdr:cNvSpPr>
      </xdr:nvSpPr>
      <xdr:spPr bwMode="auto">
        <a:xfrm>
          <a:off x="5628881" y="9784080"/>
          <a:ext cx="3910144" cy="164224"/>
        </a:xfrm>
        <a:prstGeom prst="rect">
          <a:avLst/>
        </a:prstGeom>
        <a:noFill/>
        <a:ln w="9525" algn="ctr">
          <a:noFill/>
          <a:miter lim="800000"/>
          <a:headEnd/>
          <a:tailEnd/>
        </a:ln>
        <a:effectLst/>
      </xdr:spPr>
      <xdr:txBody>
        <a:bodyPr anchor="ctr"/>
        <a:lstStyle/>
        <a:p>
          <a:pPr algn="l" rtl="0">
            <a:defRPr sz="1000"/>
          </a:pPr>
          <a:fld id="{825684CB-A26B-4575-9C25-85A89041FE0C}"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80</xdr:row>
      <xdr:rowOff>0</xdr:rowOff>
    </xdr:from>
    <xdr:to>
      <xdr:col>20</xdr:col>
      <xdr:colOff>6405</xdr:colOff>
      <xdr:row>81</xdr:row>
      <xdr:rowOff>4204</xdr:rowOff>
    </xdr:to>
    <xdr:sp macro="" textlink="AS81">
      <xdr:nvSpPr>
        <xdr:cNvPr id="77" name="Text Box 896"/>
        <xdr:cNvSpPr txBox="1">
          <a:spLocks noChangeArrowheads="1" noTextEdit="1"/>
        </xdr:cNvSpPr>
      </xdr:nvSpPr>
      <xdr:spPr bwMode="auto">
        <a:xfrm>
          <a:off x="5628881" y="9944100"/>
          <a:ext cx="3910144" cy="164224"/>
        </a:xfrm>
        <a:prstGeom prst="rect">
          <a:avLst/>
        </a:prstGeom>
        <a:noFill/>
        <a:ln w="9525" algn="ctr">
          <a:noFill/>
          <a:miter lim="800000"/>
          <a:headEnd/>
          <a:tailEnd/>
        </a:ln>
        <a:effectLst/>
      </xdr:spPr>
      <xdr:txBody>
        <a:bodyPr anchor="ctr"/>
        <a:lstStyle/>
        <a:p>
          <a:pPr algn="l" rtl="0">
            <a:defRPr sz="1000"/>
          </a:pPr>
          <a:fld id="{BE6E2DD9-2DF5-47C9-9005-63385ABB693E}"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81</xdr:row>
      <xdr:rowOff>0</xdr:rowOff>
    </xdr:from>
    <xdr:to>
      <xdr:col>20</xdr:col>
      <xdr:colOff>6405</xdr:colOff>
      <xdr:row>82</xdr:row>
      <xdr:rowOff>4204</xdr:rowOff>
    </xdr:to>
    <xdr:sp macro="" textlink="AS82">
      <xdr:nvSpPr>
        <xdr:cNvPr id="80" name="Text Box 896"/>
        <xdr:cNvSpPr txBox="1">
          <a:spLocks noChangeArrowheads="1" noTextEdit="1"/>
        </xdr:cNvSpPr>
      </xdr:nvSpPr>
      <xdr:spPr bwMode="auto">
        <a:xfrm>
          <a:off x="5628881" y="10104120"/>
          <a:ext cx="3910144" cy="164224"/>
        </a:xfrm>
        <a:prstGeom prst="rect">
          <a:avLst/>
        </a:prstGeom>
        <a:noFill/>
        <a:ln w="9525" algn="ctr">
          <a:noFill/>
          <a:miter lim="800000"/>
          <a:headEnd/>
          <a:tailEnd/>
        </a:ln>
        <a:effectLst/>
      </xdr:spPr>
      <xdr:txBody>
        <a:bodyPr anchor="ctr"/>
        <a:lstStyle/>
        <a:p>
          <a:pPr algn="l" rtl="0">
            <a:defRPr sz="1000"/>
          </a:pPr>
          <a:fld id="{F673821A-21DC-42D3-B658-88B3DCF16694}"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82</xdr:row>
      <xdr:rowOff>0</xdr:rowOff>
    </xdr:from>
    <xdr:to>
      <xdr:col>20</xdr:col>
      <xdr:colOff>6405</xdr:colOff>
      <xdr:row>83</xdr:row>
      <xdr:rowOff>4204</xdr:rowOff>
    </xdr:to>
    <xdr:sp macro="" textlink="AS83">
      <xdr:nvSpPr>
        <xdr:cNvPr id="83" name="Text Box 896"/>
        <xdr:cNvSpPr txBox="1">
          <a:spLocks noChangeArrowheads="1" noTextEdit="1"/>
        </xdr:cNvSpPr>
      </xdr:nvSpPr>
      <xdr:spPr bwMode="auto">
        <a:xfrm>
          <a:off x="5628881" y="10264140"/>
          <a:ext cx="3910144" cy="164224"/>
        </a:xfrm>
        <a:prstGeom prst="rect">
          <a:avLst/>
        </a:prstGeom>
        <a:noFill/>
        <a:ln w="9525" algn="ctr">
          <a:noFill/>
          <a:miter lim="800000"/>
          <a:headEnd/>
          <a:tailEnd/>
        </a:ln>
        <a:effectLst/>
      </xdr:spPr>
      <xdr:txBody>
        <a:bodyPr anchor="ctr"/>
        <a:lstStyle/>
        <a:p>
          <a:pPr algn="l" rtl="0">
            <a:defRPr sz="1000"/>
          </a:pPr>
          <a:fld id="{ED7268BF-FF23-4C1D-970C-7D5D0754B7C7}"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83</xdr:row>
      <xdr:rowOff>0</xdr:rowOff>
    </xdr:from>
    <xdr:to>
      <xdr:col>20</xdr:col>
      <xdr:colOff>6405</xdr:colOff>
      <xdr:row>84</xdr:row>
      <xdr:rowOff>4204</xdr:rowOff>
    </xdr:to>
    <xdr:sp macro="" textlink="AS84">
      <xdr:nvSpPr>
        <xdr:cNvPr id="86" name="Text Box 896"/>
        <xdr:cNvSpPr txBox="1">
          <a:spLocks noChangeArrowheads="1" noTextEdit="1"/>
        </xdr:cNvSpPr>
      </xdr:nvSpPr>
      <xdr:spPr bwMode="auto">
        <a:xfrm>
          <a:off x="5628881" y="10424160"/>
          <a:ext cx="3910144" cy="164224"/>
        </a:xfrm>
        <a:prstGeom prst="rect">
          <a:avLst/>
        </a:prstGeom>
        <a:noFill/>
        <a:ln w="9525" algn="ctr">
          <a:noFill/>
          <a:miter lim="800000"/>
          <a:headEnd/>
          <a:tailEnd/>
        </a:ln>
        <a:effectLst/>
      </xdr:spPr>
      <xdr:txBody>
        <a:bodyPr anchor="ctr"/>
        <a:lstStyle/>
        <a:p>
          <a:pPr algn="l" rtl="0">
            <a:defRPr sz="1000"/>
          </a:pPr>
          <a:fld id="{A936BA47-6253-4B9A-9BCB-6D4C55B3E1BC}"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84</xdr:row>
      <xdr:rowOff>0</xdr:rowOff>
    </xdr:from>
    <xdr:to>
      <xdr:col>20</xdr:col>
      <xdr:colOff>6405</xdr:colOff>
      <xdr:row>85</xdr:row>
      <xdr:rowOff>4204</xdr:rowOff>
    </xdr:to>
    <xdr:sp macro="" textlink="AS85">
      <xdr:nvSpPr>
        <xdr:cNvPr id="89" name="Text Box 896"/>
        <xdr:cNvSpPr txBox="1">
          <a:spLocks noChangeArrowheads="1" noTextEdit="1"/>
        </xdr:cNvSpPr>
      </xdr:nvSpPr>
      <xdr:spPr bwMode="auto">
        <a:xfrm>
          <a:off x="5628881" y="10584180"/>
          <a:ext cx="3910144" cy="164224"/>
        </a:xfrm>
        <a:prstGeom prst="rect">
          <a:avLst/>
        </a:prstGeom>
        <a:noFill/>
        <a:ln w="9525" algn="ctr">
          <a:noFill/>
          <a:miter lim="800000"/>
          <a:headEnd/>
          <a:tailEnd/>
        </a:ln>
        <a:effectLst/>
      </xdr:spPr>
      <xdr:txBody>
        <a:bodyPr anchor="ctr"/>
        <a:lstStyle/>
        <a:p>
          <a:pPr algn="l" rtl="0">
            <a:defRPr sz="1000"/>
          </a:pPr>
          <a:fld id="{FB96D5F0-384F-4008-943F-ED7787BE7244}"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85</xdr:row>
      <xdr:rowOff>0</xdr:rowOff>
    </xdr:from>
    <xdr:to>
      <xdr:col>20</xdr:col>
      <xdr:colOff>6405</xdr:colOff>
      <xdr:row>86</xdr:row>
      <xdr:rowOff>4204</xdr:rowOff>
    </xdr:to>
    <xdr:sp macro="" textlink="AS86">
      <xdr:nvSpPr>
        <xdr:cNvPr id="92" name="Text Box 896"/>
        <xdr:cNvSpPr txBox="1">
          <a:spLocks noChangeArrowheads="1" noTextEdit="1"/>
        </xdr:cNvSpPr>
      </xdr:nvSpPr>
      <xdr:spPr bwMode="auto">
        <a:xfrm>
          <a:off x="5628881" y="10744200"/>
          <a:ext cx="3910144" cy="164224"/>
        </a:xfrm>
        <a:prstGeom prst="rect">
          <a:avLst/>
        </a:prstGeom>
        <a:noFill/>
        <a:ln w="9525" algn="ctr">
          <a:noFill/>
          <a:miter lim="800000"/>
          <a:headEnd/>
          <a:tailEnd/>
        </a:ln>
        <a:effectLst/>
      </xdr:spPr>
      <xdr:txBody>
        <a:bodyPr anchor="ctr"/>
        <a:lstStyle/>
        <a:p>
          <a:pPr algn="l" rtl="0">
            <a:defRPr sz="1000"/>
          </a:pPr>
          <a:fld id="{12A84663-2CB3-48D0-AC41-111238334BB7}"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86</xdr:row>
      <xdr:rowOff>0</xdr:rowOff>
    </xdr:from>
    <xdr:to>
      <xdr:col>20</xdr:col>
      <xdr:colOff>6405</xdr:colOff>
      <xdr:row>87</xdr:row>
      <xdr:rowOff>4204</xdr:rowOff>
    </xdr:to>
    <xdr:sp macro="" textlink="AS87">
      <xdr:nvSpPr>
        <xdr:cNvPr id="95" name="Text Box 896"/>
        <xdr:cNvSpPr txBox="1">
          <a:spLocks noChangeArrowheads="1" noTextEdit="1"/>
        </xdr:cNvSpPr>
      </xdr:nvSpPr>
      <xdr:spPr bwMode="auto">
        <a:xfrm>
          <a:off x="5628881" y="10904220"/>
          <a:ext cx="3910144" cy="164224"/>
        </a:xfrm>
        <a:prstGeom prst="rect">
          <a:avLst/>
        </a:prstGeom>
        <a:noFill/>
        <a:ln w="9525" algn="ctr">
          <a:noFill/>
          <a:miter lim="800000"/>
          <a:headEnd/>
          <a:tailEnd/>
        </a:ln>
        <a:effectLst/>
      </xdr:spPr>
      <xdr:txBody>
        <a:bodyPr anchor="ctr"/>
        <a:lstStyle/>
        <a:p>
          <a:pPr algn="l" rtl="0">
            <a:defRPr sz="1000"/>
          </a:pPr>
          <a:fld id="{5CAA243F-0557-4864-ACF3-7DFC3A7E166A}"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87</xdr:row>
      <xdr:rowOff>0</xdr:rowOff>
    </xdr:from>
    <xdr:to>
      <xdr:col>20</xdr:col>
      <xdr:colOff>6405</xdr:colOff>
      <xdr:row>88</xdr:row>
      <xdr:rowOff>4204</xdr:rowOff>
    </xdr:to>
    <xdr:sp macro="" textlink="AS88">
      <xdr:nvSpPr>
        <xdr:cNvPr id="98" name="Text Box 896"/>
        <xdr:cNvSpPr txBox="1">
          <a:spLocks noChangeArrowheads="1" noTextEdit="1"/>
        </xdr:cNvSpPr>
      </xdr:nvSpPr>
      <xdr:spPr bwMode="auto">
        <a:xfrm>
          <a:off x="5628881" y="11064240"/>
          <a:ext cx="3910144" cy="164224"/>
        </a:xfrm>
        <a:prstGeom prst="rect">
          <a:avLst/>
        </a:prstGeom>
        <a:noFill/>
        <a:ln w="9525" algn="ctr">
          <a:noFill/>
          <a:miter lim="800000"/>
          <a:headEnd/>
          <a:tailEnd/>
        </a:ln>
        <a:effectLst/>
      </xdr:spPr>
      <xdr:txBody>
        <a:bodyPr anchor="ctr"/>
        <a:lstStyle/>
        <a:p>
          <a:pPr algn="l" rtl="0">
            <a:defRPr sz="1000"/>
          </a:pPr>
          <a:fld id="{9FA38E94-EC80-4A77-B5A3-E9C7D3874130}"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88</xdr:row>
      <xdr:rowOff>0</xdr:rowOff>
    </xdr:from>
    <xdr:to>
      <xdr:col>20</xdr:col>
      <xdr:colOff>6405</xdr:colOff>
      <xdr:row>89</xdr:row>
      <xdr:rowOff>4204</xdr:rowOff>
    </xdr:to>
    <xdr:sp macro="" textlink="AS89">
      <xdr:nvSpPr>
        <xdr:cNvPr id="101" name="Text Box 896"/>
        <xdr:cNvSpPr txBox="1">
          <a:spLocks noChangeArrowheads="1" noTextEdit="1"/>
        </xdr:cNvSpPr>
      </xdr:nvSpPr>
      <xdr:spPr bwMode="auto">
        <a:xfrm>
          <a:off x="5628881" y="11224260"/>
          <a:ext cx="3910144" cy="164224"/>
        </a:xfrm>
        <a:prstGeom prst="rect">
          <a:avLst/>
        </a:prstGeom>
        <a:noFill/>
        <a:ln w="9525" algn="ctr">
          <a:noFill/>
          <a:miter lim="800000"/>
          <a:headEnd/>
          <a:tailEnd/>
        </a:ln>
        <a:effectLst/>
      </xdr:spPr>
      <xdr:txBody>
        <a:bodyPr anchor="ctr"/>
        <a:lstStyle/>
        <a:p>
          <a:pPr algn="l" rtl="0">
            <a:defRPr sz="1000"/>
          </a:pPr>
          <a:fld id="{204EE93E-B1FC-4DC4-8A40-B8CAC702330E}"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89</xdr:row>
      <xdr:rowOff>0</xdr:rowOff>
    </xdr:from>
    <xdr:to>
      <xdr:col>20</xdr:col>
      <xdr:colOff>6405</xdr:colOff>
      <xdr:row>90</xdr:row>
      <xdr:rowOff>4204</xdr:rowOff>
    </xdr:to>
    <xdr:sp macro="" textlink="AS90">
      <xdr:nvSpPr>
        <xdr:cNvPr id="104" name="Text Box 896"/>
        <xdr:cNvSpPr txBox="1">
          <a:spLocks noChangeArrowheads="1" noTextEdit="1"/>
        </xdr:cNvSpPr>
      </xdr:nvSpPr>
      <xdr:spPr bwMode="auto">
        <a:xfrm>
          <a:off x="5628881" y="11384280"/>
          <a:ext cx="3910144" cy="164224"/>
        </a:xfrm>
        <a:prstGeom prst="rect">
          <a:avLst/>
        </a:prstGeom>
        <a:noFill/>
        <a:ln w="9525" algn="ctr">
          <a:noFill/>
          <a:miter lim="800000"/>
          <a:headEnd/>
          <a:tailEnd/>
        </a:ln>
        <a:effectLst/>
      </xdr:spPr>
      <xdr:txBody>
        <a:bodyPr anchor="ctr"/>
        <a:lstStyle/>
        <a:p>
          <a:pPr algn="l" rtl="0">
            <a:defRPr sz="1000"/>
          </a:pPr>
          <a:fld id="{48C7E900-AE1D-4516-96A0-2FF09A34957D}"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90</xdr:row>
      <xdr:rowOff>0</xdr:rowOff>
    </xdr:from>
    <xdr:to>
      <xdr:col>20</xdr:col>
      <xdr:colOff>6405</xdr:colOff>
      <xdr:row>91</xdr:row>
      <xdr:rowOff>4204</xdr:rowOff>
    </xdr:to>
    <xdr:sp macro="" textlink="AS91">
      <xdr:nvSpPr>
        <xdr:cNvPr id="107" name="Text Box 896"/>
        <xdr:cNvSpPr txBox="1">
          <a:spLocks noChangeArrowheads="1" noTextEdit="1"/>
        </xdr:cNvSpPr>
      </xdr:nvSpPr>
      <xdr:spPr bwMode="auto">
        <a:xfrm>
          <a:off x="5628881" y="11544300"/>
          <a:ext cx="3910144" cy="164224"/>
        </a:xfrm>
        <a:prstGeom prst="rect">
          <a:avLst/>
        </a:prstGeom>
        <a:noFill/>
        <a:ln w="9525" algn="ctr">
          <a:noFill/>
          <a:miter lim="800000"/>
          <a:headEnd/>
          <a:tailEnd/>
        </a:ln>
        <a:effectLst/>
      </xdr:spPr>
      <xdr:txBody>
        <a:bodyPr anchor="ctr"/>
        <a:lstStyle/>
        <a:p>
          <a:pPr algn="l" rtl="0">
            <a:defRPr sz="1000"/>
          </a:pPr>
          <a:fld id="{9794EBAB-14E8-44C3-A817-DF6A0A1B7317}"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91</xdr:row>
      <xdr:rowOff>0</xdr:rowOff>
    </xdr:from>
    <xdr:to>
      <xdr:col>20</xdr:col>
      <xdr:colOff>6405</xdr:colOff>
      <xdr:row>92</xdr:row>
      <xdr:rowOff>4204</xdr:rowOff>
    </xdr:to>
    <xdr:sp macro="" textlink="AS92">
      <xdr:nvSpPr>
        <xdr:cNvPr id="110" name="Text Box 896"/>
        <xdr:cNvSpPr txBox="1">
          <a:spLocks noChangeArrowheads="1" noTextEdit="1"/>
        </xdr:cNvSpPr>
      </xdr:nvSpPr>
      <xdr:spPr bwMode="auto">
        <a:xfrm>
          <a:off x="5628881" y="11704320"/>
          <a:ext cx="3910144" cy="164224"/>
        </a:xfrm>
        <a:prstGeom prst="rect">
          <a:avLst/>
        </a:prstGeom>
        <a:noFill/>
        <a:ln w="9525" algn="ctr">
          <a:noFill/>
          <a:miter lim="800000"/>
          <a:headEnd/>
          <a:tailEnd/>
        </a:ln>
        <a:effectLst/>
      </xdr:spPr>
      <xdr:txBody>
        <a:bodyPr anchor="ctr"/>
        <a:lstStyle/>
        <a:p>
          <a:pPr algn="l" rtl="0">
            <a:defRPr sz="1000"/>
          </a:pPr>
          <a:fld id="{31EC8AD4-A5ED-4B9E-93CC-5232A6BF1C22}"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92</xdr:row>
      <xdr:rowOff>0</xdr:rowOff>
    </xdr:from>
    <xdr:to>
      <xdr:col>20</xdr:col>
      <xdr:colOff>6405</xdr:colOff>
      <xdr:row>93</xdr:row>
      <xdr:rowOff>4204</xdr:rowOff>
    </xdr:to>
    <xdr:sp macro="" textlink="AS93">
      <xdr:nvSpPr>
        <xdr:cNvPr id="113" name="Text Box 896"/>
        <xdr:cNvSpPr txBox="1">
          <a:spLocks noChangeArrowheads="1" noTextEdit="1"/>
        </xdr:cNvSpPr>
      </xdr:nvSpPr>
      <xdr:spPr bwMode="auto">
        <a:xfrm>
          <a:off x="5628881" y="11864340"/>
          <a:ext cx="3910144" cy="164224"/>
        </a:xfrm>
        <a:prstGeom prst="rect">
          <a:avLst/>
        </a:prstGeom>
        <a:noFill/>
        <a:ln w="9525" algn="ctr">
          <a:noFill/>
          <a:miter lim="800000"/>
          <a:headEnd/>
          <a:tailEnd/>
        </a:ln>
        <a:effectLst/>
      </xdr:spPr>
      <xdr:txBody>
        <a:bodyPr anchor="ctr"/>
        <a:lstStyle/>
        <a:p>
          <a:pPr algn="l" rtl="0">
            <a:defRPr sz="1000"/>
          </a:pPr>
          <a:fld id="{227B3F19-204E-46C3-A5A2-0E30923ABAAD}"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93</xdr:row>
      <xdr:rowOff>0</xdr:rowOff>
    </xdr:from>
    <xdr:to>
      <xdr:col>20</xdr:col>
      <xdr:colOff>6405</xdr:colOff>
      <xdr:row>94</xdr:row>
      <xdr:rowOff>4204</xdr:rowOff>
    </xdr:to>
    <xdr:sp macro="" textlink="AS94">
      <xdr:nvSpPr>
        <xdr:cNvPr id="116" name="Text Box 896"/>
        <xdr:cNvSpPr txBox="1">
          <a:spLocks noChangeArrowheads="1" noTextEdit="1"/>
        </xdr:cNvSpPr>
      </xdr:nvSpPr>
      <xdr:spPr bwMode="auto">
        <a:xfrm>
          <a:off x="5628881" y="12024360"/>
          <a:ext cx="3910144" cy="164224"/>
        </a:xfrm>
        <a:prstGeom prst="rect">
          <a:avLst/>
        </a:prstGeom>
        <a:noFill/>
        <a:ln w="9525" algn="ctr">
          <a:noFill/>
          <a:miter lim="800000"/>
          <a:headEnd/>
          <a:tailEnd/>
        </a:ln>
        <a:effectLst/>
      </xdr:spPr>
      <xdr:txBody>
        <a:bodyPr anchor="ctr"/>
        <a:lstStyle/>
        <a:p>
          <a:pPr algn="l" rtl="0">
            <a:defRPr sz="1000"/>
          </a:pPr>
          <a:fld id="{795D69DE-F57F-407A-BAAB-501C31497C2F}"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94</xdr:row>
      <xdr:rowOff>0</xdr:rowOff>
    </xdr:from>
    <xdr:to>
      <xdr:col>20</xdr:col>
      <xdr:colOff>6405</xdr:colOff>
      <xdr:row>95</xdr:row>
      <xdr:rowOff>4204</xdr:rowOff>
    </xdr:to>
    <xdr:sp macro="" textlink="AS95">
      <xdr:nvSpPr>
        <xdr:cNvPr id="119" name="Text Box 896"/>
        <xdr:cNvSpPr txBox="1">
          <a:spLocks noChangeArrowheads="1" noTextEdit="1"/>
        </xdr:cNvSpPr>
      </xdr:nvSpPr>
      <xdr:spPr bwMode="auto">
        <a:xfrm>
          <a:off x="5628881" y="12184380"/>
          <a:ext cx="3910144" cy="164224"/>
        </a:xfrm>
        <a:prstGeom prst="rect">
          <a:avLst/>
        </a:prstGeom>
        <a:noFill/>
        <a:ln w="9525" algn="ctr">
          <a:noFill/>
          <a:miter lim="800000"/>
          <a:headEnd/>
          <a:tailEnd/>
        </a:ln>
        <a:effectLst/>
      </xdr:spPr>
      <xdr:txBody>
        <a:bodyPr anchor="ctr"/>
        <a:lstStyle/>
        <a:p>
          <a:pPr algn="l" rtl="0">
            <a:defRPr sz="1000"/>
          </a:pPr>
          <a:fld id="{BEB011EA-BED1-471E-985B-E13737CB5596}"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95</xdr:row>
      <xdr:rowOff>0</xdr:rowOff>
    </xdr:from>
    <xdr:to>
      <xdr:col>20</xdr:col>
      <xdr:colOff>6405</xdr:colOff>
      <xdr:row>96</xdr:row>
      <xdr:rowOff>4204</xdr:rowOff>
    </xdr:to>
    <xdr:sp macro="" textlink="AS96">
      <xdr:nvSpPr>
        <xdr:cNvPr id="122" name="Text Box 896"/>
        <xdr:cNvSpPr txBox="1">
          <a:spLocks noChangeArrowheads="1" noTextEdit="1"/>
        </xdr:cNvSpPr>
      </xdr:nvSpPr>
      <xdr:spPr bwMode="auto">
        <a:xfrm>
          <a:off x="5628881" y="12344400"/>
          <a:ext cx="3910144" cy="164224"/>
        </a:xfrm>
        <a:prstGeom prst="rect">
          <a:avLst/>
        </a:prstGeom>
        <a:noFill/>
        <a:ln w="9525" algn="ctr">
          <a:noFill/>
          <a:miter lim="800000"/>
          <a:headEnd/>
          <a:tailEnd/>
        </a:ln>
        <a:effectLst/>
      </xdr:spPr>
      <xdr:txBody>
        <a:bodyPr anchor="ctr"/>
        <a:lstStyle/>
        <a:p>
          <a:pPr algn="l" rtl="0">
            <a:defRPr sz="1000"/>
          </a:pPr>
          <a:fld id="{C761C3B9-CE95-4EB2-8858-93BB532A6A05}"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96</xdr:row>
      <xdr:rowOff>0</xdr:rowOff>
    </xdr:from>
    <xdr:to>
      <xdr:col>20</xdr:col>
      <xdr:colOff>6405</xdr:colOff>
      <xdr:row>97</xdr:row>
      <xdr:rowOff>4204</xdr:rowOff>
    </xdr:to>
    <xdr:sp macro="" textlink="AS97">
      <xdr:nvSpPr>
        <xdr:cNvPr id="125" name="Text Box 896"/>
        <xdr:cNvSpPr txBox="1">
          <a:spLocks noChangeArrowheads="1" noTextEdit="1"/>
        </xdr:cNvSpPr>
      </xdr:nvSpPr>
      <xdr:spPr bwMode="auto">
        <a:xfrm>
          <a:off x="5628881" y="12504420"/>
          <a:ext cx="3910144" cy="164224"/>
        </a:xfrm>
        <a:prstGeom prst="rect">
          <a:avLst/>
        </a:prstGeom>
        <a:noFill/>
        <a:ln w="9525" algn="ctr">
          <a:noFill/>
          <a:miter lim="800000"/>
          <a:headEnd/>
          <a:tailEnd/>
        </a:ln>
        <a:effectLst/>
      </xdr:spPr>
      <xdr:txBody>
        <a:bodyPr anchor="ctr"/>
        <a:lstStyle/>
        <a:p>
          <a:pPr algn="l" rtl="0">
            <a:defRPr sz="1000"/>
          </a:pPr>
          <a:fld id="{F27915FC-C321-404D-85D1-984123CD8BF9}"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97</xdr:row>
      <xdr:rowOff>0</xdr:rowOff>
    </xdr:from>
    <xdr:to>
      <xdr:col>20</xdr:col>
      <xdr:colOff>6405</xdr:colOff>
      <xdr:row>98</xdr:row>
      <xdr:rowOff>4204</xdr:rowOff>
    </xdr:to>
    <xdr:sp macro="" textlink="AS98">
      <xdr:nvSpPr>
        <xdr:cNvPr id="128" name="Text Box 896"/>
        <xdr:cNvSpPr txBox="1">
          <a:spLocks noChangeArrowheads="1" noTextEdit="1"/>
        </xdr:cNvSpPr>
      </xdr:nvSpPr>
      <xdr:spPr bwMode="auto">
        <a:xfrm>
          <a:off x="5628881" y="12664440"/>
          <a:ext cx="3910144" cy="164224"/>
        </a:xfrm>
        <a:prstGeom prst="rect">
          <a:avLst/>
        </a:prstGeom>
        <a:noFill/>
        <a:ln w="9525" algn="ctr">
          <a:noFill/>
          <a:miter lim="800000"/>
          <a:headEnd/>
          <a:tailEnd/>
        </a:ln>
        <a:effectLst/>
      </xdr:spPr>
      <xdr:txBody>
        <a:bodyPr anchor="ctr"/>
        <a:lstStyle/>
        <a:p>
          <a:pPr algn="l" rtl="0">
            <a:defRPr sz="1000"/>
          </a:pPr>
          <a:fld id="{64AA9C9C-0F48-4231-AEAF-20FA0E3AD032}"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98</xdr:row>
      <xdr:rowOff>0</xdr:rowOff>
    </xdr:from>
    <xdr:to>
      <xdr:col>20</xdr:col>
      <xdr:colOff>6405</xdr:colOff>
      <xdr:row>99</xdr:row>
      <xdr:rowOff>4204</xdr:rowOff>
    </xdr:to>
    <xdr:sp macro="" textlink="AS99">
      <xdr:nvSpPr>
        <xdr:cNvPr id="131" name="Text Box 896"/>
        <xdr:cNvSpPr txBox="1">
          <a:spLocks noChangeArrowheads="1" noTextEdit="1"/>
        </xdr:cNvSpPr>
      </xdr:nvSpPr>
      <xdr:spPr bwMode="auto">
        <a:xfrm>
          <a:off x="5628881" y="12824460"/>
          <a:ext cx="3910144" cy="164224"/>
        </a:xfrm>
        <a:prstGeom prst="rect">
          <a:avLst/>
        </a:prstGeom>
        <a:noFill/>
        <a:ln w="9525" algn="ctr">
          <a:noFill/>
          <a:miter lim="800000"/>
          <a:headEnd/>
          <a:tailEnd/>
        </a:ln>
        <a:effectLst/>
      </xdr:spPr>
      <xdr:txBody>
        <a:bodyPr anchor="ctr"/>
        <a:lstStyle/>
        <a:p>
          <a:pPr algn="l" rtl="0">
            <a:defRPr sz="1000"/>
          </a:pPr>
          <a:fld id="{9FB368E2-6D03-444D-BC51-EF1D27F34468}"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99</xdr:row>
      <xdr:rowOff>0</xdr:rowOff>
    </xdr:from>
    <xdr:to>
      <xdr:col>20</xdr:col>
      <xdr:colOff>6405</xdr:colOff>
      <xdr:row>100</xdr:row>
      <xdr:rowOff>4204</xdr:rowOff>
    </xdr:to>
    <xdr:sp macro="" textlink="AS100">
      <xdr:nvSpPr>
        <xdr:cNvPr id="134" name="Text Box 896"/>
        <xdr:cNvSpPr txBox="1">
          <a:spLocks noChangeArrowheads="1" noTextEdit="1"/>
        </xdr:cNvSpPr>
      </xdr:nvSpPr>
      <xdr:spPr bwMode="auto">
        <a:xfrm>
          <a:off x="5628881" y="12984480"/>
          <a:ext cx="3910144" cy="164224"/>
        </a:xfrm>
        <a:prstGeom prst="rect">
          <a:avLst/>
        </a:prstGeom>
        <a:noFill/>
        <a:ln w="9525" algn="ctr">
          <a:noFill/>
          <a:miter lim="800000"/>
          <a:headEnd/>
          <a:tailEnd/>
        </a:ln>
        <a:effectLst/>
      </xdr:spPr>
      <xdr:txBody>
        <a:bodyPr anchor="ctr"/>
        <a:lstStyle/>
        <a:p>
          <a:pPr algn="l" rtl="0">
            <a:defRPr sz="1000"/>
          </a:pPr>
          <a:fld id="{7F5A97A8-6E37-49DE-90DF-99957754B98F}"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100</xdr:row>
      <xdr:rowOff>0</xdr:rowOff>
    </xdr:from>
    <xdr:to>
      <xdr:col>20</xdr:col>
      <xdr:colOff>6405</xdr:colOff>
      <xdr:row>101</xdr:row>
      <xdr:rowOff>4204</xdr:rowOff>
    </xdr:to>
    <xdr:sp macro="" textlink="AS101">
      <xdr:nvSpPr>
        <xdr:cNvPr id="137" name="Text Box 896"/>
        <xdr:cNvSpPr txBox="1">
          <a:spLocks noChangeArrowheads="1" noTextEdit="1"/>
        </xdr:cNvSpPr>
      </xdr:nvSpPr>
      <xdr:spPr bwMode="auto">
        <a:xfrm>
          <a:off x="5628881" y="13144500"/>
          <a:ext cx="3910144" cy="164224"/>
        </a:xfrm>
        <a:prstGeom prst="rect">
          <a:avLst/>
        </a:prstGeom>
        <a:noFill/>
        <a:ln w="9525" algn="ctr">
          <a:noFill/>
          <a:miter lim="800000"/>
          <a:headEnd/>
          <a:tailEnd/>
        </a:ln>
        <a:effectLst/>
      </xdr:spPr>
      <xdr:txBody>
        <a:bodyPr anchor="ctr"/>
        <a:lstStyle/>
        <a:p>
          <a:pPr algn="l" rtl="0">
            <a:defRPr sz="1000"/>
          </a:pPr>
          <a:fld id="{5506A16C-A886-4CEE-8BE9-FE210DA7E30A}"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101</xdr:row>
      <xdr:rowOff>0</xdr:rowOff>
    </xdr:from>
    <xdr:to>
      <xdr:col>20</xdr:col>
      <xdr:colOff>6405</xdr:colOff>
      <xdr:row>102</xdr:row>
      <xdr:rowOff>4204</xdr:rowOff>
    </xdr:to>
    <xdr:sp macro="" textlink="AS102">
      <xdr:nvSpPr>
        <xdr:cNvPr id="140" name="Text Box 896"/>
        <xdr:cNvSpPr txBox="1">
          <a:spLocks noChangeArrowheads="1" noTextEdit="1"/>
        </xdr:cNvSpPr>
      </xdr:nvSpPr>
      <xdr:spPr bwMode="auto">
        <a:xfrm>
          <a:off x="5628881" y="13304520"/>
          <a:ext cx="3910144" cy="164224"/>
        </a:xfrm>
        <a:prstGeom prst="rect">
          <a:avLst/>
        </a:prstGeom>
        <a:noFill/>
        <a:ln w="9525" algn="ctr">
          <a:noFill/>
          <a:miter lim="800000"/>
          <a:headEnd/>
          <a:tailEnd/>
        </a:ln>
        <a:effectLst/>
      </xdr:spPr>
      <xdr:txBody>
        <a:bodyPr anchor="ctr"/>
        <a:lstStyle/>
        <a:p>
          <a:pPr algn="l" rtl="0">
            <a:defRPr sz="1000"/>
          </a:pPr>
          <a:fld id="{514004E3-F5C3-42D8-9DD9-C95AC3B2FF95}"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102</xdr:row>
      <xdr:rowOff>0</xdr:rowOff>
    </xdr:from>
    <xdr:to>
      <xdr:col>20</xdr:col>
      <xdr:colOff>6405</xdr:colOff>
      <xdr:row>103</xdr:row>
      <xdr:rowOff>4204</xdr:rowOff>
    </xdr:to>
    <xdr:sp macro="" textlink="AS103">
      <xdr:nvSpPr>
        <xdr:cNvPr id="143" name="Text Box 896"/>
        <xdr:cNvSpPr txBox="1">
          <a:spLocks noChangeArrowheads="1" noTextEdit="1"/>
        </xdr:cNvSpPr>
      </xdr:nvSpPr>
      <xdr:spPr bwMode="auto">
        <a:xfrm>
          <a:off x="5628881" y="13464540"/>
          <a:ext cx="3910144" cy="164224"/>
        </a:xfrm>
        <a:prstGeom prst="rect">
          <a:avLst/>
        </a:prstGeom>
        <a:noFill/>
        <a:ln w="9525" algn="ctr">
          <a:noFill/>
          <a:miter lim="800000"/>
          <a:headEnd/>
          <a:tailEnd/>
        </a:ln>
        <a:effectLst/>
      </xdr:spPr>
      <xdr:txBody>
        <a:bodyPr anchor="ctr"/>
        <a:lstStyle/>
        <a:p>
          <a:pPr algn="l" rtl="0">
            <a:defRPr sz="1000"/>
          </a:pPr>
          <a:fld id="{51873C84-A031-4264-AAA3-3364BF75F457}"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103</xdr:row>
      <xdr:rowOff>0</xdr:rowOff>
    </xdr:from>
    <xdr:to>
      <xdr:col>20</xdr:col>
      <xdr:colOff>6405</xdr:colOff>
      <xdr:row>104</xdr:row>
      <xdr:rowOff>4204</xdr:rowOff>
    </xdr:to>
    <xdr:sp macro="" textlink="AS104">
      <xdr:nvSpPr>
        <xdr:cNvPr id="146" name="Text Box 896"/>
        <xdr:cNvSpPr txBox="1">
          <a:spLocks noChangeArrowheads="1" noTextEdit="1"/>
        </xdr:cNvSpPr>
      </xdr:nvSpPr>
      <xdr:spPr bwMode="auto">
        <a:xfrm>
          <a:off x="5628881" y="13624560"/>
          <a:ext cx="3910144" cy="164224"/>
        </a:xfrm>
        <a:prstGeom prst="rect">
          <a:avLst/>
        </a:prstGeom>
        <a:noFill/>
        <a:ln w="9525" algn="ctr">
          <a:noFill/>
          <a:miter lim="800000"/>
          <a:headEnd/>
          <a:tailEnd/>
        </a:ln>
        <a:effectLst/>
      </xdr:spPr>
      <xdr:txBody>
        <a:bodyPr anchor="ctr"/>
        <a:lstStyle/>
        <a:p>
          <a:pPr algn="l" rtl="0">
            <a:defRPr sz="1000"/>
          </a:pPr>
          <a:fld id="{BC992979-9574-4875-8108-60B2BAB48F14}"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104</xdr:row>
      <xdr:rowOff>0</xdr:rowOff>
    </xdr:from>
    <xdr:to>
      <xdr:col>20</xdr:col>
      <xdr:colOff>6405</xdr:colOff>
      <xdr:row>105</xdr:row>
      <xdr:rowOff>4204</xdr:rowOff>
    </xdr:to>
    <xdr:sp macro="" textlink="AS105">
      <xdr:nvSpPr>
        <xdr:cNvPr id="149" name="Text Box 896"/>
        <xdr:cNvSpPr txBox="1">
          <a:spLocks noChangeArrowheads="1" noTextEdit="1"/>
        </xdr:cNvSpPr>
      </xdr:nvSpPr>
      <xdr:spPr bwMode="auto">
        <a:xfrm>
          <a:off x="5628881" y="13784580"/>
          <a:ext cx="3910144" cy="164224"/>
        </a:xfrm>
        <a:prstGeom prst="rect">
          <a:avLst/>
        </a:prstGeom>
        <a:noFill/>
        <a:ln w="9525" algn="ctr">
          <a:noFill/>
          <a:miter lim="800000"/>
          <a:headEnd/>
          <a:tailEnd/>
        </a:ln>
        <a:effectLst/>
      </xdr:spPr>
      <xdr:txBody>
        <a:bodyPr anchor="ctr"/>
        <a:lstStyle/>
        <a:p>
          <a:pPr algn="l" rtl="0">
            <a:defRPr sz="1000"/>
          </a:pPr>
          <a:fld id="{D20C5C48-DF7E-466A-B1F1-436AAE964150}"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105</xdr:row>
      <xdr:rowOff>0</xdr:rowOff>
    </xdr:from>
    <xdr:to>
      <xdr:col>20</xdr:col>
      <xdr:colOff>6405</xdr:colOff>
      <xdr:row>106</xdr:row>
      <xdr:rowOff>4204</xdr:rowOff>
    </xdr:to>
    <xdr:sp macro="" textlink="AS106">
      <xdr:nvSpPr>
        <xdr:cNvPr id="152" name="Text Box 896"/>
        <xdr:cNvSpPr txBox="1">
          <a:spLocks noChangeArrowheads="1" noTextEdit="1"/>
        </xdr:cNvSpPr>
      </xdr:nvSpPr>
      <xdr:spPr bwMode="auto">
        <a:xfrm>
          <a:off x="5628881" y="13944600"/>
          <a:ext cx="3910144" cy="164224"/>
        </a:xfrm>
        <a:prstGeom prst="rect">
          <a:avLst/>
        </a:prstGeom>
        <a:noFill/>
        <a:ln w="9525" algn="ctr">
          <a:noFill/>
          <a:miter lim="800000"/>
          <a:headEnd/>
          <a:tailEnd/>
        </a:ln>
        <a:effectLst/>
      </xdr:spPr>
      <xdr:txBody>
        <a:bodyPr anchor="ctr"/>
        <a:lstStyle/>
        <a:p>
          <a:pPr algn="l" rtl="0">
            <a:defRPr sz="1000"/>
          </a:pPr>
          <a:fld id="{94CA46CE-F6EB-4BED-A644-1274DF9F62AB}"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106</xdr:row>
      <xdr:rowOff>0</xdr:rowOff>
    </xdr:from>
    <xdr:to>
      <xdr:col>20</xdr:col>
      <xdr:colOff>6405</xdr:colOff>
      <xdr:row>107</xdr:row>
      <xdr:rowOff>4204</xdr:rowOff>
    </xdr:to>
    <xdr:sp macro="" textlink="AS107">
      <xdr:nvSpPr>
        <xdr:cNvPr id="155" name="Text Box 896"/>
        <xdr:cNvSpPr txBox="1">
          <a:spLocks noChangeArrowheads="1" noTextEdit="1"/>
        </xdr:cNvSpPr>
      </xdr:nvSpPr>
      <xdr:spPr bwMode="auto">
        <a:xfrm>
          <a:off x="5628881" y="14104620"/>
          <a:ext cx="3910144" cy="164224"/>
        </a:xfrm>
        <a:prstGeom prst="rect">
          <a:avLst/>
        </a:prstGeom>
        <a:noFill/>
        <a:ln w="9525" algn="ctr">
          <a:noFill/>
          <a:miter lim="800000"/>
          <a:headEnd/>
          <a:tailEnd/>
        </a:ln>
        <a:effectLst/>
      </xdr:spPr>
      <xdr:txBody>
        <a:bodyPr anchor="ctr"/>
        <a:lstStyle/>
        <a:p>
          <a:pPr algn="l" rtl="0">
            <a:defRPr sz="1000"/>
          </a:pPr>
          <a:fld id="{00A573AB-746F-47C9-A521-D6F88B385FB9}"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107</xdr:row>
      <xdr:rowOff>0</xdr:rowOff>
    </xdr:from>
    <xdr:to>
      <xdr:col>20</xdr:col>
      <xdr:colOff>6405</xdr:colOff>
      <xdr:row>108</xdr:row>
      <xdr:rowOff>4204</xdr:rowOff>
    </xdr:to>
    <xdr:sp macro="" textlink="AS108">
      <xdr:nvSpPr>
        <xdr:cNvPr id="158" name="Text Box 896"/>
        <xdr:cNvSpPr txBox="1">
          <a:spLocks noChangeArrowheads="1" noTextEdit="1"/>
        </xdr:cNvSpPr>
      </xdr:nvSpPr>
      <xdr:spPr bwMode="auto">
        <a:xfrm>
          <a:off x="5628881" y="14264640"/>
          <a:ext cx="3910144" cy="164224"/>
        </a:xfrm>
        <a:prstGeom prst="rect">
          <a:avLst/>
        </a:prstGeom>
        <a:noFill/>
        <a:ln w="9525" algn="ctr">
          <a:noFill/>
          <a:miter lim="800000"/>
          <a:headEnd/>
          <a:tailEnd/>
        </a:ln>
        <a:effectLst/>
      </xdr:spPr>
      <xdr:txBody>
        <a:bodyPr anchor="ctr"/>
        <a:lstStyle/>
        <a:p>
          <a:pPr algn="l" rtl="0">
            <a:defRPr sz="1000"/>
          </a:pPr>
          <a:fld id="{B9D98D46-B500-47FA-B4EF-5FCC82AA61B4}"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108</xdr:row>
      <xdr:rowOff>0</xdr:rowOff>
    </xdr:from>
    <xdr:to>
      <xdr:col>20</xdr:col>
      <xdr:colOff>6405</xdr:colOff>
      <xdr:row>109</xdr:row>
      <xdr:rowOff>4204</xdr:rowOff>
    </xdr:to>
    <xdr:sp macro="" textlink="AS109">
      <xdr:nvSpPr>
        <xdr:cNvPr id="161" name="Text Box 896"/>
        <xdr:cNvSpPr txBox="1">
          <a:spLocks noChangeArrowheads="1" noTextEdit="1"/>
        </xdr:cNvSpPr>
      </xdr:nvSpPr>
      <xdr:spPr bwMode="auto">
        <a:xfrm>
          <a:off x="5628881" y="14424660"/>
          <a:ext cx="3910144" cy="164224"/>
        </a:xfrm>
        <a:prstGeom prst="rect">
          <a:avLst/>
        </a:prstGeom>
        <a:noFill/>
        <a:ln w="9525" algn="ctr">
          <a:noFill/>
          <a:miter lim="800000"/>
          <a:headEnd/>
          <a:tailEnd/>
        </a:ln>
        <a:effectLst/>
      </xdr:spPr>
      <xdr:txBody>
        <a:bodyPr anchor="ctr"/>
        <a:lstStyle/>
        <a:p>
          <a:pPr algn="l" rtl="0">
            <a:defRPr sz="1000"/>
          </a:pPr>
          <a:fld id="{4AFB83D1-3DDC-4B3A-9768-A734B07AE769}"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109</xdr:row>
      <xdr:rowOff>0</xdr:rowOff>
    </xdr:from>
    <xdr:to>
      <xdr:col>20</xdr:col>
      <xdr:colOff>6405</xdr:colOff>
      <xdr:row>110</xdr:row>
      <xdr:rowOff>4204</xdr:rowOff>
    </xdr:to>
    <xdr:sp macro="" textlink="AS110">
      <xdr:nvSpPr>
        <xdr:cNvPr id="164" name="Text Box 896"/>
        <xdr:cNvSpPr txBox="1">
          <a:spLocks noChangeArrowheads="1" noTextEdit="1"/>
        </xdr:cNvSpPr>
      </xdr:nvSpPr>
      <xdr:spPr bwMode="auto">
        <a:xfrm>
          <a:off x="5628881" y="14584680"/>
          <a:ext cx="3910144" cy="164224"/>
        </a:xfrm>
        <a:prstGeom prst="rect">
          <a:avLst/>
        </a:prstGeom>
        <a:noFill/>
        <a:ln w="9525" algn="ctr">
          <a:noFill/>
          <a:miter lim="800000"/>
          <a:headEnd/>
          <a:tailEnd/>
        </a:ln>
        <a:effectLst/>
      </xdr:spPr>
      <xdr:txBody>
        <a:bodyPr anchor="ctr"/>
        <a:lstStyle/>
        <a:p>
          <a:pPr algn="l" rtl="0">
            <a:defRPr sz="1000"/>
          </a:pPr>
          <a:fld id="{180353D1-13DB-434C-BD4A-4C5FC2F2FDB3}"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110</xdr:row>
      <xdr:rowOff>0</xdr:rowOff>
    </xdr:from>
    <xdr:to>
      <xdr:col>20</xdr:col>
      <xdr:colOff>6405</xdr:colOff>
      <xdr:row>111</xdr:row>
      <xdr:rowOff>4204</xdr:rowOff>
    </xdr:to>
    <xdr:sp macro="" textlink="AS111">
      <xdr:nvSpPr>
        <xdr:cNvPr id="167" name="Text Box 896"/>
        <xdr:cNvSpPr txBox="1">
          <a:spLocks noChangeArrowheads="1" noTextEdit="1"/>
        </xdr:cNvSpPr>
      </xdr:nvSpPr>
      <xdr:spPr bwMode="auto">
        <a:xfrm>
          <a:off x="5628881" y="14744700"/>
          <a:ext cx="3910144" cy="164224"/>
        </a:xfrm>
        <a:prstGeom prst="rect">
          <a:avLst/>
        </a:prstGeom>
        <a:noFill/>
        <a:ln w="9525" algn="ctr">
          <a:noFill/>
          <a:miter lim="800000"/>
          <a:headEnd/>
          <a:tailEnd/>
        </a:ln>
        <a:effectLst/>
      </xdr:spPr>
      <xdr:txBody>
        <a:bodyPr anchor="ctr"/>
        <a:lstStyle/>
        <a:p>
          <a:pPr algn="l" rtl="0">
            <a:defRPr sz="1000"/>
          </a:pPr>
          <a:fld id="{69C271CE-1079-4FA3-8014-95E5AE23AC4F}"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111</xdr:row>
      <xdr:rowOff>0</xdr:rowOff>
    </xdr:from>
    <xdr:to>
      <xdr:col>20</xdr:col>
      <xdr:colOff>6405</xdr:colOff>
      <xdr:row>112</xdr:row>
      <xdr:rowOff>4204</xdr:rowOff>
    </xdr:to>
    <xdr:sp macro="" textlink="AS112">
      <xdr:nvSpPr>
        <xdr:cNvPr id="170" name="Text Box 896"/>
        <xdr:cNvSpPr txBox="1">
          <a:spLocks noChangeArrowheads="1" noTextEdit="1"/>
        </xdr:cNvSpPr>
      </xdr:nvSpPr>
      <xdr:spPr bwMode="auto">
        <a:xfrm>
          <a:off x="5628881" y="14904720"/>
          <a:ext cx="3910144" cy="164224"/>
        </a:xfrm>
        <a:prstGeom prst="rect">
          <a:avLst/>
        </a:prstGeom>
        <a:noFill/>
        <a:ln w="9525" algn="ctr">
          <a:noFill/>
          <a:miter lim="800000"/>
          <a:headEnd/>
          <a:tailEnd/>
        </a:ln>
        <a:effectLst/>
      </xdr:spPr>
      <xdr:txBody>
        <a:bodyPr anchor="ctr"/>
        <a:lstStyle/>
        <a:p>
          <a:pPr algn="l" rtl="0">
            <a:defRPr sz="1000"/>
          </a:pPr>
          <a:fld id="{7E8AAE10-3079-42EC-A2E0-26D34AFBD857}"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112</xdr:row>
      <xdr:rowOff>0</xdr:rowOff>
    </xdr:from>
    <xdr:to>
      <xdr:col>20</xdr:col>
      <xdr:colOff>6405</xdr:colOff>
      <xdr:row>113</xdr:row>
      <xdr:rowOff>4204</xdr:rowOff>
    </xdr:to>
    <xdr:sp macro="" textlink="AS113">
      <xdr:nvSpPr>
        <xdr:cNvPr id="173" name="Text Box 896"/>
        <xdr:cNvSpPr txBox="1">
          <a:spLocks noChangeArrowheads="1" noTextEdit="1"/>
        </xdr:cNvSpPr>
      </xdr:nvSpPr>
      <xdr:spPr bwMode="auto">
        <a:xfrm>
          <a:off x="5628881" y="15064740"/>
          <a:ext cx="3910144" cy="164224"/>
        </a:xfrm>
        <a:prstGeom prst="rect">
          <a:avLst/>
        </a:prstGeom>
        <a:noFill/>
        <a:ln w="9525" algn="ctr">
          <a:noFill/>
          <a:miter lim="800000"/>
          <a:headEnd/>
          <a:tailEnd/>
        </a:ln>
        <a:effectLst/>
      </xdr:spPr>
      <xdr:txBody>
        <a:bodyPr anchor="ctr"/>
        <a:lstStyle/>
        <a:p>
          <a:pPr algn="l" rtl="0">
            <a:defRPr sz="1000"/>
          </a:pPr>
          <a:fld id="{4E12B1A1-6D0B-4476-ACEA-A754206647FF}"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113</xdr:row>
      <xdr:rowOff>0</xdr:rowOff>
    </xdr:from>
    <xdr:to>
      <xdr:col>20</xdr:col>
      <xdr:colOff>6405</xdr:colOff>
      <xdr:row>114</xdr:row>
      <xdr:rowOff>4204</xdr:rowOff>
    </xdr:to>
    <xdr:sp macro="" textlink="AS114">
      <xdr:nvSpPr>
        <xdr:cNvPr id="176" name="Text Box 896"/>
        <xdr:cNvSpPr txBox="1">
          <a:spLocks noChangeArrowheads="1" noTextEdit="1"/>
        </xdr:cNvSpPr>
      </xdr:nvSpPr>
      <xdr:spPr bwMode="auto">
        <a:xfrm>
          <a:off x="5628881" y="15224760"/>
          <a:ext cx="3910144" cy="164224"/>
        </a:xfrm>
        <a:prstGeom prst="rect">
          <a:avLst/>
        </a:prstGeom>
        <a:noFill/>
        <a:ln w="9525" algn="ctr">
          <a:noFill/>
          <a:miter lim="800000"/>
          <a:headEnd/>
          <a:tailEnd/>
        </a:ln>
        <a:effectLst/>
      </xdr:spPr>
      <xdr:txBody>
        <a:bodyPr anchor="ctr"/>
        <a:lstStyle/>
        <a:p>
          <a:pPr algn="l" rtl="0">
            <a:defRPr sz="1000"/>
          </a:pPr>
          <a:fld id="{42CA08D9-01F6-4CCB-A8F8-28F6BF53BB5F}"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114</xdr:row>
      <xdr:rowOff>0</xdr:rowOff>
    </xdr:from>
    <xdr:to>
      <xdr:col>20</xdr:col>
      <xdr:colOff>6405</xdr:colOff>
      <xdr:row>115</xdr:row>
      <xdr:rowOff>4204</xdr:rowOff>
    </xdr:to>
    <xdr:sp macro="" textlink="AS115">
      <xdr:nvSpPr>
        <xdr:cNvPr id="178" name="Text Box 896"/>
        <xdr:cNvSpPr txBox="1">
          <a:spLocks noChangeArrowheads="1" noTextEdit="1"/>
        </xdr:cNvSpPr>
      </xdr:nvSpPr>
      <xdr:spPr bwMode="auto">
        <a:xfrm>
          <a:off x="5628881" y="15384780"/>
          <a:ext cx="3910144" cy="164224"/>
        </a:xfrm>
        <a:prstGeom prst="rect">
          <a:avLst/>
        </a:prstGeom>
        <a:noFill/>
        <a:ln w="9525" algn="ctr">
          <a:noFill/>
          <a:miter lim="800000"/>
          <a:headEnd/>
          <a:tailEnd/>
        </a:ln>
        <a:effectLst/>
      </xdr:spPr>
      <xdr:txBody>
        <a:bodyPr anchor="ctr"/>
        <a:lstStyle/>
        <a:p>
          <a:pPr algn="l" rtl="0">
            <a:defRPr sz="1000"/>
          </a:pPr>
          <a:fld id="{CA032C80-2711-4720-A7A2-E084E04E4F1B}"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9526</xdr:colOff>
      <xdr:row>5</xdr:row>
      <xdr:rowOff>123824</xdr:rowOff>
    </xdr:from>
    <xdr:to>
      <xdr:col>5</xdr:col>
      <xdr:colOff>206087</xdr:colOff>
      <xdr:row>7</xdr:row>
      <xdr:rowOff>19050</xdr:rowOff>
    </xdr:to>
    <xdr:sp macro="" textlink="">
      <xdr:nvSpPr>
        <xdr:cNvPr id="8193" name="AutoShape 1">
          <a:hlinkClick xmlns:r="http://schemas.openxmlformats.org/officeDocument/2006/relationships" r:id="rId1" tooltip="Click here to return to the Calculator form"/>
        </xdr:cNvPr>
        <xdr:cNvSpPr>
          <a:spLocks noChangeArrowheads="1"/>
        </xdr:cNvSpPr>
      </xdr:nvSpPr>
      <xdr:spPr bwMode="auto">
        <a:xfrm>
          <a:off x="8391526" y="933449"/>
          <a:ext cx="1806286" cy="219076"/>
        </a:xfrm>
        <a:prstGeom prst="roundRect">
          <a:avLst>
            <a:gd name="adj" fmla="val 16667"/>
          </a:avLst>
        </a:prstGeom>
        <a:gradFill rotWithShape="1">
          <a:gsLst>
            <a:gs pos="0">
              <a:srgbClr val="339966"/>
            </a:gs>
            <a:gs pos="100000">
              <a:srgbClr val="339966">
                <a:gamma/>
                <a:shade val="46275"/>
                <a:invGamma/>
              </a:srgbClr>
            </a:gs>
          </a:gsLst>
          <a:lin ang="5400000" scaled="1"/>
        </a:gradFill>
        <a:ln w="9525">
          <a:solidFill>
            <a:srgbClr val="008000"/>
          </a:solidFill>
          <a:round/>
          <a:headEnd/>
          <a:tailEnd/>
        </a:ln>
        <a:effectLst/>
      </xdr:spPr>
      <xdr:txBody>
        <a:bodyPr vertOverflow="clip" wrap="square" lIns="27432" tIns="22860" rIns="27432" bIns="22860" anchor="ctr" upright="1"/>
        <a:lstStyle/>
        <a:p>
          <a:pPr algn="ctr" rtl="0">
            <a:defRPr sz="1000"/>
          </a:pPr>
          <a:r>
            <a:rPr lang="en-AU" sz="1000" b="1" i="1" u="none" strike="noStrike" baseline="0">
              <a:solidFill>
                <a:srgbClr val="FFFFFF"/>
              </a:solidFill>
              <a:latin typeface="Arial"/>
              <a:cs typeface="Arial"/>
            </a:rPr>
            <a:t>RETURN TO CALCULATOR</a:t>
          </a:r>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image" Target="../media/image5.png"/></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howOutlineSymbols="0"/>
    <pageSetUpPr autoPageBreaks="0"/>
  </sheetPr>
  <dimension ref="A1:AI124"/>
  <sheetViews>
    <sheetView showGridLines="0" showRowColHeaders="0" showOutlineSymbols="0" topLeftCell="A5" workbookViewId="0">
      <selection activeCell="C9" sqref="C9"/>
    </sheetView>
  </sheetViews>
  <sheetFormatPr defaultRowHeight="12.75" outlineLevelRow="1"/>
  <cols>
    <col min="1" max="2" width="1.7109375" customWidth="1"/>
    <col min="3" max="3" width="3.85546875" customWidth="1"/>
    <col min="4" max="4" width="0.85546875" customWidth="1"/>
    <col min="5" max="5" width="80.85546875" customWidth="1"/>
    <col min="6" max="6" width="5.5703125" customWidth="1"/>
    <col min="8" max="9" width="9.140625" customWidth="1"/>
  </cols>
  <sheetData>
    <row r="1" spans="1:35" hidden="1" outlineLevel="1">
      <c r="C1" s="1" t="s">
        <v>19</v>
      </c>
      <c r="D1" s="1"/>
    </row>
    <row r="2" spans="1:35" hidden="1" outlineLevel="1">
      <c r="C2" s="2" t="s">
        <v>20</v>
      </c>
      <c r="D2" s="2"/>
    </row>
    <row r="3" spans="1:35" hidden="1" outlineLevel="1">
      <c r="C3" s="2" t="s">
        <v>21</v>
      </c>
      <c r="D3" s="2"/>
    </row>
    <row r="4" spans="1:35" hidden="1" outlineLevel="1">
      <c r="C4" s="2" t="s">
        <v>38</v>
      </c>
      <c r="D4" s="2"/>
    </row>
    <row r="5" spans="1:35" collapsed="1">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row>
    <row r="6" spans="1:35">
      <c r="A6" s="4"/>
      <c r="G6" s="4"/>
      <c r="H6" s="4"/>
      <c r="I6" s="4"/>
      <c r="J6" s="4"/>
      <c r="K6" s="4"/>
      <c r="L6" s="4"/>
      <c r="M6" s="4"/>
      <c r="N6" s="4"/>
      <c r="O6" s="4"/>
      <c r="P6" s="4"/>
      <c r="Q6" s="4"/>
      <c r="R6" s="4"/>
      <c r="S6" s="4"/>
      <c r="T6" s="4"/>
      <c r="U6" s="4"/>
      <c r="V6" s="4"/>
      <c r="W6" s="4"/>
      <c r="X6" s="4"/>
      <c r="Y6" s="4"/>
      <c r="Z6" s="4"/>
      <c r="AA6" s="4"/>
      <c r="AB6" s="4"/>
      <c r="AC6" s="4"/>
      <c r="AD6" s="4"/>
      <c r="AE6" s="4"/>
      <c r="AF6" s="4"/>
      <c r="AG6" s="4"/>
      <c r="AH6" s="4"/>
      <c r="AI6" s="4"/>
    </row>
    <row r="7" spans="1:35">
      <c r="A7" s="4"/>
      <c r="D7" s="335"/>
      <c r="G7" s="4"/>
      <c r="H7" s="4"/>
      <c r="I7" s="4"/>
      <c r="J7" s="4"/>
      <c r="K7" s="4"/>
      <c r="L7" s="4"/>
      <c r="M7" s="4"/>
      <c r="N7" s="4"/>
      <c r="O7" s="4"/>
      <c r="P7" s="4"/>
      <c r="Q7" s="4"/>
      <c r="R7" s="4"/>
      <c r="S7" s="4"/>
      <c r="T7" s="4"/>
      <c r="U7" s="4"/>
      <c r="V7" s="4"/>
      <c r="W7" s="4"/>
      <c r="X7" s="4"/>
      <c r="Y7" s="4"/>
      <c r="Z7" s="4"/>
      <c r="AA7" s="4"/>
      <c r="AB7" s="4"/>
      <c r="AC7" s="4"/>
      <c r="AD7" s="4"/>
      <c r="AE7" s="4"/>
      <c r="AF7" s="4"/>
      <c r="AG7" s="4"/>
      <c r="AH7" s="4"/>
      <c r="AI7" s="4"/>
    </row>
    <row r="8" spans="1:35">
      <c r="A8" s="4"/>
      <c r="G8" s="4"/>
      <c r="H8" s="4"/>
      <c r="I8" s="4"/>
      <c r="J8" s="4"/>
      <c r="K8" s="4"/>
      <c r="L8" s="4"/>
      <c r="M8" s="4"/>
      <c r="N8" s="4"/>
      <c r="O8" s="4"/>
      <c r="P8" s="4"/>
      <c r="Q8" s="4"/>
      <c r="R8" s="4"/>
      <c r="S8" s="4"/>
      <c r="T8" s="4"/>
      <c r="U8" s="4"/>
      <c r="V8" s="4"/>
      <c r="W8" s="4"/>
      <c r="X8" s="4"/>
      <c r="Y8" s="4"/>
      <c r="Z8" s="4"/>
      <c r="AA8" s="4"/>
      <c r="AB8" s="4"/>
      <c r="AC8" s="4"/>
      <c r="AD8" s="4"/>
      <c r="AE8" s="4"/>
      <c r="AF8" s="4"/>
      <c r="AG8" s="4"/>
      <c r="AH8" s="4"/>
      <c r="AI8" s="4"/>
    </row>
    <row r="9" spans="1:35" ht="15.75">
      <c r="A9" s="4"/>
      <c r="C9" s="27" t="s">
        <v>26</v>
      </c>
      <c r="D9" s="27"/>
      <c r="E9" s="28"/>
      <c r="G9" s="4"/>
      <c r="H9" s="4"/>
      <c r="I9" s="4"/>
      <c r="J9" s="4"/>
      <c r="K9" s="4"/>
      <c r="L9" s="4"/>
      <c r="M9" s="4"/>
      <c r="N9" s="4"/>
      <c r="O9" s="4"/>
      <c r="P9" s="4"/>
      <c r="Q9" s="4"/>
      <c r="R9" s="4"/>
      <c r="S9" s="4"/>
      <c r="T9" s="4"/>
      <c r="U9" s="4"/>
      <c r="V9" s="4"/>
      <c r="W9" s="4"/>
      <c r="X9" s="4"/>
      <c r="Y9" s="4"/>
      <c r="Z9" s="4"/>
      <c r="AA9" s="4"/>
      <c r="AB9" s="4"/>
      <c r="AC9" s="4"/>
      <c r="AD9" s="4"/>
      <c r="AE9" s="4"/>
      <c r="AF9" s="4"/>
      <c r="AG9" s="4"/>
      <c r="AH9" s="4"/>
      <c r="AI9" s="4"/>
    </row>
    <row r="10" spans="1:35">
      <c r="A10" s="4"/>
      <c r="C10" s="335"/>
      <c r="D10" s="335"/>
      <c r="E10" s="47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row>
    <row r="11" spans="1:35">
      <c r="A11" s="4"/>
      <c r="C11" s="369" t="s">
        <v>345</v>
      </c>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row>
    <row r="12" spans="1:35">
      <c r="A12" s="4"/>
      <c r="C12" s="369" t="s">
        <v>356</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c r="A13" s="4"/>
      <c r="C13" s="369" t="s">
        <v>357</v>
      </c>
      <c r="G13" s="406"/>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row>
    <row r="14" spans="1:35">
      <c r="A14" s="4"/>
      <c r="C14" s="328"/>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row>
    <row r="15" spans="1:35">
      <c r="A15" s="4"/>
      <c r="D15" s="3" t="s">
        <v>375</v>
      </c>
      <c r="E15" s="328"/>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row>
    <row r="16" spans="1:35" ht="25.5">
      <c r="A16" s="4"/>
      <c r="C16" s="26">
        <f>IF(AND(ISBLANK(D16),ISBLANK(E16)=FALSE),MAX(C$15:C15)+1,"")</f>
        <v>1</v>
      </c>
      <c r="D16" s="24"/>
      <c r="E16" s="329" t="s">
        <v>376</v>
      </c>
      <c r="G16" s="463"/>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row>
    <row r="17" spans="1:35" ht="25.5">
      <c r="A17" s="4"/>
      <c r="C17" s="26">
        <f>IF(AND(ISBLANK(D17),ISBLANK(E17)=FALSE),MAX(C$15:C16)+1,"")</f>
        <v>2</v>
      </c>
      <c r="D17" s="26"/>
      <c r="E17" s="330" t="s">
        <v>304</v>
      </c>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row>
    <row r="18" spans="1:35" ht="25.5">
      <c r="A18" s="4"/>
      <c r="C18" s="26">
        <f>IF(AND(ISBLANK(D18),ISBLANK(E18)=FALSE),MAX(C$15:C17)+1,"")</f>
        <v>3</v>
      </c>
      <c r="D18" s="26"/>
      <c r="E18" s="330" t="s">
        <v>155</v>
      </c>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row>
    <row r="19" spans="1:35">
      <c r="A19" s="4"/>
      <c r="C19" s="26" t="str">
        <f>IF(AND(ISBLANK(D19),ISBLANK(E19)=FALSE),MAX(C$15:C18)+1,"")</f>
        <v/>
      </c>
      <c r="D19" s="26"/>
      <c r="E19" s="328"/>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row>
    <row r="20" spans="1:35">
      <c r="A20" s="4"/>
      <c r="C20" s="26" t="str">
        <f>IF(AND(ISBLANK(D20),ISBLANK(E20)=FALSE),MAX(C$15:C19)+1,"")</f>
        <v/>
      </c>
      <c r="D20" s="3" t="s">
        <v>25</v>
      </c>
      <c r="E20" s="328"/>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row>
    <row r="21" spans="1:35" ht="38.25">
      <c r="A21" s="4"/>
      <c r="C21" s="26">
        <f>IF(AND(ISBLANK(D21),ISBLANK(E21)=FALSE),MAX(C$15:C20)+1,"")</f>
        <v>4</v>
      </c>
      <c r="D21" s="24"/>
      <c r="E21" s="462" t="s">
        <v>359</v>
      </c>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row>
    <row r="22" spans="1:35" ht="38.25">
      <c r="A22" s="4"/>
      <c r="C22" s="26">
        <f>IF(AND(ISBLANK(D22),ISBLANK(E22)=FALSE),MAX(C$15:C21)+1,"")</f>
        <v>5</v>
      </c>
      <c r="D22" s="24"/>
      <c r="E22" s="462" t="s">
        <v>364</v>
      </c>
      <c r="G22" s="406"/>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row>
    <row r="23" spans="1:35">
      <c r="A23" s="4"/>
      <c r="C23" s="26" t="str">
        <f>IF(AND(ISBLANK(D23),ISBLANK(E23)=FALSE),MAX(C$15:C22)+1,"")</f>
        <v/>
      </c>
      <c r="D23" s="25"/>
      <c r="E23" s="328"/>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row>
    <row r="24" spans="1:35">
      <c r="A24" s="4"/>
      <c r="C24" s="26" t="str">
        <f>IF(AND(ISBLANK(D24),ISBLANK(E24)=FALSE),MAX(C$15:C23)+1,"")</f>
        <v/>
      </c>
      <c r="D24" s="3" t="s">
        <v>35</v>
      </c>
      <c r="E24" s="328"/>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row>
    <row r="25" spans="1:35" ht="38.25">
      <c r="A25" s="4"/>
      <c r="C25" s="26">
        <f>IF(AND(ISBLANK(D25),ISBLANK(E25)=FALSE),MAX(C$15:C24)+1,"")</f>
        <v>6</v>
      </c>
      <c r="D25" s="24"/>
      <c r="E25" s="329" t="s">
        <v>363</v>
      </c>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row>
    <row r="26" spans="1:35" ht="38.25">
      <c r="A26" s="4"/>
      <c r="C26" s="26">
        <f>IF(AND(ISBLANK(D26),ISBLANK(E26)=FALSE),MAX(C$15:C25)+1,"")</f>
        <v>7</v>
      </c>
      <c r="D26" s="24"/>
      <c r="E26" s="329" t="s">
        <v>365</v>
      </c>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row>
    <row r="27" spans="1:35" ht="76.5">
      <c r="A27" s="4"/>
      <c r="C27" s="26">
        <f>IF(AND(ISBLANK(D27),ISBLANK(E27)=FALSE),MAX(C$15:C26)+1,"")</f>
        <v>8</v>
      </c>
      <c r="D27" s="24"/>
      <c r="E27" s="329" t="s">
        <v>366</v>
      </c>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row>
    <row r="28" spans="1:35" ht="38.25">
      <c r="A28" s="4"/>
      <c r="C28" s="26">
        <f>IF(AND(ISBLANK(D28),ISBLANK(E28)=FALSE),MAX(C$15:C27)+1,"")</f>
        <v>9</v>
      </c>
      <c r="D28" s="25"/>
      <c r="E28" s="329" t="s">
        <v>349</v>
      </c>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row>
    <row r="29" spans="1:35">
      <c r="A29" s="4"/>
      <c r="C29" s="26" t="str">
        <f>IF(AND(ISBLANK(D29),ISBLANK(E29)=FALSE),MAX(C$15:C28)+1,"")</f>
        <v/>
      </c>
      <c r="D29" s="25"/>
      <c r="E29" s="328"/>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row>
    <row r="30" spans="1:35">
      <c r="A30" s="4"/>
      <c r="C30" s="26" t="str">
        <f>IF(AND(ISBLANK(D30),ISBLANK(E30)=FALSE),MAX(C$15:C29)+1,"")</f>
        <v/>
      </c>
      <c r="D30" s="3" t="s">
        <v>22</v>
      </c>
      <c r="E30" s="328"/>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row>
    <row r="31" spans="1:35" ht="25.5">
      <c r="A31" s="4"/>
      <c r="C31" s="26">
        <f>IF(AND(ISBLANK(D31),ISBLANK(E31)=FALSE),MAX(C$15:C30)+1,"")</f>
        <v>10</v>
      </c>
      <c r="D31" s="24"/>
      <c r="E31" s="329" t="s">
        <v>30</v>
      </c>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row>
    <row r="32" spans="1:35" ht="51">
      <c r="A32" s="4"/>
      <c r="C32" s="26">
        <f>IF(AND(ISBLANK(D32),ISBLANK(E32)=FALSE),MAX(C$15:C31)+1,"")</f>
        <v>11</v>
      </c>
      <c r="D32" s="24"/>
      <c r="E32" s="329" t="s">
        <v>329</v>
      </c>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row>
    <row r="33" spans="1:35" ht="38.25">
      <c r="A33" s="4"/>
      <c r="C33" s="26">
        <f>IF(AND(ISBLANK(D33),ISBLANK(E33)=FALSE),MAX(C$15:C32)+1,"")</f>
        <v>12</v>
      </c>
      <c r="D33" s="24"/>
      <c r="E33" s="329" t="s">
        <v>332</v>
      </c>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row>
    <row r="34" spans="1:35" ht="25.5">
      <c r="A34" s="4"/>
      <c r="C34" s="26">
        <f>IF(AND(ISBLANK(D34),ISBLANK(E34)=FALSE),MAX(C$15:C33)+1,"")</f>
        <v>13</v>
      </c>
      <c r="D34" s="24"/>
      <c r="E34" s="329" t="s">
        <v>305</v>
      </c>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row>
    <row r="35" spans="1:35" ht="25.5">
      <c r="A35" s="4"/>
      <c r="C35" s="26">
        <f>IF(AND(ISBLANK(D35),ISBLANK(E35)=FALSE),MAX(C$15:C34)+1,"")</f>
        <v>14</v>
      </c>
      <c r="D35" s="24"/>
      <c r="E35" s="329" t="s">
        <v>37</v>
      </c>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row>
    <row r="36" spans="1:35" ht="25.5">
      <c r="A36" s="4"/>
      <c r="C36" s="26">
        <f>IF(AND(ISBLANK(D36),ISBLANK(E36)=FALSE),MAX(C$15:C35)+1,"")</f>
        <v>15</v>
      </c>
      <c r="D36" s="24"/>
      <c r="E36" s="329" t="s">
        <v>360</v>
      </c>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row>
    <row r="37" spans="1:35" ht="25.5">
      <c r="A37" s="4"/>
      <c r="C37" s="26">
        <f>IF(AND(ISBLANK(D37),ISBLANK(E37)=FALSE),MAX(C$15:C36)+1,"")</f>
        <v>16</v>
      </c>
      <c r="D37" s="24"/>
      <c r="E37" s="329" t="s">
        <v>334</v>
      </c>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row>
    <row r="38" spans="1:35" ht="25.5">
      <c r="A38" s="4"/>
      <c r="C38" s="26">
        <f>IF(AND(ISBLANK(D38),ISBLANK(E38)=FALSE),MAX(C$15:C37)+1,"")</f>
        <v>17</v>
      </c>
      <c r="D38" s="24"/>
      <c r="E38" s="329" t="s">
        <v>333</v>
      </c>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row>
    <row r="39" spans="1:35">
      <c r="A39" s="4"/>
      <c r="C39" s="26" t="str">
        <f>IF(AND(ISBLANK(D39),ISBLANK(E39)=FALSE),MAX(C$15:C38)+1,"")</f>
        <v/>
      </c>
      <c r="D39" s="25"/>
      <c r="E39" s="328"/>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row>
    <row r="40" spans="1:35">
      <c r="A40" s="4"/>
      <c r="C40" s="26" t="str">
        <f>IF(AND(ISBLANK(D40),ISBLANK(E40)=FALSE),MAX(C$15:C39)+1,"")</f>
        <v/>
      </c>
      <c r="D40" s="3" t="s">
        <v>118</v>
      </c>
      <c r="E40" s="328"/>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row>
    <row r="41" spans="1:35" ht="25.5">
      <c r="A41" s="4"/>
      <c r="C41" s="26">
        <f>IF(AND(ISBLANK(D41),ISBLANK(E41)=FALSE),MAX(C$15:C40)+1,"")</f>
        <v>18</v>
      </c>
      <c r="D41" s="24"/>
      <c r="E41" s="329" t="s">
        <v>23</v>
      </c>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row>
    <row r="42" spans="1:35" ht="25.5">
      <c r="A42" s="4"/>
      <c r="C42" s="26">
        <f>IF(AND(ISBLANK(D42),ISBLANK(E42)=FALSE),MAX(C$15:C41)+1,"")</f>
        <v>19</v>
      </c>
      <c r="D42" s="24"/>
      <c r="E42" s="330" t="s">
        <v>302</v>
      </c>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row>
    <row r="43" spans="1:35" ht="25.5">
      <c r="A43" s="4"/>
      <c r="C43" s="26">
        <f>IF(AND(ISBLANK(D43),ISBLANK(E43)=FALSE),MAX(C$15:C42)+1,"")</f>
        <v>20</v>
      </c>
      <c r="D43" s="24"/>
      <c r="E43" s="330" t="s">
        <v>306</v>
      </c>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row>
    <row r="44" spans="1:35" ht="25.5">
      <c r="A44" s="4"/>
      <c r="C44" s="26">
        <f>IF(AND(ISBLANK(D44),ISBLANK(E44)=FALSE),MAX(C$15:C43)+1,"")</f>
        <v>21</v>
      </c>
      <c r="D44" s="24"/>
      <c r="E44" s="329" t="s">
        <v>367</v>
      </c>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row>
    <row r="45" spans="1:35" ht="38.25">
      <c r="A45" s="4"/>
      <c r="C45" s="26">
        <f>IF(AND(ISBLANK(D45),ISBLANK(E45)=FALSE),MAX(C$15:C44)+1,"")</f>
        <v>22</v>
      </c>
      <c r="D45" s="24"/>
      <c r="E45" s="329" t="s">
        <v>330</v>
      </c>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row>
    <row r="46" spans="1:35" ht="51">
      <c r="A46" s="4"/>
      <c r="C46" s="26">
        <f>IF(AND(ISBLANK(D46),ISBLANK(E46)=FALSE),MAX(C$15:C45)+1,"")</f>
        <v>23</v>
      </c>
      <c r="D46" s="24"/>
      <c r="E46" s="470" t="s">
        <v>361</v>
      </c>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row>
    <row r="47" spans="1:35">
      <c r="A47" s="4"/>
      <c r="C47" s="26" t="str">
        <f>IF(AND(ISBLANK(D47),ISBLANK(E47)=FALSE),MAX(C$15:C46)+1,"")</f>
        <v/>
      </c>
      <c r="D47" s="25"/>
      <c r="E47" s="331"/>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row>
    <row r="48" spans="1:35">
      <c r="A48" s="4"/>
      <c r="C48" s="26" t="str">
        <f>IF(AND(ISBLANK(D48),ISBLANK(E48)=FALSE),MAX(C$15:C47)+1,"")</f>
        <v/>
      </c>
      <c r="D48" s="3" t="s">
        <v>24</v>
      </c>
      <c r="E48" s="331"/>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row>
    <row r="49" spans="1:35">
      <c r="A49" s="4"/>
      <c r="C49" s="26">
        <f>IF(AND(ISBLANK(D49),ISBLANK(E49)=FALSE),MAX(C$15:C48)+1,"")</f>
        <v>24</v>
      </c>
      <c r="D49" s="24"/>
      <c r="E49" s="329" t="s">
        <v>350</v>
      </c>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row>
    <row r="50" spans="1:35" ht="38.25">
      <c r="A50" s="4"/>
      <c r="C50" s="26">
        <f>IF(AND(ISBLANK(D50),ISBLANK(E50)=FALSE),MAX(C$15:C49)+1,"")</f>
        <v>25</v>
      </c>
      <c r="D50" s="24"/>
      <c r="E50" s="330" t="s">
        <v>368</v>
      </c>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row>
    <row r="51" spans="1:35" ht="38.25">
      <c r="A51" s="4"/>
      <c r="C51" s="26">
        <f>IF(AND(ISBLANK(D51),ISBLANK(E51)=FALSE),MAX(C$15:C50)+1,"")</f>
        <v>26</v>
      </c>
      <c r="D51" s="24"/>
      <c r="E51" s="329" t="s">
        <v>346</v>
      </c>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row>
    <row r="52" spans="1:35" ht="25.5">
      <c r="A52" s="4"/>
      <c r="C52" s="26">
        <f>IF(AND(ISBLANK(D52),ISBLANK(E52)=FALSE),MAX(C$15:C51)+1,"")</f>
        <v>27</v>
      </c>
      <c r="D52" s="24"/>
      <c r="E52" s="332" t="s">
        <v>146</v>
      </c>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row>
    <row r="53" spans="1:35">
      <c r="A53" s="4"/>
      <c r="C53" s="26" t="str">
        <f>IF(AND(ISBLANK(D53),ISBLANK(E53)=FALSE),MAX(C$15:C52)+1,"")</f>
        <v/>
      </c>
      <c r="E53" s="331"/>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row>
    <row r="54" spans="1:35">
      <c r="A54" s="4"/>
      <c r="C54" s="26" t="str">
        <f>IF(AND(ISBLANK(D54),ISBLANK(E54)=FALSE),MAX(C$15:C53)+1,"")</f>
        <v/>
      </c>
      <c r="D54" s="3" t="s">
        <v>164</v>
      </c>
      <c r="E54" s="331"/>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row>
    <row r="55" spans="1:35" ht="54" customHeight="1">
      <c r="A55" s="4"/>
      <c r="C55" s="26">
        <f>IF(AND(ISBLANK(D55),ISBLANK(E55)=FALSE),MAX(C$15:C54)+1,"")</f>
        <v>28</v>
      </c>
      <c r="E55" s="329" t="s">
        <v>331</v>
      </c>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row>
    <row r="56" spans="1:35" ht="25.5">
      <c r="A56" s="4"/>
      <c r="C56" s="26">
        <f>IF(AND(ISBLANK(D56),ISBLANK(E56)=FALSE),MAX(C$15:C55)+1,"")</f>
        <v>29</v>
      </c>
      <c r="E56" s="332" t="s">
        <v>169</v>
      </c>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row>
    <row r="57" spans="1:35" ht="25.5">
      <c r="A57" s="4"/>
      <c r="C57" s="26">
        <f>IF(AND(ISBLANK(D57),ISBLANK(E57)=FALSE),MAX(C$15:C56)+1,"")</f>
        <v>30</v>
      </c>
      <c r="E57" s="332" t="s">
        <v>166</v>
      </c>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row>
    <row r="58" spans="1:35">
      <c r="A58" s="4"/>
      <c r="C58" s="26"/>
      <c r="E58" s="332"/>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row>
    <row r="59" spans="1:35">
      <c r="A59" s="4"/>
      <c r="C59" s="26" t="str">
        <f>IF(AND(ISBLANK(D59),ISBLANK(E59)=FALSE),MAX(C$15:C53)+1,"")</f>
        <v/>
      </c>
      <c r="D59" s="29"/>
      <c r="E59" s="333"/>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row>
    <row r="60" spans="1:35">
      <c r="A60" s="4"/>
      <c r="D60" s="3" t="s">
        <v>147</v>
      </c>
      <c r="E60" s="33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row>
    <row r="61" spans="1:35">
      <c r="A61" s="4"/>
      <c r="D61" s="3" t="s">
        <v>373</v>
      </c>
      <c r="E61" s="33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row>
    <row r="62" spans="1:35" ht="25.5">
      <c r="A62" s="4"/>
      <c r="D62" s="471" t="s">
        <v>150</v>
      </c>
      <c r="E62" s="472" t="s">
        <v>377</v>
      </c>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row>
    <row r="63" spans="1:35">
      <c r="A63" s="4"/>
      <c r="D63" s="3"/>
      <c r="E63" s="33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row>
    <row r="64" spans="1:35">
      <c r="A64" s="4"/>
      <c r="D64" s="3" t="s">
        <v>362</v>
      </c>
      <c r="E64" s="3"/>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row>
    <row r="65" spans="1:35" ht="25.5">
      <c r="A65" s="4"/>
      <c r="C65" s="25"/>
      <c r="D65" s="471" t="s">
        <v>150</v>
      </c>
      <c r="E65" s="472" t="s">
        <v>358</v>
      </c>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row>
    <row r="66" spans="1:35">
      <c r="A66" s="4"/>
      <c r="D66" s="473" t="s">
        <v>150</v>
      </c>
      <c r="E66" s="328" t="s">
        <v>317</v>
      </c>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row>
    <row r="67" spans="1:35">
      <c r="A67" s="4"/>
      <c r="D67" s="473" t="s">
        <v>150</v>
      </c>
      <c r="E67" s="328" t="s">
        <v>348</v>
      </c>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row>
    <row r="68" spans="1:35">
      <c r="A68" s="4"/>
      <c r="D68" s="3"/>
      <c r="E68" s="33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row>
    <row r="69" spans="1:35">
      <c r="A69" s="4"/>
      <c r="D69" s="328" t="s">
        <v>315</v>
      </c>
      <c r="E69" s="33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row>
    <row r="70" spans="1:35">
      <c r="A70" s="4"/>
      <c r="D70" s="141" t="s">
        <v>150</v>
      </c>
      <c r="E70" s="328" t="s">
        <v>316</v>
      </c>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row>
    <row r="71" spans="1:35">
      <c r="A71" s="4"/>
      <c r="D71" s="3"/>
      <c r="E71" s="33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row>
    <row r="72" spans="1:35">
      <c r="A72" s="4"/>
      <c r="D72" s="328" t="s">
        <v>312</v>
      </c>
      <c r="E72" s="33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row>
    <row r="73" spans="1:35">
      <c r="A73" s="4"/>
      <c r="D73" s="141" t="s">
        <v>150</v>
      </c>
      <c r="E73" s="328" t="s">
        <v>313</v>
      </c>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row>
    <row r="74" spans="1:35">
      <c r="A74" s="4"/>
      <c r="D74" s="141"/>
      <c r="E74" s="369" t="s">
        <v>314</v>
      </c>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row>
    <row r="75" spans="1:35">
      <c r="A75" s="4"/>
      <c r="D75" s="141"/>
      <c r="E75" s="331"/>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row>
    <row r="76" spans="1:35">
      <c r="A76" s="4"/>
      <c r="D76" s="328" t="s">
        <v>300</v>
      </c>
      <c r="E76" s="33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row>
    <row r="77" spans="1:35">
      <c r="A77" s="4"/>
      <c r="D77" s="141" t="s">
        <v>150</v>
      </c>
      <c r="E77" s="331" t="s">
        <v>301</v>
      </c>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row>
    <row r="78" spans="1:35">
      <c r="A78" s="4"/>
      <c r="D78" s="3"/>
      <c r="E78" s="33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row>
    <row r="79" spans="1:35">
      <c r="A79" s="4"/>
      <c r="D79" s="328" t="s">
        <v>309</v>
      </c>
      <c r="E79" s="33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row>
    <row r="80" spans="1:35">
      <c r="A80" s="4"/>
      <c r="D80" s="141" t="s">
        <v>150</v>
      </c>
      <c r="E80" s="328" t="s">
        <v>310</v>
      </c>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row>
    <row r="81" spans="1:35">
      <c r="A81" s="4"/>
      <c r="C81" s="3"/>
      <c r="D81" s="141" t="s">
        <v>150</v>
      </c>
      <c r="E81" s="328" t="s">
        <v>311</v>
      </c>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row>
    <row r="82" spans="1:35">
      <c r="A82" s="4"/>
      <c r="D82" s="3"/>
      <c r="E82" s="33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row>
    <row r="83" spans="1:35">
      <c r="A83" s="4"/>
      <c r="D83" s="317" t="s">
        <v>156</v>
      </c>
      <c r="E83" s="33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row>
    <row r="84" spans="1:35">
      <c r="A84" s="4"/>
      <c r="D84" s="141" t="s">
        <v>150</v>
      </c>
      <c r="E84" s="331" t="s">
        <v>163</v>
      </c>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row>
    <row r="85" spans="1:35">
      <c r="A85" s="4"/>
      <c r="D85" s="141" t="s">
        <v>150</v>
      </c>
      <c r="E85" s="331" t="s">
        <v>158</v>
      </c>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row>
    <row r="86" spans="1:35">
      <c r="A86" s="4"/>
      <c r="D86" s="141" t="s">
        <v>150</v>
      </c>
      <c r="E86" s="331" t="s">
        <v>157</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row>
    <row r="87" spans="1:35">
      <c r="A87" s="4"/>
      <c r="D87" s="141" t="s">
        <v>150</v>
      </c>
      <c r="E87" s="331" t="s">
        <v>159</v>
      </c>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row>
    <row r="88" spans="1:35">
      <c r="A88" s="4"/>
      <c r="D88" s="141" t="s">
        <v>150</v>
      </c>
      <c r="E88" s="331" t="s">
        <v>168</v>
      </c>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row>
    <row r="89" spans="1:35">
      <c r="A89" s="4"/>
      <c r="D89" s="141" t="s">
        <v>150</v>
      </c>
      <c r="E89" s="331" t="s">
        <v>165</v>
      </c>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row>
    <row r="90" spans="1:35">
      <c r="A90" s="4"/>
      <c r="D90" s="141"/>
      <c r="E90" s="331"/>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row>
    <row r="91" spans="1:35">
      <c r="A91" s="4"/>
      <c r="D91" s="317" t="s">
        <v>148</v>
      </c>
      <c r="E91" s="33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row>
    <row r="92" spans="1:35">
      <c r="A92" s="4"/>
      <c r="D92" s="318" t="s">
        <v>150</v>
      </c>
      <c r="E92" s="331" t="s">
        <v>154</v>
      </c>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row>
    <row r="93" spans="1:35">
      <c r="A93" s="4"/>
      <c r="D93" s="318" t="s">
        <v>150</v>
      </c>
      <c r="E93" s="331" t="s">
        <v>153</v>
      </c>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row>
    <row r="94" spans="1:35">
      <c r="A94" s="4"/>
      <c r="D94" s="318" t="s">
        <v>150</v>
      </c>
      <c r="E94" s="331" t="s">
        <v>151</v>
      </c>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row>
    <row r="95" spans="1:35">
      <c r="A95" s="4"/>
      <c r="D95" s="317"/>
      <c r="E95" s="331"/>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row>
    <row r="96" spans="1:35">
      <c r="A96" s="4"/>
      <c r="D96" s="317" t="s">
        <v>149</v>
      </c>
      <c r="E96" s="331"/>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row>
    <row r="97" spans="1:35">
      <c r="A97" s="4"/>
      <c r="D97" s="141" t="s">
        <v>150</v>
      </c>
      <c r="E97" s="331" t="s">
        <v>152</v>
      </c>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row>
    <row r="98" spans="1:35">
      <c r="A98" s="4"/>
      <c r="E98" s="331"/>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row>
    <row r="99" spans="1:35">
      <c r="A99" s="4"/>
      <c r="C99" s="26" t="str">
        <f>IF(AND(ISBLANK(D99),ISBLANK(E99)=FALSE),MAX(C$15:C98)+1,"")</f>
        <v/>
      </c>
      <c r="D99" s="29"/>
      <c r="E99" s="333"/>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row>
    <row r="100" spans="1:35">
      <c r="A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row>
    <row r="101" spans="1:35">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row>
    <row r="102" spans="1:35">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row>
    <row r="103" spans="1:35">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row>
    <row r="104" spans="1:35">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row>
    <row r="105" spans="1:35">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row>
    <row r="106" spans="1:35">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row>
    <row r="107" spans="1:35">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row>
    <row r="108" spans="1:35">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row>
    <row r="109" spans="1:35">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row>
    <row r="110" spans="1:35">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row>
    <row r="111" spans="1:35">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row>
    <row r="112" spans="1:35">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row>
    <row r="113" spans="1:35">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row>
    <row r="114" spans="1:35">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row>
    <row r="115" spans="1:3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row>
    <row r="116" spans="1:35">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row>
    <row r="117" spans="1:35">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row>
    <row r="118" spans="1:35">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row>
    <row r="119" spans="1:35">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row>
    <row r="120" spans="1:35">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row>
    <row r="121" spans="1:35">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row>
    <row r="122" spans="1:35">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row>
    <row r="123" spans="1:35">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row>
    <row r="124" spans="1:35">
      <c r="A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row>
  </sheetData>
  <sheetProtection password="EFF1" sheet="1" objects="1" scenarios="1" selectLockedCells="1" selectUnlockedCells="1"/>
  <phoneticPr fontId="2" type="noConversion"/>
  <printOptions horizontalCentered="1"/>
  <pageMargins left="0.74803149606299213" right="0.74803149606299213" top="0.98425196850393704" bottom="0.98425196850393704" header="0.51181102362204722" footer="0.51181102362204722"/>
  <pageSetup paperSize="9" orientation="portrait" r:id="rId1"/>
  <headerFooter alignWithMargins="0">
    <oddHeader>&amp;L&amp;"Arial,Italic"ABCB Glazing Calculator • Help sheet&amp;R&amp;"Arial,Italic"printed &amp;D</oddHeader>
    <oddFooter>&amp;L&amp;"Arial,Italic"&amp;F&amp;R&amp;"Arial,Italic"page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howOutlineSymbols="0"/>
    <pageSetUpPr autoPageBreaks="0"/>
  </sheetPr>
  <dimension ref="A1:AI210"/>
  <sheetViews>
    <sheetView showGridLines="0" showRowColHeaders="0" showOutlineSymbols="0" topLeftCell="A4" zoomScaleNormal="100" workbookViewId="0">
      <selection activeCell="C20" sqref="C20"/>
    </sheetView>
  </sheetViews>
  <sheetFormatPr defaultRowHeight="12.75" outlineLevelRow="1" outlineLevelCol="1"/>
  <cols>
    <col min="1" max="1" width="1.7109375" customWidth="1"/>
    <col min="2" max="2" width="5.5703125" customWidth="1"/>
    <col min="17" max="17" width="4.7109375" customWidth="1"/>
    <col min="18" max="18" width="1.7109375" customWidth="1"/>
    <col min="21" max="21" width="0" hidden="1" customWidth="1" outlineLevel="1"/>
    <col min="22" max="22" width="9.140625" collapsed="1"/>
  </cols>
  <sheetData>
    <row r="1" spans="1:35" hidden="1" outlineLevel="1">
      <c r="B1" s="1" t="s">
        <v>19</v>
      </c>
      <c r="D1" s="1"/>
    </row>
    <row r="2" spans="1:35" hidden="1" outlineLevel="1">
      <c r="B2" s="2" t="s">
        <v>39</v>
      </c>
      <c r="D2" s="2"/>
    </row>
    <row r="3" spans="1:35" hidden="1" outlineLevel="1">
      <c r="B3" s="2" t="s">
        <v>40</v>
      </c>
      <c r="D3" s="2"/>
    </row>
    <row r="4" spans="1:35" collapsed="1">
      <c r="A4" s="420"/>
      <c r="B4" s="420"/>
      <c r="C4" s="420"/>
      <c r="D4" s="420"/>
      <c r="E4" s="420"/>
      <c r="F4" s="420"/>
      <c r="G4" s="420"/>
      <c r="H4" s="420"/>
      <c r="I4" s="420"/>
      <c r="J4" s="420"/>
      <c r="K4" s="420"/>
      <c r="L4" s="420"/>
      <c r="M4" s="420"/>
      <c r="N4" s="420"/>
      <c r="O4" s="420"/>
      <c r="P4" s="420"/>
      <c r="Q4" s="420"/>
      <c r="R4" s="420"/>
      <c r="S4" s="420"/>
      <c r="T4" s="420"/>
      <c r="U4" s="420"/>
      <c r="V4" s="420"/>
      <c r="W4" s="420"/>
      <c r="X4" s="420"/>
      <c r="Y4" s="420"/>
      <c r="Z4" s="420"/>
      <c r="AA4" s="420"/>
      <c r="AB4" s="420"/>
      <c r="AC4" s="420"/>
      <c r="AD4" s="420"/>
      <c r="AE4" s="420"/>
      <c r="AF4" s="420"/>
      <c r="AG4" s="420"/>
      <c r="AH4" s="420"/>
      <c r="AI4" s="420"/>
    </row>
    <row r="5" spans="1:35" ht="30">
      <c r="A5" s="420"/>
      <c r="B5" s="421" t="s">
        <v>41</v>
      </c>
      <c r="C5" s="426" t="str">
        <f>Help!D24</f>
        <v>Displaying the Calculator form:</v>
      </c>
      <c r="D5" s="427"/>
      <c r="E5" s="428"/>
      <c r="F5" s="428"/>
      <c r="G5" s="428"/>
      <c r="H5" s="428"/>
      <c r="I5" s="428"/>
      <c r="J5" s="428"/>
      <c r="K5" s="428"/>
      <c r="L5" s="428"/>
      <c r="M5" s="428"/>
      <c r="N5" s="428"/>
      <c r="O5" s="428"/>
      <c r="P5" s="428"/>
      <c r="Q5" s="428"/>
      <c r="R5" s="422"/>
      <c r="S5" s="422"/>
      <c r="T5" s="420"/>
      <c r="U5" s="423" t="s">
        <v>43</v>
      </c>
      <c r="V5" s="420"/>
      <c r="W5" s="420"/>
      <c r="X5" s="420"/>
      <c r="Y5" s="420"/>
      <c r="Z5" s="420"/>
      <c r="AA5" s="420"/>
      <c r="AB5" s="420"/>
      <c r="AC5" s="420"/>
      <c r="AD5" s="420"/>
      <c r="AE5" s="420"/>
      <c r="AF5" s="420"/>
      <c r="AG5" s="420"/>
      <c r="AH5" s="420"/>
      <c r="AI5" s="420"/>
    </row>
    <row r="6" spans="1:35">
      <c r="A6" s="420"/>
      <c r="B6" s="420"/>
      <c r="C6" s="420"/>
      <c r="D6" s="420"/>
      <c r="E6" s="420"/>
      <c r="F6" s="420"/>
      <c r="G6" s="420"/>
      <c r="H6" s="420"/>
      <c r="I6" s="420"/>
      <c r="J6" s="420"/>
      <c r="K6" s="420"/>
      <c r="L6" s="420"/>
      <c r="M6" s="420"/>
      <c r="N6" s="420"/>
      <c r="O6" s="420"/>
      <c r="P6" s="420"/>
      <c r="Q6" s="420"/>
      <c r="R6" s="420"/>
      <c r="S6" s="422"/>
      <c r="T6" s="420"/>
      <c r="U6" s="420"/>
      <c r="V6" s="420"/>
      <c r="W6" s="420"/>
      <c r="X6" s="420"/>
      <c r="Y6" s="420"/>
      <c r="Z6" s="420"/>
      <c r="AA6" s="420"/>
      <c r="AB6" s="420"/>
      <c r="AC6" s="420"/>
      <c r="AD6" s="420"/>
      <c r="AE6" s="420"/>
      <c r="AF6" s="420"/>
      <c r="AG6" s="420"/>
      <c r="AH6" s="420"/>
      <c r="AI6" s="420"/>
    </row>
    <row r="7" spans="1:35">
      <c r="A7" s="420"/>
      <c r="B7" s="420"/>
      <c r="C7" s="420"/>
      <c r="D7" s="420"/>
      <c r="E7" s="420"/>
      <c r="F7" s="420"/>
      <c r="G7" s="420"/>
      <c r="H7" s="420"/>
      <c r="I7" s="420"/>
      <c r="J7" s="420"/>
      <c r="K7" s="420"/>
      <c r="L7" s="420"/>
      <c r="M7" s="420"/>
      <c r="N7" s="420"/>
      <c r="O7" s="420"/>
      <c r="P7" s="420"/>
      <c r="Q7" s="420"/>
      <c r="R7" s="420"/>
      <c r="S7" s="420"/>
      <c r="T7" s="420"/>
      <c r="U7" s="420"/>
      <c r="V7" s="420"/>
      <c r="W7" s="420"/>
      <c r="X7" s="420"/>
      <c r="Y7" s="420"/>
      <c r="Z7" s="420"/>
      <c r="AA7" s="420"/>
      <c r="AB7" s="420"/>
      <c r="AC7" s="420"/>
      <c r="AD7" s="420"/>
      <c r="AE7" s="420"/>
      <c r="AF7" s="420"/>
      <c r="AG7" s="420"/>
      <c r="AH7" s="420"/>
      <c r="AI7" s="420"/>
    </row>
    <row r="8" spans="1:35">
      <c r="A8" s="420"/>
      <c r="B8" s="420"/>
      <c r="C8" s="420"/>
      <c r="D8" s="420"/>
      <c r="E8" s="420"/>
      <c r="F8" s="420"/>
      <c r="G8" s="420"/>
      <c r="H8" s="420"/>
      <c r="I8" s="420"/>
      <c r="J8" s="420"/>
      <c r="K8" s="420"/>
      <c r="L8" s="420"/>
      <c r="M8" s="420"/>
      <c r="N8" s="420"/>
      <c r="O8" s="420"/>
      <c r="P8" s="420"/>
      <c r="Q8" s="420"/>
      <c r="R8" s="420"/>
      <c r="S8" s="420"/>
      <c r="T8" s="420"/>
      <c r="U8" s="420"/>
      <c r="V8" s="420"/>
      <c r="W8" s="420"/>
      <c r="X8" s="420"/>
      <c r="Y8" s="420"/>
      <c r="Z8" s="420"/>
      <c r="AA8" s="420"/>
      <c r="AB8" s="420"/>
      <c r="AC8" s="420"/>
      <c r="AD8" s="420"/>
      <c r="AE8" s="420"/>
      <c r="AF8" s="420"/>
      <c r="AG8" s="420"/>
      <c r="AH8" s="420"/>
      <c r="AI8" s="420"/>
    </row>
    <row r="9" spans="1:35">
      <c r="A9" s="420"/>
      <c r="B9" s="420"/>
      <c r="C9" s="424"/>
      <c r="D9" s="420"/>
      <c r="E9" s="420"/>
      <c r="F9" s="420"/>
      <c r="G9" s="420"/>
      <c r="H9" s="420"/>
      <c r="I9" s="420"/>
      <c r="J9" s="420"/>
      <c r="K9" s="420"/>
      <c r="L9" s="420"/>
      <c r="M9" s="420"/>
      <c r="N9" s="420"/>
      <c r="O9" s="420"/>
      <c r="P9" s="420"/>
      <c r="Q9" s="420"/>
      <c r="R9" s="420"/>
      <c r="S9" s="420"/>
      <c r="T9" s="420"/>
      <c r="U9" s="420"/>
      <c r="V9" s="420"/>
      <c r="W9" s="420"/>
      <c r="X9" s="420"/>
      <c r="Y9" s="420"/>
      <c r="Z9" s="420"/>
      <c r="AA9" s="420"/>
      <c r="AB9" s="420"/>
      <c r="AC9" s="420"/>
      <c r="AD9" s="420"/>
      <c r="AE9" s="420"/>
      <c r="AF9" s="420"/>
      <c r="AG9" s="420"/>
      <c r="AH9" s="420"/>
      <c r="AI9" s="420"/>
    </row>
    <row r="10" spans="1:35">
      <c r="A10" s="420"/>
      <c r="B10" s="420"/>
      <c r="C10" s="424"/>
      <c r="D10" s="420"/>
      <c r="E10" s="420"/>
      <c r="F10" s="420"/>
      <c r="G10" s="420"/>
      <c r="H10" s="420"/>
      <c r="I10" s="420"/>
      <c r="J10" s="420"/>
      <c r="K10" s="420"/>
      <c r="L10" s="420"/>
      <c r="M10" s="420"/>
      <c r="N10" s="420"/>
      <c r="O10" s="420"/>
      <c r="P10" s="420"/>
      <c r="Q10" s="420"/>
      <c r="R10" s="420"/>
      <c r="S10" s="420"/>
      <c r="T10" s="420"/>
      <c r="U10" s="420"/>
      <c r="V10" s="420"/>
      <c r="W10" s="420"/>
      <c r="X10" s="420"/>
      <c r="Y10" s="420"/>
      <c r="Z10" s="420"/>
      <c r="AA10" s="420"/>
      <c r="AB10" s="420"/>
      <c r="AC10" s="420"/>
      <c r="AD10" s="420"/>
      <c r="AE10" s="420"/>
      <c r="AF10" s="420"/>
      <c r="AG10" s="420"/>
      <c r="AH10" s="420"/>
      <c r="AI10" s="420"/>
    </row>
    <row r="11" spans="1:35">
      <c r="A11" s="420"/>
      <c r="B11" s="420"/>
      <c r="C11" s="424"/>
      <c r="D11" s="420"/>
      <c r="E11" s="420"/>
      <c r="F11" s="420"/>
      <c r="G11" s="420"/>
      <c r="H11" s="420"/>
      <c r="I11" s="420"/>
      <c r="J11" s="420"/>
      <c r="K11" s="420"/>
      <c r="L11" s="420"/>
      <c r="M11" s="420"/>
      <c r="N11" s="420"/>
      <c r="O11" s="420"/>
      <c r="P11" s="420"/>
      <c r="Q11" s="420"/>
      <c r="R11" s="420"/>
      <c r="S11" s="420"/>
      <c r="T11" s="420"/>
      <c r="U11" s="420"/>
      <c r="V11" s="420"/>
      <c r="W11" s="420"/>
      <c r="X11" s="420"/>
      <c r="Y11" s="420"/>
      <c r="Z11" s="420"/>
      <c r="AA11" s="420"/>
      <c r="AB11" s="420"/>
      <c r="AC11" s="420"/>
      <c r="AD11" s="420"/>
      <c r="AE11" s="420"/>
      <c r="AF11" s="420"/>
      <c r="AG11" s="420"/>
      <c r="AH11" s="420"/>
      <c r="AI11" s="420"/>
    </row>
    <row r="12" spans="1:35">
      <c r="A12" s="420"/>
      <c r="B12" s="420"/>
      <c r="C12" s="424"/>
      <c r="D12" s="420"/>
      <c r="E12" s="420"/>
      <c r="F12" s="420"/>
      <c r="G12" s="420"/>
      <c r="H12" s="420"/>
      <c r="I12" s="420"/>
      <c r="J12" s="420"/>
      <c r="K12" s="420"/>
      <c r="L12" s="420"/>
      <c r="M12" s="420"/>
      <c r="N12" s="420"/>
      <c r="O12" s="420"/>
      <c r="P12" s="420"/>
      <c r="Q12" s="420"/>
      <c r="R12" s="420"/>
      <c r="S12" s="420"/>
      <c r="T12" s="420"/>
      <c r="U12" s="420"/>
      <c r="V12" s="420"/>
      <c r="W12" s="420"/>
      <c r="X12" s="420"/>
      <c r="Y12" s="420"/>
      <c r="Z12" s="420"/>
      <c r="AA12" s="420"/>
      <c r="AB12" s="420"/>
      <c r="AC12" s="420"/>
      <c r="AD12" s="420"/>
      <c r="AE12" s="420"/>
      <c r="AF12" s="420"/>
      <c r="AG12" s="420"/>
      <c r="AH12" s="420"/>
      <c r="AI12" s="420"/>
    </row>
    <row r="13" spans="1:35">
      <c r="A13" s="420"/>
      <c r="B13" s="420"/>
      <c r="C13" s="424"/>
      <c r="D13" s="420"/>
      <c r="E13" s="420"/>
      <c r="F13" s="420"/>
      <c r="G13" s="420"/>
      <c r="H13" s="420"/>
      <c r="I13" s="420"/>
      <c r="J13" s="420"/>
      <c r="K13" s="420"/>
      <c r="L13" s="420"/>
      <c r="M13" s="420"/>
      <c r="N13" s="420"/>
      <c r="O13" s="420"/>
      <c r="P13" s="420"/>
      <c r="Q13" s="420"/>
      <c r="R13" s="420"/>
      <c r="S13" s="420"/>
      <c r="T13" s="420"/>
      <c r="U13" s="420"/>
      <c r="V13" s="420"/>
      <c r="W13" s="420"/>
      <c r="X13" s="420"/>
      <c r="Y13" s="420"/>
      <c r="Z13" s="420"/>
      <c r="AA13" s="420"/>
      <c r="AB13" s="420"/>
      <c r="AC13" s="420"/>
      <c r="AD13" s="420"/>
      <c r="AE13" s="420"/>
      <c r="AF13" s="420"/>
      <c r="AG13" s="420"/>
      <c r="AH13" s="420"/>
      <c r="AI13" s="420"/>
    </row>
    <row r="14" spans="1:35">
      <c r="A14" s="420"/>
      <c r="B14" s="420"/>
      <c r="C14" s="424"/>
      <c r="D14" s="420"/>
      <c r="E14" s="420"/>
      <c r="F14" s="420"/>
      <c r="G14" s="420"/>
      <c r="H14" s="420"/>
      <c r="I14" s="420"/>
      <c r="J14" s="420"/>
      <c r="K14" s="420"/>
      <c r="L14" s="420"/>
      <c r="M14" s="420"/>
      <c r="N14" s="420"/>
      <c r="O14" s="420"/>
      <c r="P14" s="420"/>
      <c r="Q14" s="420"/>
      <c r="R14" s="420"/>
      <c r="S14" s="420"/>
      <c r="T14" s="420"/>
      <c r="U14" s="420"/>
      <c r="V14" s="420"/>
      <c r="W14" s="420"/>
      <c r="X14" s="420"/>
      <c r="Y14" s="420"/>
      <c r="Z14" s="420"/>
      <c r="AA14" s="420"/>
      <c r="AB14" s="420"/>
      <c r="AC14" s="420"/>
      <c r="AD14" s="420"/>
      <c r="AE14" s="420"/>
      <c r="AF14" s="420"/>
      <c r="AG14" s="420"/>
      <c r="AH14" s="420"/>
      <c r="AI14" s="420"/>
    </row>
    <row r="15" spans="1:35">
      <c r="A15" s="420"/>
      <c r="B15" s="420"/>
      <c r="C15" s="424"/>
      <c r="D15" s="420"/>
      <c r="E15" s="420"/>
      <c r="F15" s="420"/>
      <c r="G15" s="420"/>
      <c r="H15" s="420"/>
      <c r="I15" s="420"/>
      <c r="J15" s="420"/>
      <c r="K15" s="420"/>
      <c r="L15" s="420"/>
      <c r="M15" s="420"/>
      <c r="N15" s="420"/>
      <c r="O15" s="420"/>
      <c r="P15" s="420"/>
      <c r="Q15" s="420"/>
      <c r="R15" s="420"/>
      <c r="S15" s="420"/>
      <c r="T15" s="420"/>
      <c r="U15" s="420"/>
      <c r="V15" s="420"/>
      <c r="W15" s="420"/>
      <c r="X15" s="420"/>
      <c r="Y15" s="420"/>
      <c r="Z15" s="420"/>
      <c r="AA15" s="420"/>
      <c r="AB15" s="420"/>
      <c r="AC15" s="420"/>
      <c r="AD15" s="420"/>
      <c r="AE15" s="420"/>
      <c r="AF15" s="420"/>
      <c r="AG15" s="420"/>
      <c r="AH15" s="420"/>
      <c r="AI15" s="420"/>
    </row>
    <row r="16" spans="1:35">
      <c r="A16" s="420"/>
      <c r="B16" s="420"/>
      <c r="C16" s="424"/>
      <c r="D16" s="420"/>
      <c r="E16" s="420"/>
      <c r="F16" s="420"/>
      <c r="G16" s="420"/>
      <c r="H16" s="420"/>
      <c r="I16" s="420"/>
      <c r="J16" s="420"/>
      <c r="K16" s="420"/>
      <c r="L16" s="420"/>
      <c r="M16" s="420"/>
      <c r="N16" s="420"/>
      <c r="O16" s="420"/>
      <c r="P16" s="420"/>
      <c r="Q16" s="420"/>
      <c r="R16" s="420"/>
      <c r="S16" s="420"/>
      <c r="T16" s="420"/>
      <c r="U16" s="420"/>
      <c r="V16" s="420"/>
      <c r="W16" s="420"/>
      <c r="X16" s="420"/>
      <c r="Y16" s="420"/>
      <c r="Z16" s="420"/>
      <c r="AA16" s="420"/>
      <c r="AB16" s="420"/>
      <c r="AC16" s="420"/>
      <c r="AD16" s="420"/>
      <c r="AE16" s="420"/>
      <c r="AF16" s="420"/>
      <c r="AG16" s="420"/>
      <c r="AH16" s="420"/>
      <c r="AI16" s="420"/>
    </row>
    <row r="17" spans="1:35">
      <c r="A17" s="420"/>
      <c r="B17" s="420"/>
      <c r="C17" s="424"/>
      <c r="D17" s="420"/>
      <c r="E17" s="420"/>
      <c r="F17" s="420"/>
      <c r="G17" s="420"/>
      <c r="H17" s="420"/>
      <c r="I17" s="420"/>
      <c r="J17" s="420"/>
      <c r="K17" s="420"/>
      <c r="L17" s="420"/>
      <c r="M17" s="420"/>
      <c r="N17" s="420"/>
      <c r="O17" s="420"/>
      <c r="P17" s="420"/>
      <c r="Q17" s="420"/>
      <c r="R17" s="420"/>
      <c r="S17" s="420"/>
      <c r="T17" s="420"/>
      <c r="U17" s="420"/>
      <c r="V17" s="420"/>
      <c r="W17" s="420"/>
      <c r="X17" s="420"/>
      <c r="Y17" s="420"/>
      <c r="Z17" s="420"/>
      <c r="AA17" s="420"/>
      <c r="AB17" s="420"/>
      <c r="AC17" s="420"/>
      <c r="AD17" s="420"/>
      <c r="AE17" s="420"/>
      <c r="AF17" s="420"/>
      <c r="AG17" s="420"/>
      <c r="AH17" s="420"/>
      <c r="AI17" s="420"/>
    </row>
    <row r="18" spans="1:35">
      <c r="A18" s="420"/>
      <c r="B18" s="420"/>
      <c r="C18" s="424"/>
      <c r="D18" s="420"/>
      <c r="E18" s="420"/>
      <c r="F18" s="420"/>
      <c r="G18" s="420"/>
      <c r="H18" s="420"/>
      <c r="I18" s="420"/>
      <c r="J18" s="420"/>
      <c r="K18" s="420"/>
      <c r="L18" s="420"/>
      <c r="M18" s="420"/>
      <c r="N18" s="420"/>
      <c r="O18" s="420"/>
      <c r="P18" s="420"/>
      <c r="Q18" s="420"/>
      <c r="R18" s="420"/>
      <c r="S18" s="420"/>
      <c r="T18" s="420"/>
      <c r="U18" s="420"/>
      <c r="V18" s="420"/>
      <c r="W18" s="420"/>
      <c r="X18" s="420"/>
      <c r="Y18" s="420"/>
      <c r="Z18" s="420"/>
      <c r="AA18" s="420"/>
      <c r="AB18" s="420"/>
      <c r="AC18" s="420"/>
      <c r="AD18" s="420"/>
      <c r="AE18" s="420"/>
      <c r="AF18" s="420"/>
      <c r="AG18" s="420"/>
      <c r="AH18" s="420"/>
      <c r="AI18" s="420"/>
    </row>
    <row r="19" spans="1:35">
      <c r="A19" s="420"/>
      <c r="B19" s="420"/>
      <c r="C19" s="424"/>
      <c r="D19" s="420"/>
      <c r="E19" s="420"/>
      <c r="F19" s="420"/>
      <c r="G19" s="420"/>
      <c r="H19" s="420"/>
      <c r="I19" s="420"/>
      <c r="J19" s="420"/>
      <c r="K19" s="420"/>
      <c r="L19" s="420"/>
      <c r="M19" s="420"/>
      <c r="N19" s="420"/>
      <c r="O19" s="420"/>
      <c r="P19" s="420"/>
      <c r="Q19" s="420"/>
      <c r="R19" s="420"/>
      <c r="S19" s="420"/>
      <c r="T19" s="420"/>
      <c r="U19" s="420"/>
      <c r="V19" s="420"/>
      <c r="W19" s="420"/>
      <c r="X19" s="420"/>
      <c r="Y19" s="420"/>
      <c r="Z19" s="420"/>
      <c r="AA19" s="420"/>
      <c r="AB19" s="420"/>
      <c r="AC19" s="420"/>
      <c r="AD19" s="420"/>
      <c r="AE19" s="420"/>
      <c r="AF19" s="420"/>
      <c r="AG19" s="420"/>
      <c r="AH19" s="420"/>
      <c r="AI19" s="420"/>
    </row>
    <row r="20" spans="1:35">
      <c r="A20" s="420"/>
      <c r="B20" s="420"/>
      <c r="C20" s="424"/>
      <c r="D20" s="420"/>
      <c r="E20" s="420"/>
      <c r="F20" s="420"/>
      <c r="G20" s="420"/>
      <c r="H20" s="420"/>
      <c r="I20" s="420"/>
      <c r="J20" s="420"/>
      <c r="K20" s="420"/>
      <c r="L20" s="420"/>
      <c r="M20" s="420"/>
      <c r="N20" s="420"/>
      <c r="O20" s="420"/>
      <c r="P20" s="420"/>
      <c r="Q20" s="420"/>
      <c r="R20" s="420"/>
      <c r="S20" s="420"/>
      <c r="T20" s="420"/>
      <c r="U20" s="420"/>
      <c r="V20" s="420"/>
      <c r="W20" s="420"/>
      <c r="X20" s="420"/>
      <c r="Y20" s="420"/>
      <c r="Z20" s="420"/>
      <c r="AA20" s="420"/>
      <c r="AB20" s="420"/>
      <c r="AC20" s="420"/>
      <c r="AD20" s="420"/>
      <c r="AE20" s="420"/>
      <c r="AF20" s="420"/>
      <c r="AG20" s="420"/>
      <c r="AH20" s="420"/>
      <c r="AI20" s="420"/>
    </row>
    <row r="21" spans="1:35">
      <c r="A21" s="420"/>
      <c r="B21" s="420"/>
      <c r="C21" s="424"/>
      <c r="D21" s="420"/>
      <c r="E21" s="420"/>
      <c r="F21" s="420"/>
      <c r="G21" s="420"/>
      <c r="H21" s="420"/>
      <c r="I21" s="420"/>
      <c r="J21" s="420"/>
      <c r="K21" s="420"/>
      <c r="L21" s="420"/>
      <c r="M21" s="420"/>
      <c r="N21" s="420"/>
      <c r="O21" s="420"/>
      <c r="P21" s="420"/>
      <c r="Q21" s="420"/>
      <c r="R21" s="420"/>
      <c r="S21" s="420"/>
      <c r="T21" s="420"/>
      <c r="U21" s="420"/>
      <c r="V21" s="420"/>
      <c r="W21" s="420"/>
      <c r="X21" s="420"/>
      <c r="Y21" s="420"/>
      <c r="Z21" s="420"/>
      <c r="AA21" s="420"/>
      <c r="AB21" s="420"/>
      <c r="AC21" s="420"/>
      <c r="AD21" s="420"/>
      <c r="AE21" s="420"/>
      <c r="AF21" s="420"/>
      <c r="AG21" s="420"/>
      <c r="AH21" s="420"/>
      <c r="AI21" s="420"/>
    </row>
    <row r="22" spans="1:35">
      <c r="A22" s="420"/>
      <c r="B22" s="420"/>
      <c r="C22" s="424"/>
      <c r="D22" s="420"/>
      <c r="E22" s="425"/>
      <c r="F22" s="420"/>
      <c r="G22" s="420"/>
      <c r="H22" s="420"/>
      <c r="I22" s="420"/>
      <c r="J22" s="420"/>
      <c r="K22" s="420"/>
      <c r="L22" s="420"/>
      <c r="M22" s="420"/>
      <c r="N22" s="420"/>
      <c r="O22" s="420"/>
      <c r="P22" s="420"/>
      <c r="Q22" s="420"/>
      <c r="R22" s="420"/>
      <c r="S22" s="420"/>
      <c r="T22" s="420"/>
      <c r="U22" s="420"/>
      <c r="V22" s="420"/>
      <c r="W22" s="420"/>
      <c r="X22" s="420"/>
      <c r="Y22" s="420"/>
      <c r="Z22" s="420"/>
      <c r="AA22" s="420"/>
      <c r="AB22" s="420"/>
      <c r="AC22" s="420"/>
      <c r="AD22" s="420"/>
      <c r="AE22" s="420"/>
      <c r="AF22" s="420"/>
      <c r="AG22" s="420"/>
      <c r="AH22" s="420"/>
      <c r="AI22" s="420"/>
    </row>
    <row r="23" spans="1:35">
      <c r="A23" s="420"/>
      <c r="B23" s="420"/>
      <c r="C23" s="424"/>
      <c r="D23" s="420"/>
      <c r="E23" s="420"/>
      <c r="F23" s="420"/>
      <c r="G23" s="420"/>
      <c r="H23" s="420"/>
      <c r="I23" s="420"/>
      <c r="J23" s="420"/>
      <c r="K23" s="420"/>
      <c r="L23" s="420"/>
      <c r="M23" s="420"/>
      <c r="N23" s="420"/>
      <c r="O23" s="420"/>
      <c r="P23" s="420"/>
      <c r="Q23" s="420"/>
      <c r="R23" s="420"/>
      <c r="S23" s="420"/>
      <c r="T23" s="420"/>
      <c r="U23" s="420"/>
      <c r="V23" s="420"/>
      <c r="W23" s="420"/>
      <c r="X23" s="420"/>
      <c r="Y23" s="420"/>
      <c r="Z23" s="420"/>
      <c r="AA23" s="420"/>
      <c r="AB23" s="420"/>
      <c r="AC23" s="420"/>
      <c r="AD23" s="420"/>
      <c r="AE23" s="420"/>
      <c r="AF23" s="420"/>
      <c r="AG23" s="420"/>
      <c r="AH23" s="420"/>
      <c r="AI23" s="420"/>
    </row>
    <row r="24" spans="1:35">
      <c r="A24" s="420"/>
      <c r="B24" s="420"/>
      <c r="C24" s="424"/>
      <c r="D24" s="420"/>
      <c r="E24" s="420"/>
      <c r="F24" s="420"/>
      <c r="G24" s="420"/>
      <c r="H24" s="420"/>
      <c r="I24" s="420"/>
      <c r="J24" s="420"/>
      <c r="K24" s="420"/>
      <c r="L24" s="420"/>
      <c r="M24" s="420"/>
      <c r="N24" s="420"/>
      <c r="O24" s="420"/>
      <c r="P24" s="420"/>
      <c r="Q24" s="420"/>
      <c r="R24" s="420"/>
      <c r="S24" s="420"/>
      <c r="T24" s="420"/>
      <c r="U24" s="420"/>
      <c r="V24" s="420"/>
      <c r="W24" s="420"/>
      <c r="X24" s="420"/>
      <c r="Y24" s="420"/>
      <c r="Z24" s="420"/>
      <c r="AA24" s="420"/>
      <c r="AB24" s="420"/>
      <c r="AC24" s="420"/>
      <c r="AD24" s="420"/>
      <c r="AE24" s="420"/>
      <c r="AF24" s="420"/>
      <c r="AG24" s="420"/>
      <c r="AH24" s="420"/>
      <c r="AI24" s="420"/>
    </row>
    <row r="25" spans="1:35">
      <c r="A25" s="420"/>
      <c r="B25" s="420"/>
      <c r="C25" s="424"/>
      <c r="D25" s="420"/>
      <c r="E25" s="420"/>
      <c r="F25" s="420"/>
      <c r="G25" s="420"/>
      <c r="H25" s="420"/>
      <c r="I25" s="420"/>
      <c r="J25" s="420"/>
      <c r="K25" s="420"/>
      <c r="L25" s="420"/>
      <c r="M25" s="420"/>
      <c r="N25" s="420"/>
      <c r="O25" s="420"/>
      <c r="P25" s="420"/>
      <c r="Q25" s="420"/>
      <c r="R25" s="420"/>
      <c r="S25" s="420"/>
      <c r="T25" s="420"/>
      <c r="U25" s="420"/>
      <c r="V25" s="420"/>
      <c r="W25" s="420"/>
      <c r="X25" s="420"/>
      <c r="Y25" s="420"/>
      <c r="Z25" s="420"/>
      <c r="AA25" s="420"/>
      <c r="AB25" s="420"/>
      <c r="AC25" s="420"/>
      <c r="AD25" s="420"/>
      <c r="AE25" s="420"/>
      <c r="AF25" s="420"/>
      <c r="AG25" s="420"/>
      <c r="AH25" s="420"/>
      <c r="AI25" s="420"/>
    </row>
    <row r="26" spans="1:35">
      <c r="A26" s="420"/>
      <c r="B26" s="420"/>
      <c r="C26" s="424"/>
      <c r="D26" s="420"/>
      <c r="E26" s="420"/>
      <c r="F26" s="420"/>
      <c r="G26" s="420"/>
      <c r="H26" s="420"/>
      <c r="I26" s="420"/>
      <c r="J26" s="420"/>
      <c r="K26" s="420"/>
      <c r="L26" s="420"/>
      <c r="M26" s="420"/>
      <c r="N26" s="420"/>
      <c r="O26" s="420"/>
      <c r="P26" s="420"/>
      <c r="Q26" s="420"/>
      <c r="R26" s="420"/>
      <c r="S26" s="420"/>
      <c r="T26" s="420"/>
      <c r="U26" s="420"/>
      <c r="V26" s="420"/>
      <c r="W26" s="420"/>
      <c r="X26" s="420"/>
      <c r="Y26" s="420"/>
      <c r="Z26" s="420"/>
      <c r="AA26" s="420"/>
      <c r="AB26" s="420"/>
      <c r="AC26" s="420"/>
      <c r="AD26" s="420"/>
      <c r="AE26" s="420"/>
      <c r="AF26" s="420"/>
      <c r="AG26" s="420"/>
      <c r="AH26" s="420"/>
      <c r="AI26" s="420"/>
    </row>
    <row r="27" spans="1:35">
      <c r="A27" s="420"/>
      <c r="B27" s="420"/>
      <c r="C27" s="424"/>
      <c r="D27" s="420"/>
      <c r="E27" s="420"/>
      <c r="F27" s="420"/>
      <c r="G27" s="420"/>
      <c r="H27" s="420"/>
      <c r="I27" s="420"/>
      <c r="J27" s="420"/>
      <c r="K27" s="420"/>
      <c r="L27" s="420"/>
      <c r="M27" s="420"/>
      <c r="N27" s="420"/>
      <c r="O27" s="420"/>
      <c r="P27" s="420"/>
      <c r="Q27" s="420"/>
      <c r="R27" s="420"/>
      <c r="S27" s="420"/>
      <c r="T27" s="420"/>
      <c r="U27" s="420"/>
      <c r="V27" s="420"/>
      <c r="W27" s="420"/>
      <c r="X27" s="420"/>
      <c r="Y27" s="420"/>
      <c r="Z27" s="420"/>
      <c r="AA27" s="420"/>
      <c r="AB27" s="420"/>
      <c r="AC27" s="420"/>
      <c r="AD27" s="420"/>
      <c r="AE27" s="420"/>
      <c r="AF27" s="420"/>
      <c r="AG27" s="420"/>
      <c r="AH27" s="420"/>
      <c r="AI27" s="420"/>
    </row>
    <row r="28" spans="1:35">
      <c r="A28" s="420"/>
      <c r="B28" s="420"/>
      <c r="C28" s="424"/>
      <c r="D28" s="420"/>
      <c r="E28" s="420"/>
      <c r="F28" s="420"/>
      <c r="G28" s="420"/>
      <c r="H28" s="420"/>
      <c r="I28" s="420"/>
      <c r="J28" s="420"/>
      <c r="K28" s="420"/>
      <c r="L28" s="420"/>
      <c r="M28" s="420"/>
      <c r="N28" s="420"/>
      <c r="O28" s="420"/>
      <c r="P28" s="420"/>
      <c r="Q28" s="420"/>
      <c r="R28" s="420"/>
      <c r="S28" s="420"/>
      <c r="T28" s="420"/>
      <c r="U28" s="420"/>
      <c r="V28" s="420"/>
      <c r="W28" s="420"/>
      <c r="X28" s="420"/>
      <c r="Y28" s="420"/>
      <c r="Z28" s="420"/>
      <c r="AA28" s="420"/>
      <c r="AB28" s="420"/>
      <c r="AC28" s="420"/>
      <c r="AD28" s="420"/>
      <c r="AE28" s="420"/>
      <c r="AF28" s="420"/>
      <c r="AG28" s="420"/>
      <c r="AH28" s="420"/>
      <c r="AI28" s="420"/>
    </row>
    <row r="29" spans="1:35">
      <c r="A29" s="420"/>
      <c r="B29" s="420"/>
      <c r="C29" s="424"/>
      <c r="D29" s="420"/>
      <c r="E29" s="420"/>
      <c r="F29" s="420"/>
      <c r="G29" s="420"/>
      <c r="H29" s="420"/>
      <c r="I29" s="420"/>
      <c r="J29" s="420"/>
      <c r="K29" s="420"/>
      <c r="L29" s="420"/>
      <c r="M29" s="420"/>
      <c r="N29" s="420"/>
      <c r="O29" s="420"/>
      <c r="P29" s="420"/>
      <c r="Q29" s="420"/>
      <c r="R29" s="420"/>
      <c r="S29" s="420"/>
      <c r="T29" s="420"/>
      <c r="U29" s="420"/>
      <c r="V29" s="420"/>
      <c r="W29" s="420"/>
      <c r="X29" s="420"/>
      <c r="Y29" s="420"/>
      <c r="Z29" s="420"/>
      <c r="AA29" s="420"/>
      <c r="AB29" s="420"/>
      <c r="AC29" s="420"/>
      <c r="AD29" s="420"/>
      <c r="AE29" s="420"/>
      <c r="AF29" s="420"/>
      <c r="AG29" s="420"/>
      <c r="AH29" s="420"/>
      <c r="AI29" s="420"/>
    </row>
    <row r="30" spans="1:35">
      <c r="A30" s="420"/>
      <c r="B30" s="420"/>
      <c r="C30" s="424"/>
      <c r="D30" s="420"/>
      <c r="E30" s="420"/>
      <c r="F30" s="420"/>
      <c r="G30" s="420"/>
      <c r="H30" s="420"/>
      <c r="I30" s="420"/>
      <c r="J30" s="420"/>
      <c r="K30" s="420"/>
      <c r="L30" s="420"/>
      <c r="M30" s="420"/>
      <c r="N30" s="420"/>
      <c r="O30" s="420"/>
      <c r="P30" s="420"/>
      <c r="Q30" s="420"/>
      <c r="R30" s="420"/>
      <c r="S30" s="420"/>
      <c r="T30" s="420"/>
      <c r="U30" s="420"/>
      <c r="V30" s="420"/>
      <c r="W30" s="420"/>
      <c r="X30" s="420"/>
      <c r="Y30" s="420"/>
      <c r="Z30" s="420"/>
      <c r="AA30" s="420"/>
      <c r="AB30" s="420"/>
      <c r="AC30" s="420"/>
      <c r="AD30" s="420"/>
      <c r="AE30" s="420"/>
      <c r="AF30" s="420"/>
      <c r="AG30" s="420"/>
      <c r="AH30" s="420"/>
      <c r="AI30" s="420"/>
    </row>
    <row r="31" spans="1:35">
      <c r="A31" s="420"/>
      <c r="B31" s="420"/>
      <c r="C31" s="424"/>
      <c r="D31" s="420"/>
      <c r="E31" s="420"/>
      <c r="F31" s="420"/>
      <c r="G31" s="420"/>
      <c r="H31" s="420"/>
      <c r="I31" s="420"/>
      <c r="J31" s="420"/>
      <c r="K31" s="420"/>
      <c r="L31" s="420"/>
      <c r="M31" s="420"/>
      <c r="N31" s="420"/>
      <c r="O31" s="420"/>
      <c r="P31" s="420"/>
      <c r="Q31" s="420"/>
      <c r="R31" s="420"/>
      <c r="S31" s="420"/>
      <c r="T31" s="420"/>
      <c r="U31" s="420"/>
      <c r="V31" s="420"/>
      <c r="W31" s="420"/>
      <c r="X31" s="420"/>
      <c r="Y31" s="420"/>
      <c r="Z31" s="420"/>
      <c r="AA31" s="420"/>
      <c r="AB31" s="420"/>
      <c r="AC31" s="420"/>
      <c r="AD31" s="420"/>
      <c r="AE31" s="420"/>
      <c r="AF31" s="420"/>
      <c r="AG31" s="420"/>
      <c r="AH31" s="420"/>
      <c r="AI31" s="420"/>
    </row>
    <row r="32" spans="1:35">
      <c r="A32" s="420"/>
      <c r="B32" s="420"/>
      <c r="C32" s="424"/>
      <c r="D32" s="420"/>
      <c r="E32" s="420"/>
      <c r="F32" s="420"/>
      <c r="G32" s="420"/>
      <c r="H32" s="420"/>
      <c r="I32" s="420"/>
      <c r="J32" s="420"/>
      <c r="K32" s="420"/>
      <c r="L32" s="420"/>
      <c r="M32" s="420"/>
      <c r="N32" s="420"/>
      <c r="O32" s="420"/>
      <c r="P32" s="420"/>
      <c r="Q32" s="420"/>
      <c r="R32" s="420"/>
      <c r="S32" s="420"/>
      <c r="T32" s="420"/>
      <c r="U32" s="420"/>
      <c r="V32" s="420"/>
      <c r="W32" s="420"/>
      <c r="X32" s="420"/>
      <c r="Y32" s="420"/>
      <c r="Z32" s="420"/>
      <c r="AA32" s="420"/>
      <c r="AB32" s="420"/>
      <c r="AC32" s="420"/>
      <c r="AD32" s="420"/>
      <c r="AE32" s="420"/>
      <c r="AF32" s="420"/>
      <c r="AG32" s="420"/>
      <c r="AH32" s="420"/>
      <c r="AI32" s="420"/>
    </row>
    <row r="33" spans="1:35">
      <c r="A33" s="420"/>
      <c r="B33" s="420"/>
      <c r="C33" s="424"/>
      <c r="D33" s="420"/>
      <c r="E33" s="420"/>
      <c r="F33" s="420"/>
      <c r="G33" s="420"/>
      <c r="H33" s="420"/>
      <c r="I33" s="420"/>
      <c r="J33" s="420"/>
      <c r="K33" s="420"/>
      <c r="L33" s="420"/>
      <c r="M33" s="420"/>
      <c r="N33" s="420"/>
      <c r="O33" s="420"/>
      <c r="P33" s="420"/>
      <c r="Q33" s="420"/>
      <c r="R33" s="420"/>
      <c r="S33" s="420"/>
      <c r="T33" s="420"/>
      <c r="U33" s="420"/>
      <c r="V33" s="420"/>
      <c r="W33" s="420"/>
      <c r="X33" s="420"/>
      <c r="Y33" s="420"/>
      <c r="Z33" s="420"/>
      <c r="AA33" s="420"/>
      <c r="AB33" s="420"/>
      <c r="AC33" s="420"/>
      <c r="AD33" s="420"/>
      <c r="AE33" s="420"/>
      <c r="AF33" s="420"/>
      <c r="AG33" s="420"/>
      <c r="AH33" s="420"/>
      <c r="AI33" s="420"/>
    </row>
    <row r="34" spans="1:35">
      <c r="A34" s="420"/>
      <c r="B34" s="420"/>
      <c r="C34" s="424"/>
      <c r="D34" s="420"/>
      <c r="E34" s="420"/>
      <c r="F34" s="420"/>
      <c r="G34" s="420"/>
      <c r="H34" s="420"/>
      <c r="I34" s="420"/>
      <c r="J34" s="420"/>
      <c r="K34" s="420"/>
      <c r="L34" s="420"/>
      <c r="M34" s="420"/>
      <c r="N34" s="420"/>
      <c r="O34" s="420"/>
      <c r="P34" s="420"/>
      <c r="Q34" s="420"/>
      <c r="R34" s="420"/>
      <c r="S34" s="420"/>
      <c r="T34" s="420"/>
      <c r="U34" s="420"/>
      <c r="V34" s="420"/>
      <c r="W34" s="420"/>
      <c r="X34" s="420"/>
      <c r="Y34" s="420"/>
      <c r="Z34" s="420"/>
      <c r="AA34" s="420"/>
      <c r="AB34" s="420"/>
      <c r="AC34" s="420"/>
      <c r="AD34" s="420"/>
      <c r="AE34" s="420"/>
      <c r="AF34" s="420"/>
      <c r="AG34" s="420"/>
      <c r="AH34" s="420"/>
      <c r="AI34" s="420"/>
    </row>
    <row r="35" spans="1:35">
      <c r="A35" s="420"/>
      <c r="B35" s="420"/>
      <c r="C35" s="424"/>
      <c r="D35" s="420"/>
      <c r="E35" s="420"/>
      <c r="F35" s="420"/>
      <c r="G35" s="420"/>
      <c r="H35" s="420"/>
      <c r="I35" s="420"/>
      <c r="J35" s="420"/>
      <c r="K35" s="420"/>
      <c r="L35" s="420"/>
      <c r="M35" s="420"/>
      <c r="N35" s="420"/>
      <c r="O35" s="420"/>
      <c r="P35" s="420"/>
      <c r="Q35" s="420"/>
      <c r="R35" s="420"/>
      <c r="S35" s="420"/>
      <c r="T35" s="420"/>
      <c r="U35" s="420"/>
      <c r="V35" s="420"/>
      <c r="W35" s="420"/>
      <c r="X35" s="420"/>
      <c r="Y35" s="420"/>
      <c r="Z35" s="420"/>
      <c r="AA35" s="420"/>
      <c r="AB35" s="420"/>
      <c r="AC35" s="420"/>
      <c r="AD35" s="420"/>
      <c r="AE35" s="420"/>
      <c r="AF35" s="420"/>
      <c r="AG35" s="420"/>
      <c r="AH35" s="420"/>
      <c r="AI35" s="420"/>
    </row>
    <row r="36" spans="1:35">
      <c r="A36" s="420"/>
      <c r="B36" s="420"/>
      <c r="C36" s="424"/>
      <c r="D36" s="420"/>
      <c r="E36" s="420"/>
      <c r="F36" s="420"/>
      <c r="G36" s="420"/>
      <c r="H36" s="420"/>
      <c r="I36" s="420"/>
      <c r="J36" s="420"/>
      <c r="K36" s="420"/>
      <c r="L36" s="420"/>
      <c r="M36" s="420"/>
      <c r="N36" s="420"/>
      <c r="O36" s="420"/>
      <c r="P36" s="420"/>
      <c r="Q36" s="420"/>
      <c r="R36" s="420"/>
      <c r="S36" s="420"/>
      <c r="T36" s="420"/>
      <c r="U36" s="420"/>
      <c r="V36" s="420"/>
      <c r="W36" s="420"/>
      <c r="X36" s="420"/>
      <c r="Y36" s="420"/>
      <c r="Z36" s="420"/>
      <c r="AA36" s="420"/>
      <c r="AB36" s="420"/>
      <c r="AC36" s="420"/>
      <c r="AD36" s="420"/>
      <c r="AE36" s="420"/>
      <c r="AF36" s="420"/>
      <c r="AG36" s="420"/>
      <c r="AH36" s="420"/>
      <c r="AI36" s="420"/>
    </row>
    <row r="37" spans="1:35">
      <c r="A37" s="420"/>
      <c r="B37" s="420"/>
      <c r="C37" s="424"/>
      <c r="D37" s="420"/>
      <c r="E37" s="420"/>
      <c r="F37" s="420"/>
      <c r="G37" s="420"/>
      <c r="H37" s="420"/>
      <c r="I37" s="420"/>
      <c r="J37" s="420"/>
      <c r="K37" s="420"/>
      <c r="L37" s="420"/>
      <c r="M37" s="420"/>
      <c r="N37" s="420"/>
      <c r="O37" s="420"/>
      <c r="P37" s="420"/>
      <c r="Q37" s="420"/>
      <c r="R37" s="420"/>
      <c r="S37" s="420"/>
      <c r="T37" s="420"/>
      <c r="U37" s="420"/>
      <c r="V37" s="420"/>
      <c r="W37" s="420"/>
      <c r="X37" s="420"/>
      <c r="Y37" s="420"/>
      <c r="Z37" s="420"/>
      <c r="AA37" s="420"/>
      <c r="AB37" s="420"/>
      <c r="AC37" s="420"/>
      <c r="AD37" s="420"/>
      <c r="AE37" s="420"/>
      <c r="AF37" s="420"/>
      <c r="AG37" s="420"/>
      <c r="AH37" s="420"/>
      <c r="AI37" s="420"/>
    </row>
    <row r="38" spans="1:35">
      <c r="A38" s="420"/>
      <c r="B38" s="420"/>
      <c r="C38" s="424"/>
      <c r="D38" s="420"/>
      <c r="E38" s="420"/>
      <c r="F38" s="420"/>
      <c r="G38" s="420"/>
      <c r="H38" s="420"/>
      <c r="I38" s="420"/>
      <c r="J38" s="420"/>
      <c r="K38" s="420"/>
      <c r="L38" s="420"/>
      <c r="M38" s="420"/>
      <c r="N38" s="420"/>
      <c r="O38" s="420"/>
      <c r="P38" s="420"/>
      <c r="Q38" s="420"/>
      <c r="R38" s="420"/>
      <c r="S38" s="420"/>
      <c r="T38" s="420"/>
      <c r="U38" s="420"/>
      <c r="V38" s="420"/>
      <c r="W38" s="420"/>
      <c r="X38" s="420"/>
      <c r="Y38" s="420"/>
      <c r="Z38" s="420"/>
      <c r="AA38" s="420"/>
      <c r="AB38" s="420"/>
      <c r="AC38" s="420"/>
      <c r="AD38" s="420"/>
      <c r="AE38" s="420"/>
      <c r="AF38" s="420"/>
      <c r="AG38" s="420"/>
      <c r="AH38" s="420"/>
      <c r="AI38" s="420"/>
    </row>
    <row r="39" spans="1:35">
      <c r="A39" s="420"/>
      <c r="B39" s="420"/>
      <c r="C39" s="424"/>
      <c r="D39" s="420"/>
      <c r="E39" s="420"/>
      <c r="F39" s="420"/>
      <c r="G39" s="420"/>
      <c r="H39" s="420"/>
      <c r="I39" s="420"/>
      <c r="J39" s="420"/>
      <c r="K39" s="420"/>
      <c r="L39" s="420"/>
      <c r="M39" s="420"/>
      <c r="N39" s="420"/>
      <c r="O39" s="420"/>
      <c r="P39" s="420"/>
      <c r="Q39" s="420"/>
      <c r="R39" s="420"/>
      <c r="S39" s="420"/>
      <c r="T39" s="420"/>
      <c r="U39" s="420"/>
      <c r="V39" s="420"/>
      <c r="W39" s="420"/>
      <c r="X39" s="420"/>
      <c r="Y39" s="420"/>
      <c r="Z39" s="420"/>
      <c r="AA39" s="420"/>
      <c r="AB39" s="420"/>
      <c r="AC39" s="420"/>
      <c r="AD39" s="420"/>
      <c r="AE39" s="420"/>
      <c r="AF39" s="420"/>
      <c r="AG39" s="420"/>
      <c r="AH39" s="420"/>
      <c r="AI39" s="420"/>
    </row>
    <row r="40" spans="1:35">
      <c r="A40" s="420"/>
      <c r="B40" s="420"/>
      <c r="C40" s="424"/>
      <c r="D40" s="420"/>
      <c r="E40" s="420"/>
      <c r="F40" s="420"/>
      <c r="G40" s="420"/>
      <c r="H40" s="420"/>
      <c r="I40" s="420"/>
      <c r="J40" s="420"/>
      <c r="K40" s="420"/>
      <c r="L40" s="420"/>
      <c r="M40" s="420"/>
      <c r="N40" s="420"/>
      <c r="O40" s="420"/>
      <c r="P40" s="420"/>
      <c r="Q40" s="420"/>
      <c r="R40" s="420"/>
      <c r="S40" s="420"/>
      <c r="T40" s="420"/>
      <c r="U40" s="420"/>
      <c r="V40" s="420"/>
      <c r="W40" s="420"/>
      <c r="X40" s="420"/>
      <c r="Y40" s="420"/>
      <c r="Z40" s="420"/>
      <c r="AA40" s="420"/>
      <c r="AB40" s="420"/>
      <c r="AC40" s="420"/>
      <c r="AD40" s="420"/>
      <c r="AE40" s="420"/>
      <c r="AF40" s="420"/>
      <c r="AG40" s="420"/>
      <c r="AH40" s="420"/>
      <c r="AI40" s="420"/>
    </row>
    <row r="41" spans="1:35">
      <c r="A41" s="420"/>
      <c r="B41" s="420"/>
      <c r="C41" s="424"/>
      <c r="D41" s="420"/>
      <c r="E41" s="420"/>
      <c r="F41" s="420"/>
      <c r="G41" s="420"/>
      <c r="H41" s="420"/>
      <c r="I41" s="420"/>
      <c r="J41" s="420"/>
      <c r="K41" s="420"/>
      <c r="L41" s="420"/>
      <c r="M41" s="420"/>
      <c r="N41" s="420"/>
      <c r="O41" s="420"/>
      <c r="P41" s="420"/>
      <c r="Q41" s="420"/>
      <c r="R41" s="420"/>
      <c r="S41" s="420"/>
      <c r="T41" s="420"/>
      <c r="U41" s="420"/>
      <c r="V41" s="420"/>
      <c r="W41" s="420"/>
      <c r="X41" s="420"/>
      <c r="Y41" s="420"/>
      <c r="Z41" s="420"/>
      <c r="AA41" s="420"/>
      <c r="AB41" s="420"/>
      <c r="AC41" s="420"/>
      <c r="AD41" s="420"/>
      <c r="AE41" s="420"/>
      <c r="AF41" s="420"/>
      <c r="AG41" s="420"/>
      <c r="AH41" s="420"/>
      <c r="AI41" s="420"/>
    </row>
    <row r="42" spans="1:35">
      <c r="A42" s="420"/>
      <c r="B42" s="420"/>
      <c r="C42" s="424"/>
      <c r="D42" s="420"/>
      <c r="E42" s="420"/>
      <c r="F42" s="420"/>
      <c r="G42" s="420"/>
      <c r="H42" s="420"/>
      <c r="I42" s="420"/>
      <c r="J42" s="420"/>
      <c r="K42" s="420"/>
      <c r="L42" s="420"/>
      <c r="M42" s="420"/>
      <c r="N42" s="420"/>
      <c r="O42" s="420"/>
      <c r="P42" s="420"/>
      <c r="Q42" s="420"/>
      <c r="R42" s="420"/>
      <c r="S42" s="420"/>
      <c r="T42" s="420"/>
      <c r="U42" s="420"/>
      <c r="V42" s="420"/>
      <c r="W42" s="420"/>
      <c r="X42" s="420"/>
      <c r="Y42" s="420"/>
      <c r="Z42" s="420"/>
      <c r="AA42" s="420"/>
      <c r="AB42" s="420"/>
      <c r="AC42" s="420"/>
      <c r="AD42" s="420"/>
      <c r="AE42" s="420"/>
      <c r="AF42" s="420"/>
      <c r="AG42" s="420"/>
      <c r="AH42" s="420"/>
      <c r="AI42" s="420"/>
    </row>
    <row r="43" spans="1:35">
      <c r="A43" s="420"/>
      <c r="B43" s="420"/>
      <c r="C43" s="424"/>
      <c r="D43" s="420"/>
      <c r="E43" s="420"/>
      <c r="F43" s="420"/>
      <c r="G43" s="420"/>
      <c r="H43" s="420"/>
      <c r="I43" s="420"/>
      <c r="J43" s="420"/>
      <c r="K43" s="420"/>
      <c r="L43" s="420"/>
      <c r="M43" s="420"/>
      <c r="N43" s="420"/>
      <c r="O43" s="420"/>
      <c r="P43" s="420"/>
      <c r="Q43" s="420"/>
      <c r="R43" s="420"/>
      <c r="S43" s="420"/>
      <c r="T43" s="420"/>
      <c r="U43" s="420"/>
      <c r="V43" s="420"/>
      <c r="W43" s="420"/>
      <c r="X43" s="420"/>
      <c r="Y43" s="420"/>
      <c r="Z43" s="420"/>
      <c r="AA43" s="420"/>
      <c r="AB43" s="420"/>
      <c r="AC43" s="420"/>
      <c r="AD43" s="420"/>
      <c r="AE43" s="420"/>
      <c r="AF43" s="420"/>
      <c r="AG43" s="420"/>
      <c r="AH43" s="420"/>
      <c r="AI43" s="420"/>
    </row>
    <row r="44" spans="1:35">
      <c r="A44" s="420"/>
      <c r="B44" s="420"/>
      <c r="C44" s="424"/>
      <c r="D44" s="420"/>
      <c r="E44" s="420"/>
      <c r="F44" s="420"/>
      <c r="G44" s="420"/>
      <c r="H44" s="420"/>
      <c r="I44" s="420"/>
      <c r="J44" s="420"/>
      <c r="K44" s="420"/>
      <c r="L44" s="420"/>
      <c r="M44" s="420"/>
      <c r="N44" s="420"/>
      <c r="O44" s="420"/>
      <c r="P44" s="420"/>
      <c r="Q44" s="420"/>
      <c r="R44" s="420"/>
      <c r="S44" s="420"/>
      <c r="T44" s="420"/>
      <c r="U44" s="420"/>
      <c r="V44" s="420"/>
      <c r="W44" s="420"/>
      <c r="X44" s="420"/>
      <c r="Y44" s="420"/>
      <c r="Z44" s="420"/>
      <c r="AA44" s="420"/>
      <c r="AB44" s="420"/>
      <c r="AC44" s="420"/>
      <c r="AD44" s="420"/>
      <c r="AE44" s="420"/>
      <c r="AF44" s="420"/>
      <c r="AG44" s="420"/>
      <c r="AH44" s="420"/>
      <c r="AI44" s="420"/>
    </row>
    <row r="45" spans="1:35">
      <c r="A45" s="420"/>
      <c r="B45" s="420"/>
      <c r="C45" s="420"/>
      <c r="D45" s="420"/>
      <c r="E45" s="420"/>
      <c r="F45" s="420"/>
      <c r="G45" s="420"/>
      <c r="H45" s="420"/>
      <c r="I45" s="420"/>
      <c r="J45" s="420"/>
      <c r="K45" s="420"/>
      <c r="L45" s="420"/>
      <c r="M45" s="420"/>
      <c r="N45" s="420"/>
      <c r="O45" s="420"/>
      <c r="P45" s="420"/>
      <c r="Q45" s="420"/>
      <c r="R45" s="420"/>
      <c r="S45" s="420"/>
      <c r="T45" s="420"/>
      <c r="U45" s="420"/>
      <c r="V45" s="420"/>
      <c r="W45" s="420"/>
      <c r="X45" s="420"/>
      <c r="Y45" s="420"/>
      <c r="Z45" s="420"/>
      <c r="AA45" s="420"/>
      <c r="AB45" s="420"/>
      <c r="AC45" s="420"/>
      <c r="AD45" s="420"/>
      <c r="AE45" s="420"/>
      <c r="AF45" s="420"/>
      <c r="AG45" s="420"/>
      <c r="AH45" s="420"/>
      <c r="AI45" s="420"/>
    </row>
    <row r="46" spans="1:35">
      <c r="A46" s="420"/>
      <c r="B46" s="420"/>
      <c r="C46" s="420"/>
      <c r="D46" s="420"/>
      <c r="E46" s="420"/>
      <c r="F46" s="420"/>
      <c r="G46" s="420"/>
      <c r="H46" s="420"/>
      <c r="I46" s="420"/>
      <c r="J46" s="420"/>
      <c r="K46" s="420"/>
      <c r="L46" s="420"/>
      <c r="M46" s="420"/>
      <c r="N46" s="420"/>
      <c r="O46" s="420"/>
      <c r="P46" s="420"/>
      <c r="Q46" s="420"/>
      <c r="R46" s="420"/>
      <c r="S46" s="420"/>
      <c r="T46" s="420"/>
      <c r="U46" s="420"/>
      <c r="V46" s="420"/>
      <c r="W46" s="420"/>
      <c r="X46" s="420"/>
      <c r="Y46" s="420"/>
      <c r="Z46" s="420"/>
      <c r="AA46" s="420"/>
      <c r="AB46" s="420"/>
      <c r="AC46" s="420"/>
      <c r="AD46" s="420"/>
      <c r="AE46" s="420"/>
      <c r="AF46" s="420"/>
      <c r="AG46" s="420"/>
      <c r="AH46" s="420"/>
      <c r="AI46" s="420"/>
    </row>
    <row r="47" spans="1:35">
      <c r="A47" s="420"/>
      <c r="B47" s="420"/>
      <c r="C47" s="420"/>
      <c r="D47" s="420"/>
      <c r="E47" s="420"/>
      <c r="F47" s="420"/>
      <c r="G47" s="420"/>
      <c r="H47" s="420"/>
      <c r="I47" s="420"/>
      <c r="J47" s="420"/>
      <c r="K47" s="420"/>
      <c r="L47" s="420"/>
      <c r="M47" s="420"/>
      <c r="N47" s="420"/>
      <c r="O47" s="420"/>
      <c r="P47" s="420"/>
      <c r="Q47" s="420"/>
      <c r="R47" s="420"/>
      <c r="S47" s="420"/>
      <c r="T47" s="420"/>
      <c r="U47" s="420"/>
      <c r="V47" s="420"/>
      <c r="W47" s="420"/>
      <c r="X47" s="420"/>
      <c r="Y47" s="420"/>
      <c r="Z47" s="420"/>
      <c r="AA47" s="420"/>
      <c r="AB47" s="420"/>
      <c r="AC47" s="420"/>
      <c r="AD47" s="420"/>
      <c r="AE47" s="420"/>
      <c r="AF47" s="420"/>
      <c r="AG47" s="420"/>
      <c r="AH47" s="420"/>
      <c r="AI47" s="420"/>
    </row>
    <row r="48" spans="1:35">
      <c r="A48" s="420"/>
      <c r="B48" s="420"/>
      <c r="C48" s="420"/>
      <c r="D48" s="420"/>
      <c r="E48" s="420"/>
      <c r="F48" s="420"/>
      <c r="G48" s="420"/>
      <c r="H48" s="420"/>
      <c r="I48" s="420"/>
      <c r="J48" s="420"/>
      <c r="K48" s="420"/>
      <c r="L48" s="420"/>
      <c r="M48" s="420"/>
      <c r="N48" s="420"/>
      <c r="O48" s="420"/>
      <c r="P48" s="420"/>
      <c r="Q48" s="420"/>
      <c r="R48" s="420"/>
      <c r="S48" s="420"/>
      <c r="T48" s="420"/>
      <c r="U48" s="420"/>
      <c r="V48" s="420"/>
      <c r="W48" s="420"/>
      <c r="X48" s="420"/>
      <c r="Y48" s="420"/>
      <c r="Z48" s="420"/>
      <c r="AA48" s="420"/>
      <c r="AB48" s="420"/>
      <c r="AC48" s="420"/>
      <c r="AD48" s="420"/>
      <c r="AE48" s="420"/>
      <c r="AF48" s="420"/>
      <c r="AG48" s="420"/>
      <c r="AH48" s="420"/>
      <c r="AI48" s="420"/>
    </row>
    <row r="49" spans="1:35">
      <c r="A49" s="420"/>
      <c r="B49" s="420"/>
      <c r="C49" s="420"/>
      <c r="D49" s="420"/>
      <c r="E49" s="420"/>
      <c r="F49" s="420"/>
      <c r="G49" s="420"/>
      <c r="H49" s="420"/>
      <c r="I49" s="420"/>
      <c r="J49" s="420"/>
      <c r="K49" s="420"/>
      <c r="L49" s="420"/>
      <c r="M49" s="420"/>
      <c r="N49" s="420"/>
      <c r="O49" s="420"/>
      <c r="P49" s="420"/>
      <c r="Q49" s="420"/>
      <c r="R49" s="420"/>
      <c r="S49" s="420"/>
      <c r="T49" s="420"/>
      <c r="U49" s="420"/>
      <c r="V49" s="420"/>
      <c r="W49" s="420"/>
      <c r="X49" s="420"/>
      <c r="Y49" s="420"/>
      <c r="Z49" s="420"/>
      <c r="AA49" s="420"/>
      <c r="AB49" s="420"/>
      <c r="AC49" s="420"/>
      <c r="AD49" s="420"/>
      <c r="AE49" s="420"/>
      <c r="AF49" s="420"/>
      <c r="AG49" s="420"/>
      <c r="AH49" s="420"/>
      <c r="AI49" s="420"/>
    </row>
    <row r="50" spans="1:35">
      <c r="A50" s="420"/>
      <c r="B50" s="420"/>
      <c r="C50" s="420"/>
      <c r="D50" s="420"/>
      <c r="E50" s="420"/>
      <c r="F50" s="420"/>
      <c r="G50" s="420"/>
      <c r="H50" s="420"/>
      <c r="I50" s="420"/>
      <c r="J50" s="420"/>
      <c r="K50" s="420"/>
      <c r="L50" s="420"/>
      <c r="M50" s="420"/>
      <c r="N50" s="420"/>
      <c r="O50" s="420"/>
      <c r="P50" s="420"/>
      <c r="Q50" s="420"/>
      <c r="R50" s="420"/>
      <c r="S50" s="420"/>
      <c r="T50" s="420"/>
      <c r="U50" s="420"/>
      <c r="V50" s="420"/>
      <c r="W50" s="420"/>
      <c r="X50" s="420"/>
      <c r="Y50" s="420"/>
      <c r="Z50" s="420"/>
      <c r="AA50" s="420"/>
      <c r="AB50" s="420"/>
      <c r="AC50" s="420"/>
      <c r="AD50" s="420"/>
      <c r="AE50" s="420"/>
      <c r="AF50" s="420"/>
      <c r="AG50" s="420"/>
      <c r="AH50" s="420"/>
      <c r="AI50" s="420"/>
    </row>
    <row r="51" spans="1:35">
      <c r="A51" s="420"/>
      <c r="B51" s="420"/>
      <c r="C51" s="420"/>
      <c r="D51" s="420"/>
      <c r="E51" s="420"/>
      <c r="F51" s="420"/>
      <c r="G51" s="420"/>
      <c r="H51" s="420"/>
      <c r="I51" s="420"/>
      <c r="J51" s="420"/>
      <c r="K51" s="420"/>
      <c r="L51" s="420"/>
      <c r="M51" s="420"/>
      <c r="N51" s="420"/>
      <c r="O51" s="420"/>
      <c r="P51" s="420"/>
      <c r="Q51" s="420"/>
      <c r="R51" s="420"/>
      <c r="S51" s="420"/>
      <c r="T51" s="420"/>
      <c r="U51" s="420"/>
      <c r="V51" s="420"/>
      <c r="W51" s="420"/>
      <c r="X51" s="420"/>
      <c r="Y51" s="420"/>
      <c r="Z51" s="420"/>
      <c r="AA51" s="420"/>
      <c r="AB51" s="420"/>
      <c r="AC51" s="420"/>
      <c r="AD51" s="420"/>
      <c r="AE51" s="420"/>
      <c r="AF51" s="420"/>
      <c r="AG51" s="420"/>
      <c r="AH51" s="420"/>
      <c r="AI51" s="420"/>
    </row>
    <row r="52" spans="1:35">
      <c r="A52" s="420"/>
      <c r="B52" s="420"/>
      <c r="C52" s="420"/>
      <c r="D52" s="420"/>
      <c r="E52" s="420"/>
      <c r="F52" s="420"/>
      <c r="G52" s="420"/>
      <c r="H52" s="420"/>
      <c r="I52" s="420"/>
      <c r="J52" s="420"/>
      <c r="K52" s="420"/>
      <c r="L52" s="420"/>
      <c r="M52" s="420"/>
      <c r="N52" s="420"/>
      <c r="O52" s="420"/>
      <c r="P52" s="420"/>
      <c r="Q52" s="420"/>
      <c r="R52" s="420"/>
      <c r="S52" s="420"/>
      <c r="T52" s="420"/>
      <c r="U52" s="420"/>
      <c r="V52" s="420"/>
      <c r="W52" s="420"/>
      <c r="X52" s="420"/>
      <c r="Y52" s="420"/>
      <c r="Z52" s="420"/>
      <c r="AA52" s="420"/>
      <c r="AB52" s="420"/>
      <c r="AC52" s="420"/>
      <c r="AD52" s="420"/>
      <c r="AE52" s="420"/>
      <c r="AF52" s="420"/>
      <c r="AG52" s="420"/>
      <c r="AH52" s="420"/>
      <c r="AI52" s="420"/>
    </row>
    <row r="53" spans="1:35">
      <c r="A53" s="420"/>
      <c r="B53" s="420"/>
      <c r="C53" s="420"/>
      <c r="D53" s="420"/>
      <c r="E53" s="420"/>
      <c r="F53" s="420"/>
      <c r="G53" s="420"/>
      <c r="H53" s="420"/>
      <c r="I53" s="420"/>
      <c r="J53" s="420"/>
      <c r="K53" s="420"/>
      <c r="L53" s="420"/>
      <c r="M53" s="420"/>
      <c r="N53" s="420"/>
      <c r="O53" s="420"/>
      <c r="P53" s="420"/>
      <c r="Q53" s="420"/>
      <c r="R53" s="420"/>
      <c r="S53" s="420"/>
      <c r="T53" s="420"/>
      <c r="U53" s="420"/>
      <c r="V53" s="420"/>
      <c r="W53" s="420"/>
      <c r="X53" s="420"/>
      <c r="Y53" s="420"/>
      <c r="Z53" s="420"/>
      <c r="AA53" s="420"/>
      <c r="AB53" s="420"/>
      <c r="AC53" s="420"/>
      <c r="AD53" s="420"/>
      <c r="AE53" s="420"/>
      <c r="AF53" s="420"/>
      <c r="AG53" s="420"/>
      <c r="AH53" s="420"/>
      <c r="AI53" s="420"/>
    </row>
    <row r="54" spans="1:35">
      <c r="A54" s="420"/>
      <c r="B54" s="420"/>
      <c r="C54" s="420"/>
      <c r="D54" s="420"/>
      <c r="E54" s="420"/>
      <c r="F54" s="420"/>
      <c r="G54" s="420"/>
      <c r="H54" s="420"/>
      <c r="I54" s="420"/>
      <c r="J54" s="420"/>
      <c r="K54" s="420"/>
      <c r="L54" s="420"/>
      <c r="M54" s="420"/>
      <c r="N54" s="420"/>
      <c r="O54" s="420"/>
      <c r="P54" s="420"/>
      <c r="Q54" s="420"/>
      <c r="R54" s="420"/>
      <c r="S54" s="420"/>
      <c r="T54" s="420"/>
      <c r="U54" s="420"/>
      <c r="V54" s="420"/>
      <c r="W54" s="420"/>
      <c r="X54" s="420"/>
      <c r="Y54" s="420"/>
      <c r="Z54" s="420"/>
      <c r="AA54" s="420"/>
      <c r="AB54" s="420"/>
      <c r="AC54" s="420"/>
      <c r="AD54" s="420"/>
      <c r="AE54" s="420"/>
      <c r="AF54" s="420"/>
      <c r="AG54" s="420"/>
      <c r="AH54" s="420"/>
      <c r="AI54" s="420"/>
    </row>
    <row r="55" spans="1:35">
      <c r="A55" s="420"/>
      <c r="B55" s="420"/>
      <c r="C55" s="420"/>
      <c r="D55" s="420"/>
      <c r="E55" s="420"/>
      <c r="F55" s="420"/>
      <c r="G55" s="420"/>
      <c r="H55" s="420"/>
      <c r="I55" s="420"/>
      <c r="J55" s="420"/>
      <c r="K55" s="420"/>
      <c r="L55" s="420"/>
      <c r="M55" s="420"/>
      <c r="N55" s="420"/>
      <c r="O55" s="420"/>
      <c r="P55" s="420"/>
      <c r="Q55" s="420"/>
      <c r="R55" s="420"/>
      <c r="S55" s="420"/>
      <c r="T55" s="420"/>
      <c r="U55" s="420"/>
      <c r="V55" s="420"/>
      <c r="W55" s="420"/>
      <c r="X55" s="420"/>
      <c r="Y55" s="420"/>
      <c r="Z55" s="420"/>
      <c r="AA55" s="420"/>
      <c r="AB55" s="420"/>
      <c r="AC55" s="420"/>
      <c r="AD55" s="420"/>
      <c r="AE55" s="420"/>
      <c r="AF55" s="420"/>
      <c r="AG55" s="420"/>
      <c r="AH55" s="420"/>
      <c r="AI55" s="420"/>
    </row>
    <row r="56" spans="1:35">
      <c r="A56" s="420"/>
      <c r="B56" s="420"/>
      <c r="C56" s="420"/>
      <c r="D56" s="420"/>
      <c r="E56" s="420"/>
      <c r="F56" s="420"/>
      <c r="G56" s="420"/>
      <c r="H56" s="420"/>
      <c r="I56" s="420"/>
      <c r="J56" s="420"/>
      <c r="K56" s="420"/>
      <c r="L56" s="420"/>
      <c r="M56" s="420"/>
      <c r="N56" s="420"/>
      <c r="O56" s="420"/>
      <c r="P56" s="420"/>
      <c r="Q56" s="420"/>
      <c r="R56" s="420"/>
      <c r="S56" s="420"/>
      <c r="T56" s="420"/>
      <c r="U56" s="420"/>
      <c r="V56" s="420"/>
      <c r="W56" s="420"/>
      <c r="X56" s="420"/>
      <c r="Y56" s="420"/>
      <c r="Z56" s="420"/>
      <c r="AA56" s="420"/>
      <c r="AB56" s="420"/>
      <c r="AC56" s="420"/>
      <c r="AD56" s="420"/>
      <c r="AE56" s="420"/>
      <c r="AF56" s="420"/>
      <c r="AG56" s="420"/>
      <c r="AH56" s="420"/>
      <c r="AI56" s="420"/>
    </row>
    <row r="57" spans="1:35">
      <c r="A57" s="420"/>
      <c r="B57" s="420"/>
      <c r="C57" s="420"/>
      <c r="D57" s="420"/>
      <c r="E57" s="420"/>
      <c r="F57" s="420"/>
      <c r="G57" s="420"/>
      <c r="H57" s="420"/>
      <c r="I57" s="420"/>
      <c r="J57" s="420"/>
      <c r="K57" s="420"/>
      <c r="L57" s="420"/>
      <c r="M57" s="420"/>
      <c r="N57" s="420"/>
      <c r="O57" s="420"/>
      <c r="P57" s="420"/>
      <c r="Q57" s="420"/>
      <c r="R57" s="420"/>
      <c r="S57" s="420"/>
      <c r="T57" s="420"/>
      <c r="U57" s="420"/>
      <c r="V57" s="420"/>
      <c r="W57" s="420"/>
      <c r="X57" s="420"/>
      <c r="Y57" s="420"/>
      <c r="Z57" s="420"/>
      <c r="AA57" s="420"/>
      <c r="AB57" s="420"/>
      <c r="AC57" s="420"/>
      <c r="AD57" s="420"/>
      <c r="AE57" s="420"/>
      <c r="AF57" s="420"/>
      <c r="AG57" s="420"/>
      <c r="AH57" s="420"/>
      <c r="AI57" s="420"/>
    </row>
    <row r="58" spans="1:35">
      <c r="A58" s="420"/>
      <c r="B58" s="420"/>
      <c r="C58" s="420"/>
      <c r="D58" s="420"/>
      <c r="E58" s="420"/>
      <c r="F58" s="420"/>
      <c r="G58" s="420"/>
      <c r="H58" s="420"/>
      <c r="I58" s="420"/>
      <c r="J58" s="420"/>
      <c r="K58" s="420"/>
      <c r="L58" s="420"/>
      <c r="M58" s="420"/>
      <c r="N58" s="420"/>
      <c r="O58" s="420"/>
      <c r="P58" s="420"/>
      <c r="Q58" s="420"/>
      <c r="R58" s="420"/>
      <c r="S58" s="420"/>
      <c r="T58" s="420"/>
      <c r="U58" s="420"/>
      <c r="V58" s="420"/>
      <c r="W58" s="420"/>
      <c r="X58" s="420"/>
      <c r="Y58" s="420"/>
      <c r="Z58" s="420"/>
      <c r="AA58" s="420"/>
      <c r="AB58" s="420"/>
      <c r="AC58" s="420"/>
      <c r="AD58" s="420"/>
      <c r="AE58" s="420"/>
      <c r="AF58" s="420"/>
      <c r="AG58" s="420"/>
      <c r="AH58" s="420"/>
      <c r="AI58" s="420"/>
    </row>
    <row r="59" spans="1:35">
      <c r="A59" s="420"/>
      <c r="B59" s="420"/>
      <c r="C59" s="420"/>
      <c r="D59" s="420"/>
      <c r="E59" s="420"/>
      <c r="F59" s="420"/>
      <c r="G59" s="420"/>
      <c r="H59" s="420"/>
      <c r="I59" s="420"/>
      <c r="J59" s="420"/>
      <c r="K59" s="420"/>
      <c r="L59" s="420"/>
      <c r="M59" s="420"/>
      <c r="N59" s="420"/>
      <c r="O59" s="420"/>
      <c r="P59" s="420"/>
      <c r="Q59" s="420"/>
      <c r="R59" s="420"/>
      <c r="S59" s="420"/>
      <c r="T59" s="420"/>
      <c r="U59" s="420"/>
      <c r="V59" s="420"/>
      <c r="W59" s="420"/>
      <c r="X59" s="420"/>
      <c r="Y59" s="420"/>
      <c r="Z59" s="420"/>
      <c r="AA59" s="420"/>
      <c r="AB59" s="420"/>
      <c r="AC59" s="420"/>
      <c r="AD59" s="420"/>
      <c r="AE59" s="420"/>
      <c r="AF59" s="420"/>
      <c r="AG59" s="420"/>
      <c r="AH59" s="420"/>
      <c r="AI59" s="420"/>
    </row>
    <row r="60" spans="1:35">
      <c r="A60" s="420"/>
      <c r="B60" s="420"/>
      <c r="C60" s="420"/>
      <c r="D60" s="420"/>
      <c r="E60" s="420"/>
      <c r="F60" s="420"/>
      <c r="G60" s="420"/>
      <c r="H60" s="420"/>
      <c r="I60" s="420"/>
      <c r="J60" s="420"/>
      <c r="K60" s="420"/>
      <c r="L60" s="420"/>
      <c r="M60" s="420"/>
      <c r="N60" s="420"/>
      <c r="O60" s="420"/>
      <c r="P60" s="420"/>
      <c r="Q60" s="420"/>
      <c r="R60" s="420"/>
      <c r="S60" s="420"/>
      <c r="T60" s="420"/>
      <c r="U60" s="420"/>
      <c r="V60" s="420"/>
      <c r="W60" s="420"/>
      <c r="X60" s="420"/>
      <c r="Y60" s="420"/>
      <c r="Z60" s="420"/>
      <c r="AA60" s="420"/>
      <c r="AB60" s="420"/>
      <c r="AC60" s="420"/>
      <c r="AD60" s="420"/>
      <c r="AE60" s="420"/>
      <c r="AF60" s="420"/>
      <c r="AG60" s="420"/>
      <c r="AH60" s="420"/>
      <c r="AI60" s="420"/>
    </row>
    <row r="61" spans="1:35">
      <c r="A61" s="420"/>
      <c r="B61" s="420"/>
      <c r="C61" s="420"/>
      <c r="D61" s="420"/>
      <c r="E61" s="420"/>
      <c r="F61" s="420"/>
      <c r="G61" s="420"/>
      <c r="H61" s="420"/>
      <c r="I61" s="420"/>
      <c r="J61" s="420"/>
      <c r="K61" s="420"/>
      <c r="L61" s="420"/>
      <c r="M61" s="420"/>
      <c r="N61" s="420"/>
      <c r="O61" s="420"/>
      <c r="P61" s="420"/>
      <c r="Q61" s="420"/>
      <c r="R61" s="420"/>
      <c r="S61" s="420"/>
      <c r="T61" s="420"/>
      <c r="U61" s="420"/>
      <c r="V61" s="420"/>
      <c r="W61" s="420"/>
      <c r="X61" s="420"/>
      <c r="Y61" s="420"/>
      <c r="Z61" s="420"/>
      <c r="AA61" s="420"/>
      <c r="AB61" s="420"/>
      <c r="AC61" s="420"/>
      <c r="AD61" s="420"/>
      <c r="AE61" s="420"/>
      <c r="AF61" s="420"/>
      <c r="AG61" s="420"/>
      <c r="AH61" s="420"/>
      <c r="AI61" s="420"/>
    </row>
    <row r="62" spans="1:35">
      <c r="A62" s="420"/>
      <c r="B62" s="420"/>
      <c r="C62" s="420"/>
      <c r="D62" s="420"/>
      <c r="E62" s="420"/>
      <c r="F62" s="420"/>
      <c r="G62" s="420"/>
      <c r="H62" s="420"/>
      <c r="I62" s="420"/>
      <c r="J62" s="420"/>
      <c r="K62" s="420"/>
      <c r="L62" s="420"/>
      <c r="M62" s="420"/>
      <c r="N62" s="420"/>
      <c r="O62" s="420"/>
      <c r="P62" s="420"/>
      <c r="Q62" s="420"/>
      <c r="R62" s="420"/>
      <c r="S62" s="420"/>
      <c r="T62" s="420"/>
      <c r="U62" s="420"/>
      <c r="V62" s="420"/>
      <c r="W62" s="420"/>
      <c r="X62" s="420"/>
      <c r="Y62" s="420"/>
      <c r="Z62" s="420"/>
      <c r="AA62" s="420"/>
      <c r="AB62" s="420"/>
      <c r="AC62" s="420"/>
      <c r="AD62" s="420"/>
      <c r="AE62" s="420"/>
      <c r="AF62" s="420"/>
      <c r="AG62" s="420"/>
      <c r="AH62" s="420"/>
      <c r="AI62" s="420"/>
    </row>
    <row r="63" spans="1:35">
      <c r="A63" s="420"/>
      <c r="B63" s="420"/>
      <c r="C63" s="420"/>
      <c r="D63" s="420"/>
      <c r="E63" s="420"/>
      <c r="F63" s="420"/>
      <c r="G63" s="420"/>
      <c r="H63" s="420"/>
      <c r="I63" s="420"/>
      <c r="J63" s="420"/>
      <c r="K63" s="420"/>
      <c r="L63" s="420"/>
      <c r="M63" s="420"/>
      <c r="N63" s="420"/>
      <c r="O63" s="420"/>
      <c r="P63" s="420"/>
      <c r="Q63" s="420"/>
      <c r="R63" s="420"/>
      <c r="S63" s="420"/>
      <c r="T63" s="420"/>
      <c r="U63" s="420"/>
      <c r="V63" s="420"/>
      <c r="W63" s="420"/>
      <c r="X63" s="420"/>
      <c r="Y63" s="420"/>
      <c r="Z63" s="420"/>
      <c r="AA63" s="420"/>
      <c r="AB63" s="420"/>
      <c r="AC63" s="420"/>
      <c r="AD63" s="420"/>
      <c r="AE63" s="420"/>
      <c r="AF63" s="420"/>
      <c r="AG63" s="420"/>
      <c r="AH63" s="420"/>
      <c r="AI63" s="420"/>
    </row>
    <row r="64" spans="1:35" ht="30">
      <c r="A64" s="420"/>
      <c r="B64" s="421" t="s">
        <v>42</v>
      </c>
      <c r="C64" s="426" t="str">
        <f>Help!D30</f>
        <v>Adding and changing glazing details:</v>
      </c>
      <c r="D64" s="427"/>
      <c r="E64" s="428"/>
      <c r="F64" s="428"/>
      <c r="G64" s="428"/>
      <c r="H64" s="428"/>
      <c r="I64" s="428"/>
      <c r="J64" s="428"/>
      <c r="K64" s="428"/>
      <c r="L64" s="428"/>
      <c r="M64" s="428"/>
      <c r="N64" s="428"/>
      <c r="O64" s="428"/>
      <c r="P64" s="428"/>
      <c r="Q64" s="428"/>
      <c r="R64" s="420"/>
      <c r="S64" s="420"/>
      <c r="T64" s="420"/>
      <c r="U64" s="420"/>
      <c r="V64" s="420"/>
      <c r="W64" s="420"/>
      <c r="X64" s="420"/>
      <c r="Y64" s="420"/>
      <c r="Z64" s="420"/>
      <c r="AA64" s="420"/>
      <c r="AB64" s="420"/>
      <c r="AC64" s="420"/>
      <c r="AD64" s="420"/>
      <c r="AE64" s="420"/>
      <c r="AF64" s="420"/>
      <c r="AG64" s="420"/>
      <c r="AH64" s="420"/>
      <c r="AI64" s="420"/>
    </row>
    <row r="65" spans="1:35">
      <c r="A65" s="420"/>
      <c r="B65" s="420"/>
      <c r="C65" s="420"/>
      <c r="D65" s="420"/>
      <c r="E65" s="420"/>
      <c r="F65" s="420"/>
      <c r="G65" s="420"/>
      <c r="H65" s="420"/>
      <c r="I65" s="420"/>
      <c r="J65" s="420"/>
      <c r="K65" s="420"/>
      <c r="L65" s="420"/>
      <c r="M65" s="420"/>
      <c r="N65" s="420"/>
      <c r="O65" s="420"/>
      <c r="P65" s="420"/>
      <c r="Q65" s="420"/>
      <c r="R65" s="420"/>
      <c r="S65" s="420"/>
      <c r="T65" s="420"/>
      <c r="U65" s="420"/>
      <c r="V65" s="420"/>
      <c r="W65" s="420"/>
      <c r="X65" s="420"/>
      <c r="Y65" s="420"/>
      <c r="Z65" s="420"/>
      <c r="AA65" s="420"/>
      <c r="AB65" s="420"/>
      <c r="AC65" s="420"/>
      <c r="AD65" s="420"/>
      <c r="AE65" s="420"/>
      <c r="AF65" s="420"/>
      <c r="AG65" s="420"/>
      <c r="AH65" s="420"/>
      <c r="AI65" s="420"/>
    </row>
    <row r="66" spans="1:35">
      <c r="A66" s="420"/>
      <c r="B66" s="420"/>
      <c r="C66" s="420"/>
      <c r="D66" s="420"/>
      <c r="E66" s="420"/>
      <c r="F66" s="420"/>
      <c r="G66" s="420"/>
      <c r="H66" s="420"/>
      <c r="I66" s="420"/>
      <c r="J66" s="420"/>
      <c r="K66" s="420"/>
      <c r="L66" s="420"/>
      <c r="M66" s="420"/>
      <c r="N66" s="420"/>
      <c r="O66" s="420"/>
      <c r="P66" s="420"/>
      <c r="Q66" s="420"/>
      <c r="R66" s="420"/>
      <c r="S66" s="420"/>
      <c r="T66" s="420"/>
      <c r="U66" s="420"/>
      <c r="V66" s="420"/>
      <c r="W66" s="420"/>
      <c r="X66" s="420"/>
      <c r="Y66" s="420"/>
      <c r="Z66" s="420"/>
      <c r="AA66" s="420"/>
      <c r="AB66" s="420"/>
      <c r="AC66" s="420"/>
      <c r="AD66" s="420"/>
      <c r="AE66" s="420"/>
      <c r="AF66" s="420"/>
      <c r="AG66" s="420"/>
      <c r="AH66" s="420"/>
      <c r="AI66" s="420"/>
    </row>
    <row r="67" spans="1:35">
      <c r="A67" s="420"/>
      <c r="B67" s="420"/>
      <c r="C67" s="420"/>
      <c r="D67" s="420"/>
      <c r="E67" s="420"/>
      <c r="F67" s="420"/>
      <c r="G67" s="420"/>
      <c r="H67" s="420"/>
      <c r="I67" s="420"/>
      <c r="J67" s="420"/>
      <c r="K67" s="420"/>
      <c r="L67" s="420"/>
      <c r="M67" s="420"/>
      <c r="N67" s="420"/>
      <c r="O67" s="420"/>
      <c r="P67" s="420"/>
      <c r="Q67" s="420"/>
      <c r="R67" s="420"/>
      <c r="S67" s="420"/>
      <c r="T67" s="420"/>
      <c r="U67" s="420"/>
      <c r="V67" s="420"/>
      <c r="W67" s="420"/>
      <c r="X67" s="420"/>
      <c r="Y67" s="420"/>
      <c r="Z67" s="420"/>
      <c r="AA67" s="420"/>
      <c r="AB67" s="420"/>
      <c r="AC67" s="420"/>
      <c r="AD67" s="420"/>
      <c r="AE67" s="420"/>
      <c r="AF67" s="420"/>
      <c r="AG67" s="420"/>
      <c r="AH67" s="420"/>
      <c r="AI67" s="420"/>
    </row>
    <row r="68" spans="1:35">
      <c r="A68" s="420"/>
      <c r="B68" s="420"/>
      <c r="C68" s="424"/>
      <c r="D68" s="420"/>
      <c r="E68" s="420"/>
      <c r="F68" s="420"/>
      <c r="G68" s="420"/>
      <c r="H68" s="420"/>
      <c r="I68" s="420"/>
      <c r="J68" s="420"/>
      <c r="K68" s="420"/>
      <c r="L68" s="420"/>
      <c r="M68" s="420"/>
      <c r="N68" s="420"/>
      <c r="O68" s="420"/>
      <c r="P68" s="420"/>
      <c r="Q68" s="420"/>
      <c r="R68" s="420"/>
      <c r="S68" s="420"/>
      <c r="T68" s="420"/>
      <c r="U68" s="420"/>
      <c r="V68" s="420"/>
      <c r="W68" s="420"/>
      <c r="X68" s="420"/>
      <c r="Y68" s="420"/>
      <c r="Z68" s="420"/>
      <c r="AA68" s="420"/>
      <c r="AB68" s="420"/>
      <c r="AC68" s="420"/>
      <c r="AD68" s="420"/>
      <c r="AE68" s="420"/>
      <c r="AF68" s="420"/>
      <c r="AG68" s="420"/>
      <c r="AH68" s="420"/>
      <c r="AI68" s="420"/>
    </row>
    <row r="69" spans="1:35">
      <c r="A69" s="420"/>
      <c r="B69" s="420"/>
      <c r="C69" s="424"/>
      <c r="D69" s="420"/>
      <c r="E69" s="420"/>
      <c r="F69" s="420"/>
      <c r="G69" s="420"/>
      <c r="H69" s="420"/>
      <c r="I69" s="420"/>
      <c r="J69" s="420"/>
      <c r="K69" s="420"/>
      <c r="L69" s="420"/>
      <c r="M69" s="420"/>
      <c r="N69" s="420"/>
      <c r="O69" s="420"/>
      <c r="P69" s="420"/>
      <c r="Q69" s="420"/>
      <c r="R69" s="420"/>
      <c r="S69" s="420"/>
      <c r="T69" s="420"/>
      <c r="U69" s="420"/>
      <c r="V69" s="420"/>
      <c r="W69" s="420"/>
      <c r="X69" s="420"/>
      <c r="Y69" s="420"/>
      <c r="Z69" s="420"/>
      <c r="AA69" s="420"/>
      <c r="AB69" s="420"/>
      <c r="AC69" s="420"/>
      <c r="AD69" s="420"/>
      <c r="AE69" s="420"/>
      <c r="AF69" s="420"/>
      <c r="AG69" s="420"/>
      <c r="AH69" s="420"/>
      <c r="AI69" s="420"/>
    </row>
    <row r="70" spans="1:35">
      <c r="A70" s="420"/>
      <c r="B70" s="420"/>
      <c r="C70" s="424"/>
      <c r="D70" s="420"/>
      <c r="E70" s="420"/>
      <c r="F70" s="420"/>
      <c r="G70" s="420"/>
      <c r="H70" s="420"/>
      <c r="I70" s="420"/>
      <c r="J70" s="420"/>
      <c r="K70" s="420"/>
      <c r="L70" s="420"/>
      <c r="M70" s="420"/>
      <c r="N70" s="420"/>
      <c r="O70" s="420"/>
      <c r="P70" s="420"/>
      <c r="Q70" s="420"/>
      <c r="R70" s="420"/>
      <c r="S70" s="420"/>
      <c r="T70" s="420"/>
      <c r="U70" s="420"/>
      <c r="V70" s="420"/>
      <c r="W70" s="420"/>
      <c r="X70" s="420"/>
      <c r="Y70" s="420"/>
      <c r="Z70" s="420"/>
      <c r="AA70" s="420"/>
      <c r="AB70" s="420"/>
      <c r="AC70" s="420"/>
      <c r="AD70" s="420"/>
      <c r="AE70" s="420"/>
      <c r="AF70" s="420"/>
      <c r="AG70" s="420"/>
      <c r="AH70" s="420"/>
      <c r="AI70" s="420"/>
    </row>
    <row r="71" spans="1:35">
      <c r="A71" s="420"/>
      <c r="B71" s="420"/>
      <c r="C71" s="424"/>
      <c r="D71" s="420"/>
      <c r="E71" s="420"/>
      <c r="F71" s="420"/>
      <c r="G71" s="420"/>
      <c r="H71" s="420"/>
      <c r="I71" s="420"/>
      <c r="J71" s="420"/>
      <c r="K71" s="420"/>
      <c r="L71" s="420"/>
      <c r="M71" s="420"/>
      <c r="N71" s="420"/>
      <c r="O71" s="420"/>
      <c r="P71" s="420"/>
      <c r="Q71" s="420"/>
      <c r="R71" s="420"/>
      <c r="S71" s="420"/>
      <c r="T71" s="420"/>
      <c r="U71" s="420"/>
      <c r="V71" s="420"/>
      <c r="W71" s="420"/>
      <c r="X71" s="420"/>
      <c r="Y71" s="420"/>
      <c r="Z71" s="420"/>
      <c r="AA71" s="420"/>
      <c r="AB71" s="420"/>
      <c r="AC71" s="420"/>
      <c r="AD71" s="420"/>
      <c r="AE71" s="420"/>
      <c r="AF71" s="420"/>
      <c r="AG71" s="420"/>
      <c r="AH71" s="420"/>
      <c r="AI71" s="420"/>
    </row>
    <row r="72" spans="1:35">
      <c r="A72" s="420"/>
      <c r="B72" s="420"/>
      <c r="C72" s="424"/>
      <c r="D72" s="420"/>
      <c r="E72" s="420"/>
      <c r="F72" s="420"/>
      <c r="G72" s="420"/>
      <c r="H72" s="420"/>
      <c r="I72" s="420"/>
      <c r="J72" s="420"/>
      <c r="K72" s="420"/>
      <c r="L72" s="420"/>
      <c r="M72" s="420"/>
      <c r="N72" s="420"/>
      <c r="O72" s="420"/>
      <c r="P72" s="420"/>
      <c r="Q72" s="420"/>
      <c r="R72" s="420"/>
      <c r="S72" s="420"/>
      <c r="T72" s="420"/>
      <c r="U72" s="420"/>
      <c r="V72" s="420"/>
      <c r="W72" s="420"/>
      <c r="X72" s="420"/>
      <c r="Y72" s="420"/>
      <c r="Z72" s="420"/>
      <c r="AA72" s="420"/>
      <c r="AB72" s="420"/>
      <c r="AC72" s="420"/>
      <c r="AD72" s="420"/>
      <c r="AE72" s="420"/>
      <c r="AF72" s="420"/>
      <c r="AG72" s="420"/>
      <c r="AH72" s="420"/>
      <c r="AI72" s="420"/>
    </row>
    <row r="73" spans="1:35">
      <c r="A73" s="420"/>
      <c r="B73" s="420"/>
      <c r="C73" s="424"/>
      <c r="D73" s="420"/>
      <c r="E73" s="420"/>
      <c r="F73" s="420"/>
      <c r="G73" s="420"/>
      <c r="H73" s="420"/>
      <c r="I73" s="420"/>
      <c r="J73" s="420"/>
      <c r="K73" s="420"/>
      <c r="L73" s="420"/>
      <c r="M73" s="420"/>
      <c r="N73" s="420"/>
      <c r="O73" s="420"/>
      <c r="P73" s="420"/>
      <c r="Q73" s="420"/>
      <c r="R73" s="420"/>
      <c r="S73" s="420"/>
      <c r="T73" s="420"/>
      <c r="U73" s="420"/>
      <c r="V73" s="420"/>
      <c r="W73" s="420"/>
      <c r="X73" s="420"/>
      <c r="Y73" s="420"/>
      <c r="Z73" s="420"/>
      <c r="AA73" s="420"/>
      <c r="AB73" s="420"/>
      <c r="AC73" s="420"/>
      <c r="AD73" s="420"/>
      <c r="AE73" s="420"/>
      <c r="AF73" s="420"/>
      <c r="AG73" s="420"/>
      <c r="AH73" s="420"/>
      <c r="AI73" s="420"/>
    </row>
    <row r="74" spans="1:35">
      <c r="A74" s="420"/>
      <c r="B74" s="420"/>
      <c r="C74" s="424"/>
      <c r="D74" s="420"/>
      <c r="E74" s="420"/>
      <c r="F74" s="420"/>
      <c r="G74" s="420"/>
      <c r="H74" s="420"/>
      <c r="I74" s="420"/>
      <c r="J74" s="420"/>
      <c r="K74" s="420"/>
      <c r="L74" s="420"/>
      <c r="M74" s="420"/>
      <c r="N74" s="420"/>
      <c r="O74" s="420"/>
      <c r="P74" s="420"/>
      <c r="Q74" s="420"/>
      <c r="R74" s="420"/>
      <c r="S74" s="420"/>
      <c r="T74" s="420"/>
      <c r="U74" s="420"/>
      <c r="V74" s="420"/>
      <c r="W74" s="420"/>
      <c r="X74" s="420"/>
      <c r="Y74" s="420"/>
      <c r="Z74" s="420"/>
      <c r="AA74" s="420"/>
      <c r="AB74" s="420"/>
      <c r="AC74" s="420"/>
      <c r="AD74" s="420"/>
      <c r="AE74" s="420"/>
      <c r="AF74" s="420"/>
      <c r="AG74" s="420"/>
      <c r="AH74" s="420"/>
      <c r="AI74" s="420"/>
    </row>
    <row r="75" spans="1:35">
      <c r="A75" s="420"/>
      <c r="B75" s="420"/>
      <c r="C75" s="424"/>
      <c r="D75" s="420"/>
      <c r="E75" s="420"/>
      <c r="F75" s="420"/>
      <c r="G75" s="420"/>
      <c r="H75" s="420"/>
      <c r="I75" s="420"/>
      <c r="J75" s="420"/>
      <c r="K75" s="420"/>
      <c r="L75" s="420"/>
      <c r="M75" s="420"/>
      <c r="N75" s="420"/>
      <c r="O75" s="420"/>
      <c r="P75" s="420"/>
      <c r="Q75" s="420"/>
      <c r="R75" s="420"/>
      <c r="S75" s="420"/>
      <c r="T75" s="420"/>
      <c r="U75" s="420"/>
      <c r="V75" s="420"/>
      <c r="W75" s="420"/>
      <c r="X75" s="420"/>
      <c r="Y75" s="420"/>
      <c r="Z75" s="420"/>
      <c r="AA75" s="420"/>
      <c r="AB75" s="420"/>
      <c r="AC75" s="420"/>
      <c r="AD75" s="420"/>
      <c r="AE75" s="420"/>
      <c r="AF75" s="420"/>
      <c r="AG75" s="420"/>
      <c r="AH75" s="420"/>
      <c r="AI75" s="420"/>
    </row>
    <row r="76" spans="1:35">
      <c r="A76" s="420"/>
      <c r="B76" s="420"/>
      <c r="C76" s="424"/>
      <c r="D76" s="420"/>
      <c r="E76" s="420"/>
      <c r="F76" s="420"/>
      <c r="G76" s="420"/>
      <c r="H76" s="420"/>
      <c r="I76" s="420"/>
      <c r="J76" s="420"/>
      <c r="K76" s="420"/>
      <c r="L76" s="420"/>
      <c r="M76" s="420"/>
      <c r="N76" s="420"/>
      <c r="O76" s="420"/>
      <c r="P76" s="420"/>
      <c r="Q76" s="420"/>
      <c r="R76" s="420"/>
      <c r="S76" s="420"/>
      <c r="T76" s="420"/>
      <c r="U76" s="420"/>
      <c r="V76" s="420"/>
      <c r="W76" s="420"/>
      <c r="X76" s="420"/>
      <c r="Y76" s="420"/>
      <c r="Z76" s="420"/>
      <c r="AA76" s="420"/>
      <c r="AB76" s="420"/>
      <c r="AC76" s="420"/>
      <c r="AD76" s="420"/>
      <c r="AE76" s="420"/>
      <c r="AF76" s="420"/>
      <c r="AG76" s="420"/>
      <c r="AH76" s="420"/>
      <c r="AI76" s="420"/>
    </row>
    <row r="77" spans="1:35">
      <c r="A77" s="420"/>
      <c r="B77" s="420"/>
      <c r="C77" s="424"/>
      <c r="D77" s="420"/>
      <c r="E77" s="420"/>
      <c r="F77" s="420"/>
      <c r="G77" s="420"/>
      <c r="H77" s="420"/>
      <c r="I77" s="420"/>
      <c r="J77" s="420"/>
      <c r="K77" s="420"/>
      <c r="L77" s="420"/>
      <c r="M77" s="420"/>
      <c r="N77" s="420"/>
      <c r="O77" s="420"/>
      <c r="P77" s="420"/>
      <c r="Q77" s="420"/>
      <c r="R77" s="420"/>
      <c r="S77" s="420"/>
      <c r="T77" s="420"/>
      <c r="U77" s="420"/>
      <c r="V77" s="420"/>
      <c r="W77" s="420"/>
      <c r="X77" s="420"/>
      <c r="Y77" s="420"/>
      <c r="Z77" s="420"/>
      <c r="AA77" s="420"/>
      <c r="AB77" s="420"/>
      <c r="AC77" s="420"/>
      <c r="AD77" s="420"/>
      <c r="AE77" s="420"/>
      <c r="AF77" s="420"/>
      <c r="AG77" s="420"/>
      <c r="AH77" s="420"/>
      <c r="AI77" s="420"/>
    </row>
    <row r="78" spans="1:35">
      <c r="A78" s="420"/>
      <c r="B78" s="420"/>
      <c r="C78" s="424"/>
      <c r="D78" s="420"/>
      <c r="E78" s="420"/>
      <c r="F78" s="420"/>
      <c r="G78" s="420"/>
      <c r="H78" s="420"/>
      <c r="I78" s="420"/>
      <c r="J78" s="420"/>
      <c r="K78" s="420"/>
      <c r="L78" s="420"/>
      <c r="M78" s="420"/>
      <c r="N78" s="420"/>
      <c r="O78" s="420"/>
      <c r="P78" s="420"/>
      <c r="Q78" s="420"/>
      <c r="R78" s="420"/>
      <c r="S78" s="420"/>
      <c r="T78" s="420"/>
      <c r="U78" s="420"/>
      <c r="V78" s="420"/>
      <c r="W78" s="420"/>
      <c r="X78" s="420"/>
      <c r="Y78" s="420"/>
      <c r="Z78" s="420"/>
      <c r="AA78" s="420"/>
      <c r="AB78" s="420"/>
      <c r="AC78" s="420"/>
      <c r="AD78" s="420"/>
      <c r="AE78" s="420"/>
      <c r="AF78" s="420"/>
      <c r="AG78" s="420"/>
      <c r="AH78" s="420"/>
      <c r="AI78" s="420"/>
    </row>
    <row r="79" spans="1:35">
      <c r="A79" s="420"/>
      <c r="B79" s="420"/>
      <c r="C79" s="424"/>
      <c r="D79" s="420"/>
      <c r="E79" s="420"/>
      <c r="F79" s="420"/>
      <c r="G79" s="420"/>
      <c r="H79" s="420"/>
      <c r="I79" s="420"/>
      <c r="J79" s="420"/>
      <c r="K79" s="420"/>
      <c r="L79" s="420"/>
      <c r="M79" s="420"/>
      <c r="N79" s="420"/>
      <c r="O79" s="420"/>
      <c r="P79" s="420"/>
      <c r="Q79" s="420"/>
      <c r="R79" s="420"/>
      <c r="S79" s="420"/>
      <c r="T79" s="420"/>
      <c r="U79" s="420"/>
      <c r="V79" s="420"/>
      <c r="W79" s="420"/>
      <c r="X79" s="420"/>
      <c r="Y79" s="420"/>
      <c r="Z79" s="420"/>
      <c r="AA79" s="420"/>
      <c r="AB79" s="420"/>
      <c r="AC79" s="420"/>
      <c r="AD79" s="420"/>
      <c r="AE79" s="420"/>
      <c r="AF79" s="420"/>
      <c r="AG79" s="420"/>
      <c r="AH79" s="420"/>
      <c r="AI79" s="420"/>
    </row>
    <row r="80" spans="1:35">
      <c r="A80" s="420"/>
      <c r="B80" s="420"/>
      <c r="C80" s="424"/>
      <c r="D80" s="420"/>
      <c r="E80" s="420"/>
      <c r="F80" s="420"/>
      <c r="G80" s="420"/>
      <c r="H80" s="420"/>
      <c r="I80" s="420"/>
      <c r="J80" s="420"/>
      <c r="K80" s="420"/>
      <c r="L80" s="420"/>
      <c r="M80" s="420"/>
      <c r="N80" s="420"/>
      <c r="O80" s="420"/>
      <c r="P80" s="420"/>
      <c r="Q80" s="420"/>
      <c r="R80" s="420"/>
      <c r="S80" s="420"/>
      <c r="T80" s="420"/>
      <c r="U80" s="420"/>
      <c r="V80" s="420"/>
      <c r="W80" s="420"/>
      <c r="X80" s="420"/>
      <c r="Y80" s="420"/>
      <c r="Z80" s="420"/>
      <c r="AA80" s="420"/>
      <c r="AB80" s="420"/>
      <c r="AC80" s="420"/>
      <c r="AD80" s="420"/>
      <c r="AE80" s="420"/>
      <c r="AF80" s="420"/>
      <c r="AG80" s="420"/>
      <c r="AH80" s="420"/>
      <c r="AI80" s="420"/>
    </row>
    <row r="81" spans="1:35">
      <c r="A81" s="420"/>
      <c r="B81" s="420"/>
      <c r="C81" s="424"/>
      <c r="D81" s="420"/>
      <c r="E81" s="420"/>
      <c r="F81" s="420"/>
      <c r="G81" s="420"/>
      <c r="H81" s="420"/>
      <c r="I81" s="420"/>
      <c r="J81" s="420"/>
      <c r="K81" s="420"/>
      <c r="L81" s="420"/>
      <c r="M81" s="420"/>
      <c r="N81" s="420"/>
      <c r="O81" s="420"/>
      <c r="P81" s="420"/>
      <c r="Q81" s="420"/>
      <c r="R81" s="420"/>
      <c r="S81" s="420"/>
      <c r="T81" s="420"/>
      <c r="U81" s="420"/>
      <c r="V81" s="420"/>
      <c r="W81" s="420"/>
      <c r="X81" s="420"/>
      <c r="Y81" s="420"/>
      <c r="Z81" s="420"/>
      <c r="AA81" s="420"/>
      <c r="AB81" s="420"/>
      <c r="AC81" s="420"/>
      <c r="AD81" s="420"/>
      <c r="AE81" s="420"/>
      <c r="AF81" s="420"/>
      <c r="AG81" s="420"/>
      <c r="AH81" s="420"/>
      <c r="AI81" s="420"/>
    </row>
    <row r="82" spans="1:35">
      <c r="A82" s="420"/>
      <c r="B82" s="420"/>
      <c r="C82" s="424"/>
      <c r="D82" s="420"/>
      <c r="E82" s="420"/>
      <c r="F82" s="420"/>
      <c r="G82" s="420"/>
      <c r="H82" s="420"/>
      <c r="I82" s="420"/>
      <c r="J82" s="420"/>
      <c r="K82" s="420"/>
      <c r="L82" s="420"/>
      <c r="M82" s="420"/>
      <c r="N82" s="420"/>
      <c r="O82" s="420"/>
      <c r="P82" s="420"/>
      <c r="Q82" s="420"/>
      <c r="R82" s="420"/>
      <c r="S82" s="420"/>
      <c r="T82" s="420"/>
      <c r="U82" s="420"/>
      <c r="V82" s="420"/>
      <c r="W82" s="420"/>
      <c r="X82" s="420"/>
      <c r="Y82" s="420"/>
      <c r="Z82" s="420"/>
      <c r="AA82" s="420"/>
      <c r="AB82" s="420"/>
      <c r="AC82" s="420"/>
      <c r="AD82" s="420"/>
      <c r="AE82" s="420"/>
      <c r="AF82" s="420"/>
      <c r="AG82" s="420"/>
      <c r="AH82" s="420"/>
      <c r="AI82" s="420"/>
    </row>
    <row r="83" spans="1:35">
      <c r="A83" s="420"/>
      <c r="B83" s="420"/>
      <c r="C83" s="424"/>
      <c r="D83" s="420"/>
      <c r="E83" s="420"/>
      <c r="F83" s="420"/>
      <c r="G83" s="420"/>
      <c r="H83" s="420"/>
      <c r="I83" s="420"/>
      <c r="J83" s="420"/>
      <c r="K83" s="420"/>
      <c r="L83" s="420"/>
      <c r="M83" s="420"/>
      <c r="N83" s="420"/>
      <c r="O83" s="420"/>
      <c r="P83" s="420"/>
      <c r="Q83" s="420"/>
      <c r="R83" s="420"/>
      <c r="S83" s="420"/>
      <c r="T83" s="420"/>
      <c r="U83" s="420"/>
      <c r="V83" s="420"/>
      <c r="W83" s="420"/>
      <c r="X83" s="420"/>
      <c r="Y83" s="420"/>
      <c r="Z83" s="420"/>
      <c r="AA83" s="420"/>
      <c r="AB83" s="420"/>
      <c r="AC83" s="420"/>
      <c r="AD83" s="420"/>
      <c r="AE83" s="420"/>
      <c r="AF83" s="420"/>
      <c r="AG83" s="420"/>
      <c r="AH83" s="420"/>
      <c r="AI83" s="420"/>
    </row>
    <row r="84" spans="1:35">
      <c r="A84" s="420"/>
      <c r="B84" s="420"/>
      <c r="C84" s="424"/>
      <c r="D84" s="420"/>
      <c r="E84" s="420"/>
      <c r="F84" s="420"/>
      <c r="G84" s="420"/>
      <c r="H84" s="420"/>
      <c r="I84" s="420"/>
      <c r="J84" s="420"/>
      <c r="K84" s="420"/>
      <c r="L84" s="420"/>
      <c r="M84" s="420"/>
      <c r="N84" s="420"/>
      <c r="O84" s="420"/>
      <c r="P84" s="420"/>
      <c r="Q84" s="420"/>
      <c r="R84" s="420"/>
      <c r="S84" s="420"/>
      <c r="T84" s="420"/>
      <c r="U84" s="420"/>
      <c r="V84" s="420"/>
      <c r="W84" s="420"/>
      <c r="X84" s="420"/>
      <c r="Y84" s="420"/>
      <c r="Z84" s="420"/>
      <c r="AA84" s="420"/>
      <c r="AB84" s="420"/>
      <c r="AC84" s="420"/>
      <c r="AD84" s="420"/>
      <c r="AE84" s="420"/>
      <c r="AF84" s="420"/>
      <c r="AG84" s="420"/>
      <c r="AH84" s="420"/>
      <c r="AI84" s="420"/>
    </row>
    <row r="85" spans="1:35">
      <c r="A85" s="420"/>
      <c r="B85" s="420"/>
      <c r="C85" s="424"/>
      <c r="D85" s="420"/>
      <c r="E85" s="420"/>
      <c r="F85" s="420"/>
      <c r="G85" s="420"/>
      <c r="H85" s="420"/>
      <c r="I85" s="420"/>
      <c r="J85" s="420"/>
      <c r="K85" s="420"/>
      <c r="L85" s="420"/>
      <c r="M85" s="420"/>
      <c r="N85" s="420"/>
      <c r="O85" s="420"/>
      <c r="P85" s="420"/>
      <c r="Q85" s="420"/>
      <c r="R85" s="420"/>
      <c r="S85" s="420"/>
      <c r="T85" s="420"/>
      <c r="U85" s="420"/>
      <c r="V85" s="420"/>
      <c r="W85" s="420"/>
      <c r="X85" s="420"/>
      <c r="Y85" s="420"/>
      <c r="Z85" s="420"/>
      <c r="AA85" s="420"/>
      <c r="AB85" s="420"/>
      <c r="AC85" s="420"/>
      <c r="AD85" s="420"/>
      <c r="AE85" s="420"/>
      <c r="AF85" s="420"/>
      <c r="AG85" s="420"/>
      <c r="AH85" s="420"/>
      <c r="AI85" s="420"/>
    </row>
    <row r="86" spans="1:35">
      <c r="A86" s="420"/>
      <c r="B86" s="420"/>
      <c r="C86" s="424"/>
      <c r="D86" s="420"/>
      <c r="E86" s="420"/>
      <c r="F86" s="420"/>
      <c r="G86" s="420"/>
      <c r="H86" s="420"/>
      <c r="I86" s="420"/>
      <c r="J86" s="420"/>
      <c r="K86" s="420"/>
      <c r="L86" s="420"/>
      <c r="M86" s="420"/>
      <c r="N86" s="420"/>
      <c r="O86" s="420"/>
      <c r="P86" s="420"/>
      <c r="Q86" s="420"/>
      <c r="R86" s="420"/>
      <c r="S86" s="420"/>
      <c r="T86" s="420"/>
      <c r="U86" s="420"/>
      <c r="V86" s="420"/>
      <c r="W86" s="420"/>
      <c r="X86" s="420"/>
      <c r="Y86" s="420"/>
      <c r="Z86" s="420"/>
      <c r="AA86" s="420"/>
      <c r="AB86" s="420"/>
      <c r="AC86" s="420"/>
      <c r="AD86" s="420"/>
      <c r="AE86" s="420"/>
      <c r="AF86" s="420"/>
      <c r="AG86" s="420"/>
      <c r="AH86" s="420"/>
      <c r="AI86" s="420"/>
    </row>
    <row r="87" spans="1:35">
      <c r="A87" s="420"/>
      <c r="B87" s="420"/>
      <c r="C87" s="424"/>
      <c r="D87" s="420"/>
      <c r="E87" s="420"/>
      <c r="F87" s="420"/>
      <c r="G87" s="420"/>
      <c r="H87" s="420"/>
      <c r="I87" s="420"/>
      <c r="J87" s="420"/>
      <c r="K87" s="420"/>
      <c r="L87" s="420"/>
      <c r="M87" s="420"/>
      <c r="N87" s="420"/>
      <c r="O87" s="420"/>
      <c r="P87" s="420"/>
      <c r="Q87" s="420"/>
      <c r="R87" s="420"/>
      <c r="S87" s="420"/>
      <c r="T87" s="420"/>
      <c r="U87" s="420"/>
      <c r="V87" s="420"/>
      <c r="W87" s="420"/>
      <c r="X87" s="420"/>
      <c r="Y87" s="420"/>
      <c r="Z87" s="420"/>
      <c r="AA87" s="420"/>
      <c r="AB87" s="420"/>
      <c r="AC87" s="420"/>
      <c r="AD87" s="420"/>
      <c r="AE87" s="420"/>
      <c r="AF87" s="420"/>
      <c r="AG87" s="420"/>
      <c r="AH87" s="420"/>
      <c r="AI87" s="420"/>
    </row>
    <row r="88" spans="1:35">
      <c r="A88" s="420"/>
      <c r="B88" s="420"/>
      <c r="C88" s="424"/>
      <c r="D88" s="420"/>
      <c r="E88" s="420"/>
      <c r="F88" s="420"/>
      <c r="G88" s="420"/>
      <c r="H88" s="420"/>
      <c r="I88" s="420"/>
      <c r="J88" s="420"/>
      <c r="K88" s="420"/>
      <c r="L88" s="420"/>
      <c r="M88" s="420"/>
      <c r="N88" s="420"/>
      <c r="O88" s="420"/>
      <c r="P88" s="420"/>
      <c r="Q88" s="420"/>
      <c r="R88" s="420"/>
      <c r="S88" s="420"/>
      <c r="T88" s="420"/>
      <c r="U88" s="420"/>
      <c r="V88" s="420"/>
      <c r="W88" s="420"/>
      <c r="X88" s="420"/>
      <c r="Y88" s="420"/>
      <c r="Z88" s="420"/>
      <c r="AA88" s="420"/>
      <c r="AB88" s="420"/>
      <c r="AC88" s="420"/>
      <c r="AD88" s="420"/>
      <c r="AE88" s="420"/>
      <c r="AF88" s="420"/>
      <c r="AG88" s="420"/>
      <c r="AH88" s="420"/>
      <c r="AI88" s="420"/>
    </row>
    <row r="89" spans="1:35">
      <c r="A89" s="420"/>
      <c r="B89" s="420"/>
      <c r="C89" s="424"/>
      <c r="D89" s="420"/>
      <c r="E89" s="420"/>
      <c r="F89" s="420"/>
      <c r="G89" s="420"/>
      <c r="H89" s="420"/>
      <c r="I89" s="420"/>
      <c r="J89" s="420"/>
      <c r="K89" s="420"/>
      <c r="L89" s="420"/>
      <c r="M89" s="420"/>
      <c r="N89" s="420"/>
      <c r="O89" s="420"/>
      <c r="P89" s="420"/>
      <c r="Q89" s="420"/>
      <c r="R89" s="420"/>
      <c r="S89" s="420"/>
      <c r="T89" s="420"/>
      <c r="U89" s="420"/>
      <c r="V89" s="420"/>
      <c r="W89" s="420"/>
      <c r="X89" s="420"/>
      <c r="Y89" s="420"/>
      <c r="Z89" s="420"/>
      <c r="AA89" s="420"/>
      <c r="AB89" s="420"/>
      <c r="AC89" s="420"/>
      <c r="AD89" s="420"/>
      <c r="AE89" s="420"/>
      <c r="AF89" s="420"/>
      <c r="AG89" s="420"/>
      <c r="AH89" s="420"/>
      <c r="AI89" s="420"/>
    </row>
    <row r="90" spans="1:35">
      <c r="A90" s="420"/>
      <c r="B90" s="420"/>
      <c r="C90" s="424"/>
      <c r="D90" s="420"/>
      <c r="E90" s="420"/>
      <c r="F90" s="420"/>
      <c r="G90" s="420"/>
      <c r="H90" s="420"/>
      <c r="I90" s="420"/>
      <c r="J90" s="420"/>
      <c r="K90" s="420"/>
      <c r="L90" s="420"/>
      <c r="M90" s="420"/>
      <c r="N90" s="420"/>
      <c r="O90" s="420"/>
      <c r="P90" s="420"/>
      <c r="Q90" s="420"/>
      <c r="R90" s="420"/>
      <c r="S90" s="420"/>
      <c r="T90" s="420"/>
      <c r="U90" s="420"/>
      <c r="V90" s="420"/>
      <c r="W90" s="420"/>
      <c r="X90" s="420"/>
      <c r="Y90" s="420"/>
      <c r="Z90" s="420"/>
      <c r="AA90" s="420"/>
      <c r="AB90" s="420"/>
      <c r="AC90" s="420"/>
      <c r="AD90" s="420"/>
      <c r="AE90" s="420"/>
      <c r="AF90" s="420"/>
      <c r="AG90" s="420"/>
      <c r="AH90" s="420"/>
      <c r="AI90" s="420"/>
    </row>
    <row r="91" spans="1:35">
      <c r="A91" s="420"/>
      <c r="B91" s="420"/>
      <c r="C91" s="424"/>
      <c r="D91" s="420"/>
      <c r="E91" s="420"/>
      <c r="F91" s="420"/>
      <c r="G91" s="420"/>
      <c r="H91" s="420"/>
      <c r="I91" s="420"/>
      <c r="J91" s="420"/>
      <c r="K91" s="420"/>
      <c r="L91" s="420"/>
      <c r="M91" s="420"/>
      <c r="N91" s="420"/>
      <c r="O91" s="420"/>
      <c r="P91" s="420"/>
      <c r="Q91" s="420"/>
      <c r="R91" s="420"/>
      <c r="S91" s="420"/>
      <c r="T91" s="420"/>
      <c r="U91" s="420"/>
      <c r="V91" s="420"/>
      <c r="W91" s="420"/>
      <c r="X91" s="420"/>
      <c r="Y91" s="420"/>
      <c r="Z91" s="420"/>
      <c r="AA91" s="420"/>
      <c r="AB91" s="420"/>
      <c r="AC91" s="420"/>
      <c r="AD91" s="420"/>
      <c r="AE91" s="420"/>
      <c r="AF91" s="420"/>
      <c r="AG91" s="420"/>
      <c r="AH91" s="420"/>
      <c r="AI91" s="420"/>
    </row>
    <row r="92" spans="1:35">
      <c r="A92" s="420"/>
      <c r="B92" s="420"/>
      <c r="C92" s="424"/>
      <c r="D92" s="420"/>
      <c r="E92" s="420"/>
      <c r="F92" s="420"/>
      <c r="G92" s="420"/>
      <c r="H92" s="420"/>
      <c r="I92" s="420"/>
      <c r="J92" s="420"/>
      <c r="K92" s="420"/>
      <c r="L92" s="420"/>
      <c r="M92" s="420"/>
      <c r="N92" s="420"/>
      <c r="O92" s="420"/>
      <c r="P92" s="420"/>
      <c r="Q92" s="420"/>
      <c r="R92" s="420"/>
      <c r="S92" s="420"/>
      <c r="T92" s="420"/>
      <c r="U92" s="420"/>
      <c r="V92" s="420"/>
      <c r="W92" s="420"/>
      <c r="X92" s="420"/>
      <c r="Y92" s="420"/>
      <c r="Z92" s="420"/>
      <c r="AA92" s="420"/>
      <c r="AB92" s="420"/>
      <c r="AC92" s="420"/>
      <c r="AD92" s="420"/>
      <c r="AE92" s="420"/>
      <c r="AF92" s="420"/>
      <c r="AG92" s="420"/>
      <c r="AH92" s="420"/>
      <c r="AI92" s="420"/>
    </row>
    <row r="93" spans="1:35">
      <c r="A93" s="420"/>
      <c r="B93" s="420"/>
      <c r="C93" s="424"/>
      <c r="D93" s="420"/>
      <c r="E93" s="420"/>
      <c r="F93" s="420"/>
      <c r="G93" s="420"/>
      <c r="H93" s="420"/>
      <c r="I93" s="420"/>
      <c r="J93" s="420"/>
      <c r="K93" s="420"/>
      <c r="L93" s="420"/>
      <c r="M93" s="420"/>
      <c r="N93" s="420"/>
      <c r="O93" s="420"/>
      <c r="P93" s="420"/>
      <c r="Q93" s="420"/>
      <c r="R93" s="420"/>
      <c r="S93" s="420"/>
      <c r="T93" s="420"/>
      <c r="U93" s="420"/>
      <c r="V93" s="420"/>
      <c r="W93" s="420"/>
      <c r="X93" s="420"/>
      <c r="Y93" s="420"/>
      <c r="Z93" s="420"/>
      <c r="AA93" s="420"/>
      <c r="AB93" s="420"/>
      <c r="AC93" s="420"/>
      <c r="AD93" s="420"/>
      <c r="AE93" s="420"/>
      <c r="AF93" s="420"/>
      <c r="AG93" s="420"/>
      <c r="AH93" s="420"/>
      <c r="AI93" s="420"/>
    </row>
    <row r="94" spans="1:35">
      <c r="A94" s="420"/>
      <c r="B94" s="420"/>
      <c r="C94" s="424"/>
      <c r="D94" s="420"/>
      <c r="E94" s="420"/>
      <c r="F94" s="420"/>
      <c r="G94" s="420"/>
      <c r="H94" s="420"/>
      <c r="I94" s="420"/>
      <c r="J94" s="420"/>
      <c r="K94" s="420"/>
      <c r="L94" s="420"/>
      <c r="M94" s="420"/>
      <c r="N94" s="420"/>
      <c r="O94" s="420"/>
      <c r="P94" s="420"/>
      <c r="Q94" s="420"/>
      <c r="R94" s="420"/>
      <c r="S94" s="420"/>
      <c r="T94" s="420"/>
      <c r="U94" s="420"/>
      <c r="V94" s="420"/>
      <c r="W94" s="420"/>
      <c r="X94" s="420"/>
      <c r="Y94" s="420"/>
      <c r="Z94" s="420"/>
      <c r="AA94" s="420"/>
      <c r="AB94" s="420"/>
      <c r="AC94" s="420"/>
      <c r="AD94" s="420"/>
      <c r="AE94" s="420"/>
      <c r="AF94" s="420"/>
      <c r="AG94" s="420"/>
      <c r="AH94" s="420"/>
      <c r="AI94" s="420"/>
    </row>
    <row r="95" spans="1:35">
      <c r="A95" s="420"/>
      <c r="B95" s="420"/>
      <c r="C95" s="424"/>
      <c r="D95" s="420"/>
      <c r="E95" s="420"/>
      <c r="F95" s="420"/>
      <c r="G95" s="420"/>
      <c r="H95" s="420"/>
      <c r="I95" s="420"/>
      <c r="J95" s="420"/>
      <c r="K95" s="420"/>
      <c r="L95" s="420"/>
      <c r="M95" s="420"/>
      <c r="N95" s="420"/>
      <c r="O95" s="420"/>
      <c r="P95" s="420"/>
      <c r="Q95" s="420"/>
      <c r="R95" s="420"/>
      <c r="S95" s="420"/>
      <c r="T95" s="420"/>
      <c r="U95" s="420"/>
      <c r="V95" s="420"/>
      <c r="W95" s="420"/>
      <c r="X95" s="420"/>
      <c r="Y95" s="420"/>
      <c r="Z95" s="420"/>
      <c r="AA95" s="420"/>
      <c r="AB95" s="420"/>
      <c r="AC95" s="420"/>
      <c r="AD95" s="420"/>
      <c r="AE95" s="420"/>
      <c r="AF95" s="420"/>
      <c r="AG95" s="420"/>
      <c r="AH95" s="420"/>
      <c r="AI95" s="420"/>
    </row>
    <row r="96" spans="1:35">
      <c r="A96" s="420"/>
      <c r="B96" s="420"/>
      <c r="C96" s="424"/>
      <c r="D96" s="420"/>
      <c r="E96" s="420"/>
      <c r="F96" s="420"/>
      <c r="G96" s="420"/>
      <c r="H96" s="420"/>
      <c r="I96" s="420"/>
      <c r="J96" s="420"/>
      <c r="K96" s="420"/>
      <c r="L96" s="420"/>
      <c r="M96" s="420"/>
      <c r="N96" s="420"/>
      <c r="O96" s="420"/>
      <c r="P96" s="420"/>
      <c r="Q96" s="420"/>
      <c r="R96" s="420"/>
      <c r="S96" s="420"/>
      <c r="T96" s="420"/>
      <c r="U96" s="420"/>
      <c r="V96" s="420"/>
      <c r="W96" s="420"/>
      <c r="X96" s="420"/>
      <c r="Y96" s="420"/>
      <c r="Z96" s="420"/>
      <c r="AA96" s="420"/>
      <c r="AB96" s="420"/>
      <c r="AC96" s="420"/>
      <c r="AD96" s="420"/>
      <c r="AE96" s="420"/>
      <c r="AF96" s="420"/>
      <c r="AG96" s="420"/>
      <c r="AH96" s="420"/>
      <c r="AI96" s="420"/>
    </row>
    <row r="97" spans="1:35">
      <c r="A97" s="420"/>
      <c r="B97" s="420"/>
      <c r="C97" s="424"/>
      <c r="D97" s="420"/>
      <c r="E97" s="420"/>
      <c r="F97" s="420"/>
      <c r="G97" s="420"/>
      <c r="H97" s="420"/>
      <c r="I97" s="420"/>
      <c r="J97" s="420"/>
      <c r="K97" s="420"/>
      <c r="L97" s="420"/>
      <c r="M97" s="420"/>
      <c r="N97" s="420"/>
      <c r="O97" s="420"/>
      <c r="P97" s="420"/>
      <c r="Q97" s="420"/>
      <c r="R97" s="420"/>
      <c r="S97" s="420"/>
      <c r="T97" s="420"/>
      <c r="U97" s="420"/>
      <c r="V97" s="420"/>
      <c r="W97" s="420"/>
      <c r="X97" s="420"/>
      <c r="Y97" s="420"/>
      <c r="Z97" s="420"/>
      <c r="AA97" s="420"/>
      <c r="AB97" s="420"/>
      <c r="AC97" s="420"/>
      <c r="AD97" s="420"/>
      <c r="AE97" s="420"/>
      <c r="AF97" s="420"/>
      <c r="AG97" s="420"/>
      <c r="AH97" s="420"/>
      <c r="AI97" s="420"/>
    </row>
    <row r="98" spans="1:35">
      <c r="A98" s="420"/>
      <c r="B98" s="420"/>
      <c r="C98" s="424"/>
      <c r="D98" s="420"/>
      <c r="E98" s="420"/>
      <c r="F98" s="420"/>
      <c r="G98" s="420"/>
      <c r="H98" s="420"/>
      <c r="I98" s="420"/>
      <c r="J98" s="420"/>
      <c r="K98" s="420"/>
      <c r="L98" s="420"/>
      <c r="M98" s="420"/>
      <c r="N98" s="420"/>
      <c r="O98" s="420"/>
      <c r="P98" s="420"/>
      <c r="Q98" s="420"/>
      <c r="R98" s="420"/>
      <c r="S98" s="420"/>
      <c r="T98" s="420"/>
      <c r="U98" s="420"/>
      <c r="V98" s="420"/>
      <c r="W98" s="420"/>
      <c r="X98" s="420"/>
      <c r="Y98" s="420"/>
      <c r="Z98" s="420"/>
      <c r="AA98" s="420"/>
      <c r="AB98" s="420"/>
      <c r="AC98" s="420"/>
      <c r="AD98" s="420"/>
      <c r="AE98" s="420"/>
      <c r="AF98" s="420"/>
      <c r="AG98" s="420"/>
      <c r="AH98" s="420"/>
      <c r="AI98" s="420"/>
    </row>
    <row r="99" spans="1:35">
      <c r="A99" s="420"/>
      <c r="B99" s="420"/>
      <c r="C99" s="424"/>
      <c r="D99" s="420"/>
      <c r="E99" s="420"/>
      <c r="F99" s="420"/>
      <c r="G99" s="420"/>
      <c r="H99" s="420"/>
      <c r="I99" s="420"/>
      <c r="J99" s="420"/>
      <c r="K99" s="420"/>
      <c r="L99" s="420"/>
      <c r="M99" s="420"/>
      <c r="N99" s="420"/>
      <c r="O99" s="420"/>
      <c r="P99" s="420"/>
      <c r="Q99" s="420"/>
      <c r="R99" s="420"/>
      <c r="S99" s="420"/>
      <c r="T99" s="420"/>
      <c r="U99" s="420"/>
      <c r="V99" s="420"/>
      <c r="W99" s="420"/>
      <c r="X99" s="420"/>
      <c r="Y99" s="420"/>
      <c r="Z99" s="420"/>
      <c r="AA99" s="420"/>
      <c r="AB99" s="420"/>
      <c r="AC99" s="420"/>
      <c r="AD99" s="420"/>
      <c r="AE99" s="420"/>
      <c r="AF99" s="420"/>
      <c r="AG99" s="420"/>
      <c r="AH99" s="420"/>
      <c r="AI99" s="420"/>
    </row>
    <row r="100" spans="1:35">
      <c r="A100" s="420"/>
      <c r="B100" s="420"/>
      <c r="C100" s="424"/>
      <c r="D100" s="420"/>
      <c r="E100" s="420"/>
      <c r="F100" s="420"/>
      <c r="G100" s="420"/>
      <c r="H100" s="420"/>
      <c r="I100" s="420"/>
      <c r="J100" s="420"/>
      <c r="K100" s="420"/>
      <c r="L100" s="420"/>
      <c r="M100" s="420"/>
      <c r="N100" s="420"/>
      <c r="O100" s="420"/>
      <c r="P100" s="420"/>
      <c r="Q100" s="420"/>
      <c r="R100" s="420"/>
      <c r="S100" s="420"/>
      <c r="T100" s="420"/>
      <c r="U100" s="420"/>
      <c r="V100" s="420"/>
      <c r="W100" s="420"/>
      <c r="X100" s="420"/>
      <c r="Y100" s="420"/>
      <c r="Z100" s="420"/>
      <c r="AA100" s="420"/>
      <c r="AB100" s="420"/>
      <c r="AC100" s="420"/>
      <c r="AD100" s="420"/>
      <c r="AE100" s="420"/>
      <c r="AF100" s="420"/>
      <c r="AG100" s="420"/>
      <c r="AH100" s="420"/>
      <c r="AI100" s="420"/>
    </row>
    <row r="101" spans="1:35">
      <c r="A101" s="420"/>
      <c r="B101" s="420"/>
      <c r="C101" s="424"/>
      <c r="D101" s="420"/>
      <c r="E101" s="420"/>
      <c r="F101" s="420"/>
      <c r="G101" s="420"/>
      <c r="H101" s="420"/>
      <c r="I101" s="420"/>
      <c r="J101" s="420"/>
      <c r="K101" s="420"/>
      <c r="L101" s="420"/>
      <c r="M101" s="420"/>
      <c r="N101" s="420"/>
      <c r="O101" s="420"/>
      <c r="P101" s="420"/>
      <c r="Q101" s="420"/>
      <c r="R101" s="420"/>
      <c r="S101" s="420"/>
      <c r="T101" s="420"/>
      <c r="U101" s="420"/>
      <c r="V101" s="420"/>
      <c r="W101" s="420"/>
      <c r="X101" s="420"/>
      <c r="Y101" s="420"/>
      <c r="Z101" s="420"/>
      <c r="AA101" s="420"/>
      <c r="AB101" s="420"/>
      <c r="AC101" s="420"/>
      <c r="AD101" s="420"/>
      <c r="AE101" s="420"/>
      <c r="AF101" s="420"/>
      <c r="AG101" s="420"/>
      <c r="AH101" s="420"/>
      <c r="AI101" s="420"/>
    </row>
    <row r="102" spans="1:35">
      <c r="A102" s="420"/>
      <c r="B102" s="420"/>
      <c r="C102" s="424"/>
      <c r="D102" s="420"/>
      <c r="E102" s="420"/>
      <c r="F102" s="420"/>
      <c r="G102" s="420"/>
      <c r="H102" s="420"/>
      <c r="I102" s="420"/>
      <c r="J102" s="420"/>
      <c r="K102" s="420"/>
      <c r="L102" s="420"/>
      <c r="M102" s="420"/>
      <c r="N102" s="420"/>
      <c r="O102" s="420"/>
      <c r="P102" s="420"/>
      <c r="Q102" s="420"/>
      <c r="R102" s="420"/>
      <c r="S102" s="420"/>
      <c r="T102" s="420"/>
      <c r="U102" s="420"/>
      <c r="V102" s="420"/>
      <c r="W102" s="420"/>
      <c r="X102" s="420"/>
      <c r="Y102" s="420"/>
      <c r="Z102" s="420"/>
      <c r="AA102" s="420"/>
      <c r="AB102" s="420"/>
      <c r="AC102" s="420"/>
      <c r="AD102" s="420"/>
      <c r="AE102" s="420"/>
      <c r="AF102" s="420"/>
      <c r="AG102" s="420"/>
      <c r="AH102" s="420"/>
      <c r="AI102" s="420"/>
    </row>
    <row r="103" spans="1:35">
      <c r="A103" s="420"/>
      <c r="B103" s="420"/>
      <c r="C103" s="424"/>
      <c r="D103" s="420"/>
      <c r="E103" s="420"/>
      <c r="F103" s="420"/>
      <c r="G103" s="420"/>
      <c r="H103" s="420"/>
      <c r="I103" s="420"/>
      <c r="J103" s="420"/>
      <c r="K103" s="420"/>
      <c r="L103" s="420"/>
      <c r="M103" s="420"/>
      <c r="N103" s="420"/>
      <c r="O103" s="420"/>
      <c r="P103" s="420"/>
      <c r="Q103" s="420"/>
      <c r="R103" s="420"/>
      <c r="S103" s="420"/>
      <c r="T103" s="420"/>
      <c r="U103" s="420"/>
      <c r="V103" s="420"/>
      <c r="W103" s="420"/>
      <c r="X103" s="420"/>
      <c r="Y103" s="420"/>
      <c r="Z103" s="420"/>
      <c r="AA103" s="420"/>
      <c r="AB103" s="420"/>
      <c r="AC103" s="420"/>
      <c r="AD103" s="420"/>
      <c r="AE103" s="420"/>
      <c r="AF103" s="420"/>
      <c r="AG103" s="420"/>
      <c r="AH103" s="420"/>
      <c r="AI103" s="420"/>
    </row>
    <row r="104" spans="1:35">
      <c r="A104" s="420"/>
      <c r="B104" s="420"/>
      <c r="C104" s="420"/>
      <c r="D104" s="420"/>
      <c r="E104" s="420"/>
      <c r="F104" s="420"/>
      <c r="G104" s="420"/>
      <c r="H104" s="420"/>
      <c r="I104" s="420"/>
      <c r="J104" s="420"/>
      <c r="K104" s="420"/>
      <c r="L104" s="420"/>
      <c r="M104" s="420"/>
      <c r="N104" s="420"/>
      <c r="O104" s="420"/>
      <c r="P104" s="420"/>
      <c r="Q104" s="420"/>
      <c r="R104" s="420"/>
      <c r="S104" s="420"/>
      <c r="T104" s="420"/>
      <c r="U104" s="420"/>
      <c r="V104" s="420"/>
      <c r="W104" s="420"/>
      <c r="X104" s="420"/>
      <c r="Y104" s="420"/>
      <c r="Z104" s="420"/>
      <c r="AA104" s="420"/>
      <c r="AB104" s="420"/>
      <c r="AC104" s="420"/>
      <c r="AD104" s="420"/>
      <c r="AE104" s="420"/>
      <c r="AF104" s="420"/>
      <c r="AG104" s="420"/>
      <c r="AH104" s="420"/>
      <c r="AI104" s="420"/>
    </row>
    <row r="105" spans="1:35">
      <c r="A105" s="420"/>
      <c r="B105" s="420"/>
      <c r="C105" s="420"/>
      <c r="D105" s="420"/>
      <c r="E105" s="420"/>
      <c r="F105" s="420"/>
      <c r="G105" s="420"/>
      <c r="H105" s="420"/>
      <c r="I105" s="420"/>
      <c r="J105" s="420"/>
      <c r="K105" s="420"/>
      <c r="L105" s="420"/>
      <c r="M105" s="420"/>
      <c r="N105" s="420"/>
      <c r="O105" s="420"/>
      <c r="P105" s="420"/>
      <c r="Q105" s="420"/>
      <c r="R105" s="420"/>
      <c r="S105" s="420"/>
      <c r="T105" s="420"/>
      <c r="U105" s="420"/>
      <c r="V105" s="420"/>
      <c r="W105" s="420"/>
      <c r="X105" s="420"/>
      <c r="Y105" s="420"/>
      <c r="Z105" s="420"/>
      <c r="AA105" s="420"/>
      <c r="AB105" s="420"/>
      <c r="AC105" s="420"/>
      <c r="AD105" s="420"/>
      <c r="AE105" s="420"/>
      <c r="AF105" s="420"/>
      <c r="AG105" s="420"/>
      <c r="AH105" s="420"/>
      <c r="AI105" s="420"/>
    </row>
    <row r="106" spans="1:35">
      <c r="A106" s="420"/>
      <c r="B106" s="420"/>
      <c r="C106" s="420"/>
      <c r="D106" s="420"/>
      <c r="E106" s="420"/>
      <c r="F106" s="420"/>
      <c r="G106" s="420"/>
      <c r="H106" s="420"/>
      <c r="I106" s="420"/>
      <c r="J106" s="420"/>
      <c r="K106" s="420"/>
      <c r="L106" s="420"/>
      <c r="M106" s="420"/>
      <c r="N106" s="420"/>
      <c r="O106" s="420"/>
      <c r="P106" s="420"/>
      <c r="Q106" s="420"/>
      <c r="R106" s="420"/>
      <c r="S106" s="420"/>
      <c r="T106" s="420"/>
      <c r="U106" s="420"/>
      <c r="V106" s="420"/>
      <c r="W106" s="420"/>
      <c r="X106" s="420"/>
      <c r="Y106" s="420"/>
      <c r="Z106" s="420"/>
      <c r="AA106" s="420"/>
      <c r="AB106" s="420"/>
      <c r="AC106" s="420"/>
      <c r="AD106" s="420"/>
      <c r="AE106" s="420"/>
      <c r="AF106" s="420"/>
      <c r="AG106" s="420"/>
      <c r="AH106" s="420"/>
      <c r="AI106" s="420"/>
    </row>
    <row r="107" spans="1:35">
      <c r="A107" s="420"/>
      <c r="B107" s="420"/>
      <c r="C107" s="420"/>
      <c r="D107" s="420"/>
      <c r="E107" s="420"/>
      <c r="F107" s="420"/>
      <c r="G107" s="420"/>
      <c r="H107" s="420"/>
      <c r="I107" s="420"/>
      <c r="J107" s="420"/>
      <c r="K107" s="420"/>
      <c r="L107" s="420"/>
      <c r="M107" s="420"/>
      <c r="N107" s="420"/>
      <c r="O107" s="420"/>
      <c r="P107" s="420"/>
      <c r="Q107" s="420"/>
      <c r="R107" s="420"/>
      <c r="S107" s="420"/>
      <c r="T107" s="420"/>
      <c r="U107" s="420"/>
      <c r="V107" s="420"/>
      <c r="W107" s="420"/>
      <c r="X107" s="420"/>
      <c r="Y107" s="420"/>
      <c r="Z107" s="420"/>
      <c r="AA107" s="420"/>
      <c r="AB107" s="420"/>
      <c r="AC107" s="420"/>
      <c r="AD107" s="420"/>
      <c r="AE107" s="420"/>
      <c r="AF107" s="420"/>
      <c r="AG107" s="420"/>
      <c r="AH107" s="420"/>
      <c r="AI107" s="420"/>
    </row>
    <row r="108" spans="1:35">
      <c r="A108" s="420"/>
      <c r="B108" s="420"/>
      <c r="C108" s="420"/>
      <c r="D108" s="420"/>
      <c r="E108" s="420"/>
      <c r="F108" s="420"/>
      <c r="G108" s="420"/>
      <c r="H108" s="420"/>
      <c r="I108" s="420"/>
      <c r="J108" s="420"/>
      <c r="K108" s="420"/>
      <c r="L108" s="420"/>
      <c r="M108" s="420"/>
      <c r="N108" s="420"/>
      <c r="O108" s="420"/>
      <c r="P108" s="420"/>
      <c r="Q108" s="420"/>
      <c r="R108" s="420"/>
      <c r="S108" s="420"/>
      <c r="T108" s="420"/>
      <c r="U108" s="420"/>
      <c r="V108" s="420"/>
      <c r="W108" s="420"/>
      <c r="X108" s="420"/>
      <c r="Y108" s="420"/>
      <c r="Z108" s="420"/>
      <c r="AA108" s="420"/>
      <c r="AB108" s="420"/>
      <c r="AC108" s="420"/>
      <c r="AD108" s="420"/>
      <c r="AE108" s="420"/>
      <c r="AF108" s="420"/>
      <c r="AG108" s="420"/>
      <c r="AH108" s="420"/>
      <c r="AI108" s="420"/>
    </row>
    <row r="109" spans="1:35">
      <c r="A109" s="420"/>
      <c r="B109" s="420"/>
      <c r="C109" s="420"/>
      <c r="D109" s="420"/>
      <c r="E109" s="420"/>
      <c r="F109" s="420"/>
      <c r="G109" s="420"/>
      <c r="H109" s="420"/>
      <c r="I109" s="420"/>
      <c r="J109" s="420"/>
      <c r="K109" s="420"/>
      <c r="L109" s="420"/>
      <c r="M109" s="420"/>
      <c r="N109" s="420"/>
      <c r="O109" s="420"/>
      <c r="P109" s="420"/>
      <c r="Q109" s="420"/>
      <c r="R109" s="420"/>
      <c r="S109" s="420"/>
      <c r="T109" s="420"/>
      <c r="U109" s="420"/>
      <c r="V109" s="420"/>
      <c r="W109" s="420"/>
      <c r="X109" s="420"/>
      <c r="Y109" s="420"/>
      <c r="Z109" s="420"/>
      <c r="AA109" s="420"/>
      <c r="AB109" s="420"/>
      <c r="AC109" s="420"/>
      <c r="AD109" s="420"/>
      <c r="AE109" s="420"/>
      <c r="AF109" s="420"/>
      <c r="AG109" s="420"/>
      <c r="AH109" s="420"/>
      <c r="AI109" s="420"/>
    </row>
    <row r="110" spans="1:35">
      <c r="A110" s="420"/>
      <c r="B110" s="420"/>
      <c r="C110" s="420"/>
      <c r="D110" s="420"/>
      <c r="E110" s="420"/>
      <c r="F110" s="420"/>
      <c r="G110" s="420"/>
      <c r="H110" s="420"/>
      <c r="I110" s="420"/>
      <c r="J110" s="420"/>
      <c r="K110" s="420"/>
      <c r="L110" s="420"/>
      <c r="M110" s="420"/>
      <c r="N110" s="420"/>
      <c r="O110" s="420"/>
      <c r="P110" s="420"/>
      <c r="Q110" s="420"/>
      <c r="R110" s="420"/>
      <c r="S110" s="420"/>
      <c r="T110" s="420"/>
      <c r="U110" s="420"/>
      <c r="V110" s="420"/>
      <c r="W110" s="420"/>
      <c r="X110" s="420"/>
      <c r="Y110" s="420"/>
      <c r="Z110" s="420"/>
      <c r="AA110" s="420"/>
      <c r="AB110" s="420"/>
      <c r="AC110" s="420"/>
      <c r="AD110" s="420"/>
      <c r="AE110" s="420"/>
      <c r="AF110" s="420"/>
      <c r="AG110" s="420"/>
      <c r="AH110" s="420"/>
      <c r="AI110" s="420"/>
    </row>
    <row r="111" spans="1:35">
      <c r="A111" s="420"/>
      <c r="B111" s="420"/>
      <c r="C111" s="420"/>
      <c r="D111" s="420"/>
      <c r="E111" s="420"/>
      <c r="F111" s="420"/>
      <c r="G111" s="420"/>
      <c r="H111" s="420"/>
      <c r="I111" s="420"/>
      <c r="J111" s="420"/>
      <c r="K111" s="420"/>
      <c r="L111" s="420"/>
      <c r="M111" s="420"/>
      <c r="N111" s="420"/>
      <c r="O111" s="420"/>
      <c r="P111" s="420"/>
      <c r="Q111" s="420"/>
      <c r="R111" s="420"/>
      <c r="S111" s="420"/>
      <c r="T111" s="420"/>
      <c r="U111" s="420"/>
      <c r="V111" s="420"/>
      <c r="W111" s="420"/>
      <c r="X111" s="420"/>
      <c r="Y111" s="420"/>
      <c r="Z111" s="420"/>
      <c r="AA111" s="420"/>
      <c r="AB111" s="420"/>
      <c r="AC111" s="420"/>
      <c r="AD111" s="420"/>
      <c r="AE111" s="420"/>
      <c r="AF111" s="420"/>
      <c r="AG111" s="420"/>
      <c r="AH111" s="420"/>
      <c r="AI111" s="420"/>
    </row>
    <row r="112" spans="1:35">
      <c r="A112" s="420"/>
      <c r="B112" s="420"/>
      <c r="C112" s="420"/>
      <c r="D112" s="420"/>
      <c r="E112" s="420"/>
      <c r="F112" s="420"/>
      <c r="G112" s="420"/>
      <c r="H112" s="420"/>
      <c r="I112" s="420"/>
      <c r="J112" s="420"/>
      <c r="K112" s="420"/>
      <c r="L112" s="420"/>
      <c r="M112" s="420"/>
      <c r="N112" s="420"/>
      <c r="O112" s="420"/>
      <c r="P112" s="420"/>
      <c r="Q112" s="420"/>
      <c r="R112" s="420"/>
      <c r="S112" s="420"/>
      <c r="T112" s="420"/>
      <c r="U112" s="420"/>
      <c r="V112" s="420"/>
      <c r="W112" s="420"/>
      <c r="X112" s="420"/>
      <c r="Y112" s="420"/>
      <c r="Z112" s="420"/>
      <c r="AA112" s="420"/>
      <c r="AB112" s="420"/>
      <c r="AC112" s="420"/>
      <c r="AD112" s="420"/>
      <c r="AE112" s="420"/>
      <c r="AF112" s="420"/>
      <c r="AG112" s="420"/>
      <c r="AH112" s="420"/>
      <c r="AI112" s="420"/>
    </row>
    <row r="113" spans="1:35">
      <c r="A113" s="420"/>
      <c r="B113" s="420"/>
      <c r="C113" s="420"/>
      <c r="D113" s="420"/>
      <c r="E113" s="420"/>
      <c r="F113" s="420"/>
      <c r="G113" s="420"/>
      <c r="H113" s="420"/>
      <c r="I113" s="420"/>
      <c r="J113" s="420"/>
      <c r="K113" s="420"/>
      <c r="L113" s="420"/>
      <c r="M113" s="420"/>
      <c r="N113" s="420"/>
      <c r="O113" s="420"/>
      <c r="P113" s="420"/>
      <c r="Q113" s="420"/>
      <c r="R113" s="420"/>
      <c r="S113" s="420"/>
      <c r="T113" s="420"/>
      <c r="U113" s="420"/>
      <c r="V113" s="420"/>
      <c r="W113" s="420"/>
      <c r="X113" s="420"/>
      <c r="Y113" s="420"/>
      <c r="Z113" s="420"/>
      <c r="AA113" s="420"/>
      <c r="AB113" s="420"/>
      <c r="AC113" s="420"/>
      <c r="AD113" s="420"/>
      <c r="AE113" s="420"/>
      <c r="AF113" s="420"/>
      <c r="AG113" s="420"/>
      <c r="AH113" s="420"/>
      <c r="AI113" s="420"/>
    </row>
    <row r="114" spans="1:35">
      <c r="A114" s="420"/>
      <c r="B114" s="420"/>
      <c r="C114" s="420"/>
      <c r="D114" s="420"/>
      <c r="E114" s="420"/>
      <c r="F114" s="420"/>
      <c r="G114" s="420"/>
      <c r="H114" s="420"/>
      <c r="I114" s="420"/>
      <c r="J114" s="420"/>
      <c r="K114" s="420"/>
      <c r="L114" s="420"/>
      <c r="M114" s="420"/>
      <c r="N114" s="420"/>
      <c r="O114" s="420"/>
      <c r="P114" s="420"/>
      <c r="Q114" s="420"/>
      <c r="R114" s="420"/>
      <c r="S114" s="420"/>
      <c r="T114" s="420"/>
      <c r="U114" s="420"/>
      <c r="V114" s="420"/>
      <c r="W114" s="420"/>
      <c r="X114" s="420"/>
      <c r="Y114" s="420"/>
      <c r="Z114" s="420"/>
      <c r="AA114" s="420"/>
      <c r="AB114" s="420"/>
      <c r="AC114" s="420"/>
      <c r="AD114" s="420"/>
      <c r="AE114" s="420"/>
      <c r="AF114" s="420"/>
      <c r="AG114" s="420"/>
      <c r="AH114" s="420"/>
      <c r="AI114" s="420"/>
    </row>
    <row r="115" spans="1:35">
      <c r="A115" s="420"/>
      <c r="B115" s="420"/>
      <c r="C115" s="420"/>
      <c r="D115" s="420"/>
      <c r="E115" s="420"/>
      <c r="F115" s="420"/>
      <c r="G115" s="420"/>
      <c r="H115" s="420"/>
      <c r="I115" s="420"/>
      <c r="J115" s="420"/>
      <c r="K115" s="420"/>
      <c r="L115" s="420"/>
      <c r="M115" s="420"/>
      <c r="N115" s="420"/>
      <c r="O115" s="420"/>
      <c r="P115" s="420"/>
      <c r="Q115" s="420"/>
      <c r="R115" s="420"/>
      <c r="S115" s="420"/>
      <c r="T115" s="420"/>
      <c r="U115" s="420"/>
      <c r="V115" s="420"/>
      <c r="W115" s="420"/>
      <c r="X115" s="420"/>
      <c r="Y115" s="420"/>
      <c r="Z115" s="420"/>
      <c r="AA115" s="420"/>
      <c r="AB115" s="420"/>
      <c r="AC115" s="420"/>
      <c r="AD115" s="420"/>
      <c r="AE115" s="420"/>
      <c r="AF115" s="420"/>
      <c r="AG115" s="420"/>
      <c r="AH115" s="420"/>
      <c r="AI115" s="420"/>
    </row>
    <row r="116" spans="1:35">
      <c r="A116" s="420"/>
      <c r="B116" s="420"/>
      <c r="C116" s="420"/>
      <c r="D116" s="420"/>
      <c r="E116" s="420"/>
      <c r="F116" s="420"/>
      <c r="G116" s="420"/>
      <c r="H116" s="420"/>
      <c r="I116" s="420"/>
      <c r="J116" s="420"/>
      <c r="K116" s="420"/>
      <c r="L116" s="420"/>
      <c r="M116" s="420"/>
      <c r="N116" s="420"/>
      <c r="O116" s="420"/>
      <c r="P116" s="420"/>
      <c r="Q116" s="420"/>
      <c r="R116" s="420"/>
      <c r="S116" s="420"/>
      <c r="T116" s="420"/>
      <c r="U116" s="420"/>
      <c r="V116" s="420"/>
      <c r="W116" s="420"/>
      <c r="X116" s="420"/>
      <c r="Y116" s="420"/>
      <c r="Z116" s="420"/>
      <c r="AA116" s="420"/>
      <c r="AB116" s="420"/>
      <c r="AC116" s="420"/>
      <c r="AD116" s="420"/>
      <c r="AE116" s="420"/>
      <c r="AF116" s="420"/>
      <c r="AG116" s="420"/>
      <c r="AH116" s="420"/>
      <c r="AI116" s="420"/>
    </row>
    <row r="117" spans="1:35">
      <c r="A117" s="420"/>
      <c r="B117" s="420"/>
      <c r="C117" s="420"/>
      <c r="D117" s="420"/>
      <c r="E117" s="420"/>
      <c r="F117" s="420"/>
      <c r="G117" s="420"/>
      <c r="H117" s="420"/>
      <c r="I117" s="420"/>
      <c r="J117" s="420"/>
      <c r="K117" s="420"/>
      <c r="L117" s="420"/>
      <c r="M117" s="420"/>
      <c r="N117" s="420"/>
      <c r="O117" s="420"/>
      <c r="P117" s="420"/>
      <c r="Q117" s="420"/>
      <c r="R117" s="420"/>
      <c r="S117" s="420"/>
      <c r="T117" s="420"/>
      <c r="U117" s="420"/>
      <c r="V117" s="420"/>
      <c r="W117" s="420"/>
      <c r="X117" s="420"/>
      <c r="Y117" s="420"/>
      <c r="Z117" s="420"/>
      <c r="AA117" s="420"/>
      <c r="AB117" s="420"/>
      <c r="AC117" s="420"/>
      <c r="AD117" s="420"/>
      <c r="AE117" s="420"/>
      <c r="AF117" s="420"/>
      <c r="AG117" s="420"/>
      <c r="AH117" s="420"/>
      <c r="AI117" s="420"/>
    </row>
    <row r="118" spans="1:35">
      <c r="A118" s="420"/>
      <c r="B118" s="420"/>
      <c r="C118" s="420"/>
      <c r="D118" s="420"/>
      <c r="E118" s="420"/>
      <c r="F118" s="420"/>
      <c r="G118" s="420"/>
      <c r="H118" s="420"/>
      <c r="I118" s="420"/>
      <c r="J118" s="420"/>
      <c r="K118" s="420"/>
      <c r="L118" s="420"/>
      <c r="M118" s="420"/>
      <c r="N118" s="420"/>
      <c r="O118" s="420"/>
      <c r="P118" s="420"/>
      <c r="Q118" s="420"/>
      <c r="R118" s="420"/>
      <c r="S118" s="420"/>
      <c r="T118" s="420"/>
      <c r="U118" s="420"/>
      <c r="V118" s="420"/>
      <c r="W118" s="420"/>
      <c r="X118" s="420"/>
      <c r="Y118" s="420"/>
      <c r="Z118" s="420"/>
      <c r="AA118" s="420"/>
      <c r="AB118" s="420"/>
      <c r="AC118" s="420"/>
      <c r="AD118" s="420"/>
      <c r="AE118" s="420"/>
      <c r="AF118" s="420"/>
      <c r="AG118" s="420"/>
      <c r="AH118" s="420"/>
      <c r="AI118" s="420"/>
    </row>
    <row r="119" spans="1:35">
      <c r="A119" s="420"/>
      <c r="B119" s="420"/>
      <c r="C119" s="420"/>
      <c r="D119" s="420"/>
      <c r="E119" s="420"/>
      <c r="F119" s="420"/>
      <c r="G119" s="420"/>
      <c r="H119" s="420"/>
      <c r="I119" s="420"/>
      <c r="J119" s="420"/>
      <c r="K119" s="420"/>
      <c r="L119" s="420"/>
      <c r="M119" s="420"/>
      <c r="N119" s="420"/>
      <c r="O119" s="420"/>
      <c r="P119" s="420"/>
      <c r="Q119" s="420"/>
      <c r="R119" s="420"/>
      <c r="S119" s="420"/>
      <c r="T119" s="420"/>
      <c r="U119" s="420"/>
      <c r="V119" s="420"/>
      <c r="W119" s="420"/>
      <c r="X119" s="420"/>
      <c r="Y119" s="420"/>
      <c r="Z119" s="420"/>
      <c r="AA119" s="420"/>
      <c r="AB119" s="420"/>
      <c r="AC119" s="420"/>
      <c r="AD119" s="420"/>
      <c r="AE119" s="420"/>
      <c r="AF119" s="420"/>
      <c r="AG119" s="420"/>
      <c r="AH119" s="420"/>
      <c r="AI119" s="420"/>
    </row>
    <row r="120" spans="1:35">
      <c r="A120" s="420"/>
      <c r="B120" s="420"/>
      <c r="C120" s="420"/>
      <c r="D120" s="420"/>
      <c r="E120" s="420"/>
      <c r="F120" s="420"/>
      <c r="G120" s="420"/>
      <c r="H120" s="420"/>
      <c r="I120" s="420"/>
      <c r="J120" s="420"/>
      <c r="K120" s="420"/>
      <c r="L120" s="420"/>
      <c r="M120" s="420"/>
      <c r="N120" s="420"/>
      <c r="O120" s="420"/>
      <c r="P120" s="420"/>
      <c r="Q120" s="420"/>
      <c r="R120" s="420"/>
      <c r="S120" s="420"/>
      <c r="T120" s="420"/>
      <c r="U120" s="420"/>
      <c r="V120" s="420"/>
      <c r="W120" s="420"/>
      <c r="X120" s="420"/>
      <c r="Y120" s="420"/>
      <c r="Z120" s="420"/>
      <c r="AA120" s="420"/>
      <c r="AB120" s="420"/>
      <c r="AC120" s="420"/>
      <c r="AD120" s="420"/>
      <c r="AE120" s="420"/>
      <c r="AF120" s="420"/>
      <c r="AG120" s="420"/>
      <c r="AH120" s="420"/>
      <c r="AI120" s="420"/>
    </row>
    <row r="121" spans="1:35">
      <c r="A121" s="420"/>
      <c r="B121" s="420"/>
      <c r="C121" s="420"/>
      <c r="D121" s="420"/>
      <c r="E121" s="420"/>
      <c r="F121" s="420"/>
      <c r="G121" s="420"/>
      <c r="H121" s="420"/>
      <c r="I121" s="420"/>
      <c r="J121" s="420"/>
      <c r="K121" s="420"/>
      <c r="L121" s="420"/>
      <c r="M121" s="420"/>
      <c r="N121" s="420"/>
      <c r="O121" s="420"/>
      <c r="P121" s="420"/>
      <c r="Q121" s="420"/>
      <c r="R121" s="420"/>
      <c r="S121" s="420"/>
      <c r="T121" s="420"/>
      <c r="U121" s="420"/>
      <c r="V121" s="420"/>
      <c r="W121" s="420"/>
      <c r="X121" s="420"/>
      <c r="Y121" s="420"/>
      <c r="Z121" s="420"/>
      <c r="AA121" s="420"/>
      <c r="AB121" s="420"/>
      <c r="AC121" s="420"/>
      <c r="AD121" s="420"/>
      <c r="AE121" s="420"/>
      <c r="AF121" s="420"/>
      <c r="AG121" s="420"/>
      <c r="AH121" s="420"/>
      <c r="AI121" s="420"/>
    </row>
    <row r="122" spans="1:35">
      <c r="A122" s="420"/>
      <c r="B122" s="420"/>
      <c r="C122" s="420"/>
      <c r="D122" s="420"/>
      <c r="E122" s="420"/>
      <c r="F122" s="420"/>
      <c r="G122" s="420"/>
      <c r="H122" s="420"/>
      <c r="I122" s="420"/>
      <c r="J122" s="420"/>
      <c r="K122" s="420"/>
      <c r="L122" s="420"/>
      <c r="M122" s="420"/>
      <c r="N122" s="420"/>
      <c r="O122" s="420"/>
      <c r="P122" s="420"/>
      <c r="Q122" s="420"/>
      <c r="R122" s="420"/>
      <c r="S122" s="420"/>
      <c r="T122" s="420"/>
      <c r="U122" s="420"/>
      <c r="V122" s="420"/>
      <c r="W122" s="420"/>
      <c r="X122" s="420"/>
      <c r="Y122" s="420"/>
      <c r="Z122" s="420"/>
      <c r="AA122" s="420"/>
      <c r="AB122" s="420"/>
      <c r="AC122" s="420"/>
      <c r="AD122" s="420"/>
      <c r="AE122" s="420"/>
      <c r="AF122" s="420"/>
      <c r="AG122" s="420"/>
      <c r="AH122" s="420"/>
      <c r="AI122" s="420"/>
    </row>
    <row r="123" spans="1:35" ht="30">
      <c r="A123" s="420"/>
      <c r="B123" s="421" t="s">
        <v>44</v>
      </c>
      <c r="C123" s="426" t="str">
        <f>Help!$D$40</f>
        <v>Error and alert messages:</v>
      </c>
      <c r="D123" s="427"/>
      <c r="E123" s="428"/>
      <c r="F123" s="428"/>
      <c r="G123" s="428"/>
      <c r="H123" s="428"/>
      <c r="I123" s="428"/>
      <c r="J123" s="428"/>
      <c r="K123" s="428"/>
      <c r="L123" s="428"/>
      <c r="M123" s="428"/>
      <c r="N123" s="428"/>
      <c r="O123" s="428"/>
      <c r="P123" s="428"/>
      <c r="Q123" s="428"/>
      <c r="R123" s="420"/>
      <c r="S123" s="420"/>
      <c r="T123" s="420"/>
      <c r="U123" s="420"/>
      <c r="V123" s="420"/>
      <c r="W123" s="420"/>
      <c r="X123" s="420"/>
      <c r="Y123" s="420"/>
      <c r="Z123" s="420"/>
      <c r="AA123" s="420"/>
      <c r="AB123" s="420"/>
      <c r="AC123" s="420"/>
      <c r="AD123" s="420"/>
      <c r="AE123" s="420"/>
      <c r="AF123" s="420"/>
      <c r="AG123" s="420"/>
      <c r="AH123" s="420"/>
      <c r="AI123" s="420"/>
    </row>
    <row r="124" spans="1:35">
      <c r="A124" s="420"/>
      <c r="B124" s="420"/>
      <c r="C124" s="420"/>
      <c r="D124" s="420"/>
      <c r="E124" s="420"/>
      <c r="F124" s="420"/>
      <c r="G124" s="420"/>
      <c r="H124" s="420"/>
      <c r="I124" s="420"/>
      <c r="J124" s="420"/>
      <c r="K124" s="420"/>
      <c r="L124" s="420"/>
      <c r="M124" s="420"/>
      <c r="N124" s="420"/>
      <c r="O124" s="420"/>
      <c r="P124" s="420"/>
      <c r="Q124" s="420"/>
      <c r="R124" s="420"/>
      <c r="S124" s="420"/>
      <c r="T124" s="420"/>
      <c r="U124" s="420"/>
      <c r="V124" s="420"/>
      <c r="W124" s="420"/>
      <c r="X124" s="420"/>
      <c r="Y124" s="420"/>
      <c r="Z124" s="420"/>
      <c r="AA124" s="420"/>
      <c r="AB124" s="420"/>
      <c r="AC124" s="420"/>
      <c r="AD124" s="420"/>
      <c r="AE124" s="420"/>
      <c r="AF124" s="420"/>
      <c r="AG124" s="420"/>
      <c r="AH124" s="420"/>
      <c r="AI124" s="420"/>
    </row>
    <row r="125" spans="1:35">
      <c r="A125" s="420"/>
      <c r="B125" s="420"/>
      <c r="C125" s="420"/>
      <c r="D125" s="420"/>
      <c r="E125" s="420"/>
      <c r="F125" s="420"/>
      <c r="G125" s="420"/>
      <c r="H125" s="420"/>
      <c r="I125" s="420"/>
      <c r="J125" s="420"/>
      <c r="K125" s="420"/>
      <c r="L125" s="420"/>
      <c r="M125" s="420"/>
      <c r="N125" s="420"/>
      <c r="O125" s="420"/>
      <c r="P125" s="420"/>
      <c r="Q125" s="420"/>
      <c r="R125" s="420"/>
      <c r="S125" s="420"/>
      <c r="T125" s="420"/>
      <c r="U125" s="420"/>
      <c r="V125" s="420"/>
      <c r="W125" s="420"/>
      <c r="X125" s="420"/>
      <c r="Y125" s="420"/>
      <c r="Z125" s="420"/>
      <c r="AA125" s="420"/>
      <c r="AB125" s="420"/>
      <c r="AC125" s="420"/>
      <c r="AD125" s="420"/>
      <c r="AE125" s="420"/>
      <c r="AF125" s="420"/>
      <c r="AG125" s="420"/>
      <c r="AH125" s="420"/>
      <c r="AI125" s="420"/>
    </row>
    <row r="126" spans="1:35">
      <c r="A126" s="420"/>
      <c r="B126" s="420"/>
      <c r="C126" s="420"/>
      <c r="D126" s="420"/>
      <c r="E126" s="420"/>
      <c r="F126" s="420"/>
      <c r="G126" s="420"/>
      <c r="H126" s="420"/>
      <c r="I126" s="420"/>
      <c r="J126" s="420"/>
      <c r="K126" s="420"/>
      <c r="L126" s="420"/>
      <c r="M126" s="420"/>
      <c r="N126" s="420"/>
      <c r="O126" s="420"/>
      <c r="P126" s="420"/>
      <c r="Q126" s="420"/>
      <c r="R126" s="420"/>
      <c r="S126" s="420"/>
      <c r="T126" s="420"/>
      <c r="U126" s="420"/>
      <c r="V126" s="420"/>
      <c r="W126" s="420"/>
      <c r="X126" s="420"/>
      <c r="Y126" s="420"/>
      <c r="Z126" s="420"/>
      <c r="AA126" s="420"/>
      <c r="AB126" s="420"/>
      <c r="AC126" s="420"/>
      <c r="AD126" s="420"/>
      <c r="AE126" s="420"/>
      <c r="AF126" s="420"/>
      <c r="AG126" s="420"/>
      <c r="AH126" s="420"/>
      <c r="AI126" s="420"/>
    </row>
    <row r="127" spans="1:35">
      <c r="A127" s="420"/>
      <c r="B127" s="420"/>
      <c r="C127" s="424"/>
      <c r="D127" s="420"/>
      <c r="E127" s="420"/>
      <c r="F127" s="420"/>
      <c r="G127" s="420"/>
      <c r="H127" s="420"/>
      <c r="I127" s="420"/>
      <c r="J127" s="420"/>
      <c r="K127" s="420"/>
      <c r="L127" s="420"/>
      <c r="M127" s="420"/>
      <c r="N127" s="420"/>
      <c r="O127" s="420"/>
      <c r="P127" s="420"/>
      <c r="Q127" s="420"/>
      <c r="R127" s="420"/>
      <c r="S127" s="420"/>
      <c r="T127" s="420"/>
      <c r="U127" s="420"/>
      <c r="V127" s="420"/>
      <c r="W127" s="420"/>
      <c r="X127" s="420"/>
      <c r="Y127" s="420"/>
      <c r="Z127" s="420"/>
      <c r="AA127" s="420"/>
      <c r="AB127" s="420"/>
      <c r="AC127" s="420"/>
      <c r="AD127" s="420"/>
      <c r="AE127" s="420"/>
      <c r="AF127" s="420"/>
      <c r="AG127" s="420"/>
      <c r="AH127" s="420"/>
      <c r="AI127" s="420"/>
    </row>
    <row r="128" spans="1:35">
      <c r="A128" s="420"/>
      <c r="B128" s="420"/>
      <c r="C128" s="424"/>
      <c r="D128" s="420"/>
      <c r="E128" s="420"/>
      <c r="F128" s="420"/>
      <c r="G128" s="420"/>
      <c r="H128" s="420"/>
      <c r="I128" s="420"/>
      <c r="J128" s="420"/>
      <c r="K128" s="420"/>
      <c r="L128" s="420"/>
      <c r="M128" s="420"/>
      <c r="N128" s="420"/>
      <c r="O128" s="420"/>
      <c r="P128" s="420"/>
      <c r="Q128" s="420"/>
      <c r="R128" s="420"/>
      <c r="S128" s="420"/>
      <c r="T128" s="420"/>
      <c r="U128" s="420"/>
      <c r="V128" s="420"/>
      <c r="W128" s="420"/>
      <c r="X128" s="420"/>
      <c r="Y128" s="420"/>
      <c r="Z128" s="420"/>
      <c r="AA128" s="420"/>
      <c r="AB128" s="420"/>
      <c r="AC128" s="420"/>
      <c r="AD128" s="420"/>
      <c r="AE128" s="420"/>
      <c r="AF128" s="420"/>
      <c r="AG128" s="420"/>
      <c r="AH128" s="420"/>
      <c r="AI128" s="420"/>
    </row>
    <row r="129" spans="1:35">
      <c r="A129" s="420"/>
      <c r="B129" s="420"/>
      <c r="C129" s="424"/>
      <c r="D129" s="420"/>
      <c r="E129" s="420"/>
      <c r="F129" s="420"/>
      <c r="G129" s="420"/>
      <c r="H129" s="420"/>
      <c r="I129" s="420"/>
      <c r="J129" s="420"/>
      <c r="K129" s="420"/>
      <c r="L129" s="420"/>
      <c r="M129" s="420"/>
      <c r="N129" s="420"/>
      <c r="O129" s="420"/>
      <c r="P129" s="420"/>
      <c r="Q129" s="420"/>
      <c r="R129" s="420"/>
      <c r="S129" s="420"/>
      <c r="T129" s="420"/>
      <c r="U129" s="420"/>
      <c r="V129" s="420"/>
      <c r="W129" s="420"/>
      <c r="X129" s="420"/>
      <c r="Y129" s="420"/>
      <c r="Z129" s="420"/>
      <c r="AA129" s="420"/>
      <c r="AB129" s="420"/>
      <c r="AC129" s="420"/>
      <c r="AD129" s="420"/>
      <c r="AE129" s="420"/>
      <c r="AF129" s="420"/>
      <c r="AG129" s="420"/>
      <c r="AH129" s="420"/>
      <c r="AI129" s="420"/>
    </row>
    <row r="130" spans="1:35">
      <c r="A130" s="420"/>
      <c r="B130" s="420"/>
      <c r="C130" s="424"/>
      <c r="D130" s="420"/>
      <c r="E130" s="420"/>
      <c r="F130" s="420"/>
      <c r="G130" s="420"/>
      <c r="H130" s="420"/>
      <c r="I130" s="420"/>
      <c r="J130" s="420"/>
      <c r="K130" s="420"/>
      <c r="L130" s="420"/>
      <c r="M130" s="420"/>
      <c r="N130" s="420"/>
      <c r="O130" s="420"/>
      <c r="P130" s="420"/>
      <c r="Q130" s="420"/>
      <c r="R130" s="420"/>
      <c r="S130" s="420"/>
      <c r="T130" s="420"/>
      <c r="U130" s="420"/>
      <c r="V130" s="420"/>
      <c r="W130" s="420"/>
      <c r="X130" s="420"/>
      <c r="Y130" s="420"/>
      <c r="Z130" s="420"/>
      <c r="AA130" s="420"/>
      <c r="AB130" s="420"/>
      <c r="AC130" s="420"/>
      <c r="AD130" s="420"/>
      <c r="AE130" s="420"/>
      <c r="AF130" s="420"/>
      <c r="AG130" s="420"/>
      <c r="AH130" s="420"/>
      <c r="AI130" s="420"/>
    </row>
    <row r="131" spans="1:35">
      <c r="A131" s="420"/>
      <c r="B131" s="420"/>
      <c r="C131" s="424"/>
      <c r="D131" s="420"/>
      <c r="E131" s="420"/>
      <c r="F131" s="420"/>
      <c r="G131" s="420"/>
      <c r="H131" s="420"/>
      <c r="I131" s="420"/>
      <c r="J131" s="420"/>
      <c r="K131" s="420"/>
      <c r="L131" s="420"/>
      <c r="M131" s="420"/>
      <c r="N131" s="420"/>
      <c r="O131" s="420"/>
      <c r="P131" s="420"/>
      <c r="Q131" s="420"/>
      <c r="R131" s="420"/>
      <c r="S131" s="420"/>
      <c r="T131" s="420"/>
      <c r="U131" s="420"/>
      <c r="V131" s="420"/>
      <c r="W131" s="420"/>
      <c r="X131" s="420"/>
      <c r="Y131" s="420"/>
      <c r="Z131" s="420"/>
      <c r="AA131" s="420"/>
      <c r="AB131" s="420"/>
      <c r="AC131" s="420"/>
      <c r="AD131" s="420"/>
      <c r="AE131" s="420"/>
      <c r="AF131" s="420"/>
      <c r="AG131" s="420"/>
      <c r="AH131" s="420"/>
      <c r="AI131" s="420"/>
    </row>
    <row r="132" spans="1:35">
      <c r="A132" s="420"/>
      <c r="B132" s="420"/>
      <c r="C132" s="424"/>
      <c r="D132" s="420"/>
      <c r="E132" s="420"/>
      <c r="F132" s="420"/>
      <c r="G132" s="420"/>
      <c r="H132" s="420"/>
      <c r="I132" s="420"/>
      <c r="J132" s="420"/>
      <c r="K132" s="420"/>
      <c r="L132" s="420"/>
      <c r="M132" s="420"/>
      <c r="N132" s="420"/>
      <c r="O132" s="420"/>
      <c r="P132" s="420"/>
      <c r="Q132" s="420"/>
      <c r="R132" s="420"/>
      <c r="S132" s="420"/>
      <c r="T132" s="420"/>
      <c r="U132" s="420"/>
      <c r="V132" s="420"/>
      <c r="W132" s="420"/>
      <c r="X132" s="420"/>
      <c r="Y132" s="420"/>
      <c r="Z132" s="420"/>
      <c r="AA132" s="420"/>
      <c r="AB132" s="420"/>
      <c r="AC132" s="420"/>
      <c r="AD132" s="420"/>
      <c r="AE132" s="420"/>
      <c r="AF132" s="420"/>
      <c r="AG132" s="420"/>
      <c r="AH132" s="420"/>
      <c r="AI132" s="420"/>
    </row>
    <row r="133" spans="1:35">
      <c r="A133" s="420"/>
      <c r="B133" s="420"/>
      <c r="C133" s="424"/>
      <c r="D133" s="420"/>
      <c r="E133" s="420"/>
      <c r="F133" s="420"/>
      <c r="G133" s="420"/>
      <c r="H133" s="420"/>
      <c r="I133" s="420"/>
      <c r="J133" s="420"/>
      <c r="K133" s="420"/>
      <c r="L133" s="420"/>
      <c r="M133" s="420"/>
      <c r="N133" s="420"/>
      <c r="O133" s="420"/>
      <c r="P133" s="420"/>
      <c r="Q133" s="420"/>
      <c r="R133" s="420"/>
      <c r="S133" s="420"/>
      <c r="T133" s="420"/>
      <c r="U133" s="420"/>
      <c r="V133" s="420"/>
      <c r="W133" s="420"/>
      <c r="X133" s="420"/>
      <c r="Y133" s="420"/>
      <c r="Z133" s="420"/>
      <c r="AA133" s="420"/>
      <c r="AB133" s="420"/>
      <c r="AC133" s="420"/>
      <c r="AD133" s="420"/>
      <c r="AE133" s="420"/>
      <c r="AF133" s="420"/>
      <c r="AG133" s="420"/>
      <c r="AH133" s="420"/>
      <c r="AI133" s="420"/>
    </row>
    <row r="134" spans="1:35">
      <c r="A134" s="420"/>
      <c r="B134" s="420"/>
      <c r="C134" s="424"/>
      <c r="D134" s="420"/>
      <c r="E134" s="420"/>
      <c r="F134" s="420"/>
      <c r="G134" s="420"/>
      <c r="H134" s="420"/>
      <c r="I134" s="420"/>
      <c r="J134" s="420"/>
      <c r="K134" s="420"/>
      <c r="L134" s="420"/>
      <c r="M134" s="420"/>
      <c r="N134" s="420"/>
      <c r="O134" s="420"/>
      <c r="P134" s="420"/>
      <c r="Q134" s="420"/>
      <c r="R134" s="420"/>
      <c r="S134" s="420"/>
      <c r="T134" s="420"/>
      <c r="U134" s="420"/>
      <c r="V134" s="420"/>
      <c r="W134" s="420"/>
      <c r="X134" s="420"/>
      <c r="Y134" s="420"/>
      <c r="Z134" s="420"/>
      <c r="AA134" s="420"/>
      <c r="AB134" s="420"/>
      <c r="AC134" s="420"/>
      <c r="AD134" s="420"/>
      <c r="AE134" s="420"/>
      <c r="AF134" s="420"/>
      <c r="AG134" s="420"/>
      <c r="AH134" s="420"/>
      <c r="AI134" s="420"/>
    </row>
    <row r="135" spans="1:35">
      <c r="A135" s="420"/>
      <c r="B135" s="420"/>
      <c r="C135" s="424"/>
      <c r="D135" s="420"/>
      <c r="E135" s="420"/>
      <c r="F135" s="420"/>
      <c r="G135" s="420"/>
      <c r="H135" s="420"/>
      <c r="I135" s="420"/>
      <c r="J135" s="420"/>
      <c r="K135" s="420"/>
      <c r="L135" s="420"/>
      <c r="M135" s="420"/>
      <c r="N135" s="420"/>
      <c r="O135" s="420"/>
      <c r="P135" s="420"/>
      <c r="Q135" s="420"/>
      <c r="R135" s="420"/>
      <c r="S135" s="420"/>
      <c r="T135" s="420"/>
      <c r="U135" s="420"/>
      <c r="V135" s="420"/>
      <c r="W135" s="420"/>
      <c r="X135" s="420"/>
      <c r="Y135" s="420"/>
      <c r="Z135" s="420"/>
      <c r="AA135" s="420"/>
      <c r="AB135" s="420"/>
      <c r="AC135" s="420"/>
      <c r="AD135" s="420"/>
      <c r="AE135" s="420"/>
      <c r="AF135" s="420"/>
      <c r="AG135" s="420"/>
      <c r="AH135" s="420"/>
      <c r="AI135" s="420"/>
    </row>
    <row r="136" spans="1:35">
      <c r="A136" s="420"/>
      <c r="B136" s="420"/>
      <c r="C136" s="424"/>
      <c r="D136" s="420"/>
      <c r="E136" s="420"/>
      <c r="F136" s="420"/>
      <c r="G136" s="420"/>
      <c r="H136" s="420"/>
      <c r="I136" s="420"/>
      <c r="J136" s="420"/>
      <c r="K136" s="420"/>
      <c r="L136" s="420"/>
      <c r="M136" s="420"/>
      <c r="N136" s="420"/>
      <c r="O136" s="420"/>
      <c r="P136" s="420"/>
      <c r="Q136" s="420"/>
      <c r="R136" s="420"/>
      <c r="S136" s="420"/>
      <c r="T136" s="420"/>
      <c r="U136" s="420"/>
      <c r="V136" s="420"/>
      <c r="W136" s="420"/>
      <c r="X136" s="420"/>
      <c r="Y136" s="420"/>
      <c r="Z136" s="420"/>
      <c r="AA136" s="420"/>
      <c r="AB136" s="420"/>
      <c r="AC136" s="420"/>
      <c r="AD136" s="420"/>
      <c r="AE136" s="420"/>
      <c r="AF136" s="420"/>
      <c r="AG136" s="420"/>
      <c r="AH136" s="420"/>
      <c r="AI136" s="420"/>
    </row>
    <row r="137" spans="1:35">
      <c r="A137" s="420"/>
      <c r="B137" s="420"/>
      <c r="C137" s="424"/>
      <c r="D137" s="420"/>
      <c r="E137" s="420"/>
      <c r="F137" s="420"/>
      <c r="G137" s="420"/>
      <c r="H137" s="420"/>
      <c r="I137" s="420"/>
      <c r="J137" s="420"/>
      <c r="K137" s="420"/>
      <c r="L137" s="420"/>
      <c r="M137" s="420"/>
      <c r="N137" s="420"/>
      <c r="O137" s="420"/>
      <c r="P137" s="420"/>
      <c r="Q137" s="420"/>
      <c r="R137" s="420"/>
      <c r="S137" s="420"/>
      <c r="T137" s="420"/>
      <c r="U137" s="420"/>
      <c r="V137" s="420"/>
      <c r="W137" s="420"/>
      <c r="X137" s="420"/>
      <c r="Y137" s="420"/>
      <c r="Z137" s="420"/>
      <c r="AA137" s="420"/>
      <c r="AB137" s="420"/>
      <c r="AC137" s="420"/>
      <c r="AD137" s="420"/>
      <c r="AE137" s="420"/>
      <c r="AF137" s="420"/>
      <c r="AG137" s="420"/>
      <c r="AH137" s="420"/>
      <c r="AI137" s="420"/>
    </row>
    <row r="138" spans="1:35">
      <c r="A138" s="420"/>
      <c r="B138" s="420"/>
      <c r="C138" s="424"/>
      <c r="D138" s="420"/>
      <c r="E138" s="420"/>
      <c r="F138" s="420"/>
      <c r="G138" s="420"/>
      <c r="H138" s="420"/>
      <c r="I138" s="420"/>
      <c r="J138" s="420"/>
      <c r="K138" s="420"/>
      <c r="L138" s="420"/>
      <c r="M138" s="420"/>
      <c r="N138" s="420"/>
      <c r="O138" s="420"/>
      <c r="P138" s="420"/>
      <c r="Q138" s="420"/>
      <c r="R138" s="420"/>
      <c r="S138" s="420"/>
      <c r="T138" s="420"/>
      <c r="U138" s="420"/>
      <c r="V138" s="420"/>
      <c r="W138" s="420"/>
      <c r="X138" s="420"/>
      <c r="Y138" s="420"/>
      <c r="Z138" s="420"/>
      <c r="AA138" s="420"/>
      <c r="AB138" s="420"/>
      <c r="AC138" s="420"/>
      <c r="AD138" s="420"/>
      <c r="AE138" s="420"/>
      <c r="AF138" s="420"/>
      <c r="AG138" s="420"/>
      <c r="AH138" s="420"/>
      <c r="AI138" s="420"/>
    </row>
    <row r="139" spans="1:35">
      <c r="A139" s="420"/>
      <c r="B139" s="420"/>
      <c r="C139" s="424"/>
      <c r="D139" s="420"/>
      <c r="E139" s="420"/>
      <c r="F139" s="420"/>
      <c r="G139" s="420"/>
      <c r="H139" s="420"/>
      <c r="I139" s="420"/>
      <c r="J139" s="420"/>
      <c r="K139" s="420"/>
      <c r="L139" s="420"/>
      <c r="M139" s="420"/>
      <c r="N139" s="420"/>
      <c r="O139" s="420"/>
      <c r="P139" s="420"/>
      <c r="Q139" s="420"/>
      <c r="R139" s="420"/>
      <c r="S139" s="420"/>
      <c r="T139" s="420"/>
      <c r="U139" s="420"/>
      <c r="V139" s="420"/>
      <c r="W139" s="420"/>
      <c r="X139" s="420"/>
      <c r="Y139" s="420"/>
      <c r="Z139" s="420"/>
      <c r="AA139" s="420"/>
      <c r="AB139" s="420"/>
      <c r="AC139" s="420"/>
      <c r="AD139" s="420"/>
      <c r="AE139" s="420"/>
      <c r="AF139" s="420"/>
      <c r="AG139" s="420"/>
      <c r="AH139" s="420"/>
      <c r="AI139" s="420"/>
    </row>
    <row r="140" spans="1:35">
      <c r="A140" s="420"/>
      <c r="B140" s="420"/>
      <c r="C140" s="424"/>
      <c r="D140" s="420"/>
      <c r="E140" s="420"/>
      <c r="F140" s="420"/>
      <c r="G140" s="420"/>
      <c r="H140" s="420"/>
      <c r="I140" s="420"/>
      <c r="J140" s="420"/>
      <c r="K140" s="420"/>
      <c r="L140" s="420"/>
      <c r="M140" s="420"/>
      <c r="N140" s="420"/>
      <c r="O140" s="420"/>
      <c r="P140" s="420"/>
      <c r="Q140" s="420"/>
      <c r="R140" s="420"/>
      <c r="S140" s="420"/>
      <c r="T140" s="420"/>
      <c r="U140" s="420"/>
      <c r="V140" s="420"/>
      <c r="W140" s="420"/>
      <c r="X140" s="420"/>
      <c r="Y140" s="420"/>
      <c r="Z140" s="420"/>
      <c r="AA140" s="420"/>
      <c r="AB140" s="420"/>
      <c r="AC140" s="420"/>
      <c r="AD140" s="420"/>
      <c r="AE140" s="420"/>
      <c r="AF140" s="420"/>
      <c r="AG140" s="420"/>
      <c r="AH140" s="420"/>
      <c r="AI140" s="420"/>
    </row>
    <row r="141" spans="1:35">
      <c r="A141" s="420"/>
      <c r="B141" s="420"/>
      <c r="C141" s="424"/>
      <c r="D141" s="420"/>
      <c r="E141" s="420"/>
      <c r="F141" s="420"/>
      <c r="G141" s="420"/>
      <c r="H141" s="420"/>
      <c r="I141" s="420"/>
      <c r="J141" s="420"/>
      <c r="K141" s="420"/>
      <c r="L141" s="420"/>
      <c r="M141" s="420"/>
      <c r="N141" s="420"/>
      <c r="O141" s="420"/>
      <c r="P141" s="420"/>
      <c r="Q141" s="420"/>
      <c r="R141" s="420"/>
      <c r="S141" s="420"/>
      <c r="T141" s="420"/>
      <c r="U141" s="420"/>
      <c r="V141" s="420"/>
      <c r="W141" s="420"/>
      <c r="X141" s="420"/>
      <c r="Y141" s="420"/>
      <c r="Z141" s="420"/>
      <c r="AA141" s="420"/>
      <c r="AB141" s="420"/>
      <c r="AC141" s="420"/>
      <c r="AD141" s="420"/>
      <c r="AE141" s="420"/>
      <c r="AF141" s="420"/>
      <c r="AG141" s="420"/>
      <c r="AH141" s="420"/>
      <c r="AI141" s="420"/>
    </row>
    <row r="142" spans="1:35">
      <c r="A142" s="420"/>
      <c r="B142" s="420"/>
      <c r="C142" s="424"/>
      <c r="D142" s="420"/>
      <c r="E142" s="420"/>
      <c r="F142" s="420"/>
      <c r="G142" s="420"/>
      <c r="H142" s="420"/>
      <c r="I142" s="420"/>
      <c r="J142" s="420"/>
      <c r="K142" s="420"/>
      <c r="L142" s="420"/>
      <c r="M142" s="420"/>
      <c r="N142" s="420"/>
      <c r="O142" s="420"/>
      <c r="P142" s="420"/>
      <c r="Q142" s="420"/>
      <c r="R142" s="420"/>
      <c r="S142" s="420"/>
      <c r="T142" s="420"/>
      <c r="U142" s="420"/>
      <c r="V142" s="420"/>
      <c r="W142" s="420"/>
      <c r="X142" s="420"/>
      <c r="Y142" s="420"/>
      <c r="Z142" s="420"/>
      <c r="AA142" s="420"/>
      <c r="AB142" s="420"/>
      <c r="AC142" s="420"/>
      <c r="AD142" s="420"/>
      <c r="AE142" s="420"/>
      <c r="AF142" s="420"/>
      <c r="AG142" s="420"/>
      <c r="AH142" s="420"/>
      <c r="AI142" s="420"/>
    </row>
    <row r="143" spans="1:35">
      <c r="A143" s="420"/>
      <c r="B143" s="420"/>
      <c r="C143" s="424"/>
      <c r="D143" s="420"/>
      <c r="E143" s="420"/>
      <c r="F143" s="420"/>
      <c r="G143" s="420"/>
      <c r="H143" s="420"/>
      <c r="I143" s="420"/>
      <c r="J143" s="420"/>
      <c r="K143" s="420"/>
      <c r="L143" s="420"/>
      <c r="M143" s="420"/>
      <c r="N143" s="420"/>
      <c r="O143" s="420"/>
      <c r="P143" s="420"/>
      <c r="Q143" s="420"/>
      <c r="R143" s="420"/>
      <c r="S143" s="420"/>
      <c r="T143" s="420"/>
      <c r="U143" s="420"/>
      <c r="V143" s="420"/>
      <c r="W143" s="420"/>
      <c r="X143" s="420"/>
      <c r="Y143" s="420"/>
      <c r="Z143" s="420"/>
      <c r="AA143" s="420"/>
      <c r="AB143" s="420"/>
      <c r="AC143" s="420"/>
      <c r="AD143" s="420"/>
      <c r="AE143" s="420"/>
      <c r="AF143" s="420"/>
      <c r="AG143" s="420"/>
      <c r="AH143" s="420"/>
      <c r="AI143" s="420"/>
    </row>
    <row r="144" spans="1:35">
      <c r="A144" s="420"/>
      <c r="B144" s="420"/>
      <c r="C144" s="424"/>
      <c r="D144" s="420"/>
      <c r="E144" s="420"/>
      <c r="F144" s="420"/>
      <c r="G144" s="420"/>
      <c r="H144" s="420"/>
      <c r="I144" s="420"/>
      <c r="J144" s="420"/>
      <c r="K144" s="420"/>
      <c r="L144" s="420"/>
      <c r="M144" s="420"/>
      <c r="N144" s="420"/>
      <c r="O144" s="420"/>
      <c r="P144" s="420"/>
      <c r="Q144" s="420"/>
      <c r="R144" s="420"/>
      <c r="S144" s="420"/>
      <c r="T144" s="420"/>
      <c r="U144" s="420"/>
      <c r="V144" s="420"/>
      <c r="W144" s="420"/>
      <c r="X144" s="420"/>
      <c r="Y144" s="420"/>
      <c r="Z144" s="420"/>
      <c r="AA144" s="420"/>
      <c r="AB144" s="420"/>
      <c r="AC144" s="420"/>
      <c r="AD144" s="420"/>
      <c r="AE144" s="420"/>
      <c r="AF144" s="420"/>
      <c r="AG144" s="420"/>
      <c r="AH144" s="420"/>
      <c r="AI144" s="420"/>
    </row>
    <row r="145" spans="1:35">
      <c r="A145" s="420"/>
      <c r="B145" s="420"/>
      <c r="C145" s="424"/>
      <c r="D145" s="420"/>
      <c r="E145" s="420"/>
      <c r="F145" s="420"/>
      <c r="G145" s="420"/>
      <c r="H145" s="420"/>
      <c r="I145" s="420"/>
      <c r="J145" s="420"/>
      <c r="K145" s="420"/>
      <c r="L145" s="420"/>
      <c r="M145" s="420"/>
      <c r="N145" s="420"/>
      <c r="O145" s="420"/>
      <c r="P145" s="420"/>
      <c r="Q145" s="420"/>
      <c r="R145" s="420"/>
      <c r="S145" s="420"/>
      <c r="T145" s="420"/>
      <c r="U145" s="420"/>
      <c r="V145" s="420"/>
      <c r="W145" s="420"/>
      <c r="X145" s="420"/>
      <c r="Y145" s="420"/>
      <c r="Z145" s="420"/>
      <c r="AA145" s="420"/>
      <c r="AB145" s="420"/>
      <c r="AC145" s="420"/>
      <c r="AD145" s="420"/>
      <c r="AE145" s="420"/>
      <c r="AF145" s="420"/>
      <c r="AG145" s="420"/>
      <c r="AH145" s="420"/>
      <c r="AI145" s="420"/>
    </row>
    <row r="146" spans="1:35">
      <c r="A146" s="420"/>
      <c r="B146" s="420"/>
      <c r="C146" s="424"/>
      <c r="D146" s="420"/>
      <c r="E146" s="420"/>
      <c r="F146" s="420"/>
      <c r="G146" s="420"/>
      <c r="H146" s="420"/>
      <c r="I146" s="420"/>
      <c r="J146" s="420"/>
      <c r="K146" s="420"/>
      <c r="L146" s="420"/>
      <c r="M146" s="420"/>
      <c r="N146" s="420"/>
      <c r="O146" s="420"/>
      <c r="P146" s="420"/>
      <c r="Q146" s="420"/>
      <c r="R146" s="420"/>
      <c r="S146" s="420"/>
      <c r="T146" s="420"/>
      <c r="U146" s="420"/>
      <c r="V146" s="420"/>
      <c r="W146" s="420"/>
      <c r="X146" s="420"/>
      <c r="Y146" s="420"/>
      <c r="Z146" s="420"/>
      <c r="AA146" s="420"/>
      <c r="AB146" s="420"/>
      <c r="AC146" s="420"/>
      <c r="AD146" s="420"/>
      <c r="AE146" s="420"/>
      <c r="AF146" s="420"/>
      <c r="AG146" s="420"/>
      <c r="AH146" s="420"/>
      <c r="AI146" s="420"/>
    </row>
    <row r="147" spans="1:35">
      <c r="A147" s="420"/>
      <c r="B147" s="420"/>
      <c r="C147" s="424"/>
      <c r="D147" s="420"/>
      <c r="E147" s="420"/>
      <c r="F147" s="420"/>
      <c r="G147" s="420"/>
      <c r="H147" s="420"/>
      <c r="I147" s="420"/>
      <c r="J147" s="420"/>
      <c r="K147" s="420"/>
      <c r="L147" s="420"/>
      <c r="M147" s="420"/>
      <c r="N147" s="420"/>
      <c r="O147" s="420"/>
      <c r="P147" s="420"/>
      <c r="Q147" s="420"/>
      <c r="R147" s="420"/>
      <c r="S147" s="420"/>
      <c r="T147" s="420"/>
      <c r="U147" s="420"/>
      <c r="V147" s="420"/>
      <c r="W147" s="420"/>
      <c r="X147" s="420"/>
      <c r="Y147" s="420"/>
      <c r="Z147" s="420"/>
      <c r="AA147" s="420"/>
      <c r="AB147" s="420"/>
      <c r="AC147" s="420"/>
      <c r="AD147" s="420"/>
      <c r="AE147" s="420"/>
      <c r="AF147" s="420"/>
      <c r="AG147" s="420"/>
      <c r="AH147" s="420"/>
      <c r="AI147" s="420"/>
    </row>
    <row r="148" spans="1:35">
      <c r="A148" s="420"/>
      <c r="B148" s="420"/>
      <c r="C148" s="424"/>
      <c r="D148" s="420"/>
      <c r="E148" s="420"/>
      <c r="F148" s="420"/>
      <c r="G148" s="420"/>
      <c r="H148" s="420"/>
      <c r="I148" s="420"/>
      <c r="J148" s="420"/>
      <c r="K148" s="420"/>
      <c r="L148" s="420"/>
      <c r="M148" s="420"/>
      <c r="N148" s="420"/>
      <c r="O148" s="420"/>
      <c r="P148" s="420"/>
      <c r="Q148" s="420"/>
      <c r="R148" s="420"/>
      <c r="S148" s="420"/>
      <c r="T148" s="420"/>
      <c r="U148" s="420"/>
      <c r="V148" s="420"/>
      <c r="W148" s="420"/>
      <c r="X148" s="420"/>
      <c r="Y148" s="420"/>
      <c r="Z148" s="420"/>
      <c r="AA148" s="420"/>
      <c r="AB148" s="420"/>
      <c r="AC148" s="420"/>
      <c r="AD148" s="420"/>
      <c r="AE148" s="420"/>
      <c r="AF148" s="420"/>
      <c r="AG148" s="420"/>
      <c r="AH148" s="420"/>
      <c r="AI148" s="420"/>
    </row>
    <row r="149" spans="1:35">
      <c r="A149" s="420"/>
      <c r="B149" s="420"/>
      <c r="C149" s="424"/>
      <c r="D149" s="420"/>
      <c r="E149" s="420"/>
      <c r="F149" s="420"/>
      <c r="G149" s="420"/>
      <c r="H149" s="420"/>
      <c r="I149" s="420"/>
      <c r="J149" s="420"/>
      <c r="K149" s="420"/>
      <c r="L149" s="420"/>
      <c r="M149" s="420"/>
      <c r="N149" s="420"/>
      <c r="O149" s="420"/>
      <c r="P149" s="420"/>
      <c r="Q149" s="420"/>
      <c r="R149" s="420"/>
      <c r="S149" s="420"/>
      <c r="T149" s="420"/>
      <c r="U149" s="420"/>
      <c r="V149" s="420"/>
      <c r="W149" s="420"/>
      <c r="X149" s="420"/>
      <c r="Y149" s="420"/>
      <c r="Z149" s="420"/>
      <c r="AA149" s="420"/>
      <c r="AB149" s="420"/>
      <c r="AC149" s="420"/>
      <c r="AD149" s="420"/>
      <c r="AE149" s="420"/>
      <c r="AF149" s="420"/>
      <c r="AG149" s="420"/>
      <c r="AH149" s="420"/>
      <c r="AI149" s="420"/>
    </row>
    <row r="150" spans="1:35">
      <c r="A150" s="420"/>
      <c r="B150" s="420"/>
      <c r="C150" s="424"/>
      <c r="D150" s="420"/>
      <c r="E150" s="420"/>
      <c r="F150" s="420"/>
      <c r="G150" s="420"/>
      <c r="H150" s="420"/>
      <c r="I150" s="420"/>
      <c r="J150" s="420"/>
      <c r="K150" s="420"/>
      <c r="L150" s="420"/>
      <c r="M150" s="420"/>
      <c r="N150" s="420"/>
      <c r="O150" s="420"/>
      <c r="P150" s="420"/>
      <c r="Q150" s="420"/>
      <c r="R150" s="420"/>
      <c r="S150" s="420"/>
      <c r="T150" s="420"/>
      <c r="U150" s="420"/>
      <c r="V150" s="420"/>
      <c r="W150" s="420"/>
      <c r="X150" s="420"/>
      <c r="Y150" s="420"/>
      <c r="Z150" s="420"/>
      <c r="AA150" s="420"/>
      <c r="AB150" s="420"/>
      <c r="AC150" s="420"/>
      <c r="AD150" s="420"/>
      <c r="AE150" s="420"/>
      <c r="AF150" s="420"/>
      <c r="AG150" s="420"/>
      <c r="AH150" s="420"/>
      <c r="AI150" s="420"/>
    </row>
    <row r="151" spans="1:35">
      <c r="A151" s="420"/>
      <c r="B151" s="420"/>
      <c r="C151" s="424"/>
      <c r="D151" s="420"/>
      <c r="E151" s="420"/>
      <c r="F151" s="420"/>
      <c r="G151" s="420"/>
      <c r="H151" s="420"/>
      <c r="I151" s="420"/>
      <c r="J151" s="420"/>
      <c r="K151" s="420"/>
      <c r="L151" s="420"/>
      <c r="M151" s="420"/>
      <c r="N151" s="420"/>
      <c r="O151" s="420"/>
      <c r="P151" s="420"/>
      <c r="Q151" s="420"/>
      <c r="R151" s="420"/>
      <c r="S151" s="420"/>
      <c r="T151" s="420"/>
      <c r="U151" s="420"/>
      <c r="V151" s="420"/>
      <c r="W151" s="420"/>
      <c r="X151" s="420"/>
      <c r="Y151" s="420"/>
      <c r="Z151" s="420"/>
      <c r="AA151" s="420"/>
      <c r="AB151" s="420"/>
      <c r="AC151" s="420"/>
      <c r="AD151" s="420"/>
      <c r="AE151" s="420"/>
      <c r="AF151" s="420"/>
      <c r="AG151" s="420"/>
      <c r="AH151" s="420"/>
      <c r="AI151" s="420"/>
    </row>
    <row r="152" spans="1:35">
      <c r="A152" s="420"/>
      <c r="B152" s="420"/>
      <c r="C152" s="424"/>
      <c r="D152" s="420"/>
      <c r="E152" s="420"/>
      <c r="F152" s="420"/>
      <c r="G152" s="420"/>
      <c r="H152" s="420"/>
      <c r="I152" s="420"/>
      <c r="J152" s="420"/>
      <c r="K152" s="420"/>
      <c r="L152" s="420"/>
      <c r="M152" s="420"/>
      <c r="N152" s="420"/>
      <c r="O152" s="420"/>
      <c r="P152" s="420"/>
      <c r="Q152" s="420"/>
      <c r="R152" s="420"/>
      <c r="S152" s="420"/>
      <c r="T152" s="420"/>
      <c r="U152" s="420"/>
      <c r="V152" s="420"/>
      <c r="W152" s="420"/>
      <c r="X152" s="420"/>
      <c r="Y152" s="420"/>
      <c r="Z152" s="420"/>
      <c r="AA152" s="420"/>
      <c r="AB152" s="420"/>
      <c r="AC152" s="420"/>
      <c r="AD152" s="420"/>
      <c r="AE152" s="420"/>
      <c r="AF152" s="420"/>
      <c r="AG152" s="420"/>
      <c r="AH152" s="420"/>
      <c r="AI152" s="420"/>
    </row>
    <row r="153" spans="1:35">
      <c r="A153" s="420"/>
      <c r="B153" s="420"/>
      <c r="C153" s="424"/>
      <c r="D153" s="420"/>
      <c r="E153" s="420"/>
      <c r="F153" s="420"/>
      <c r="G153" s="420"/>
      <c r="H153" s="420"/>
      <c r="I153" s="420"/>
      <c r="J153" s="420"/>
      <c r="K153" s="420"/>
      <c r="L153" s="420"/>
      <c r="M153" s="420"/>
      <c r="N153" s="420"/>
      <c r="O153" s="420"/>
      <c r="P153" s="420"/>
      <c r="Q153" s="420"/>
      <c r="R153" s="420"/>
      <c r="S153" s="420"/>
      <c r="T153" s="420"/>
      <c r="U153" s="420"/>
      <c r="V153" s="420"/>
      <c r="W153" s="420"/>
      <c r="X153" s="420"/>
      <c r="Y153" s="420"/>
      <c r="Z153" s="420"/>
      <c r="AA153" s="420"/>
      <c r="AB153" s="420"/>
      <c r="AC153" s="420"/>
      <c r="AD153" s="420"/>
      <c r="AE153" s="420"/>
      <c r="AF153" s="420"/>
      <c r="AG153" s="420"/>
      <c r="AH153" s="420"/>
      <c r="AI153" s="420"/>
    </row>
    <row r="154" spans="1:35">
      <c r="A154" s="420"/>
      <c r="B154" s="420"/>
      <c r="C154" s="424"/>
      <c r="D154" s="420"/>
      <c r="E154" s="420"/>
      <c r="F154" s="420"/>
      <c r="G154" s="420"/>
      <c r="H154" s="420"/>
      <c r="I154" s="420"/>
      <c r="J154" s="420"/>
      <c r="K154" s="420"/>
      <c r="L154" s="420"/>
      <c r="M154" s="420"/>
      <c r="N154" s="420"/>
      <c r="O154" s="420"/>
      <c r="P154" s="420"/>
      <c r="Q154" s="420"/>
      <c r="R154" s="420"/>
      <c r="S154" s="420"/>
      <c r="T154" s="420"/>
      <c r="U154" s="420"/>
      <c r="V154" s="420"/>
      <c r="W154" s="420"/>
      <c r="X154" s="420"/>
      <c r="Y154" s="420"/>
      <c r="Z154" s="420"/>
      <c r="AA154" s="420"/>
      <c r="AB154" s="420"/>
      <c r="AC154" s="420"/>
      <c r="AD154" s="420"/>
      <c r="AE154" s="420"/>
      <c r="AF154" s="420"/>
      <c r="AG154" s="420"/>
      <c r="AH154" s="420"/>
      <c r="AI154" s="420"/>
    </row>
    <row r="155" spans="1:35">
      <c r="A155" s="420"/>
      <c r="B155" s="420"/>
      <c r="C155" s="424"/>
      <c r="D155" s="420"/>
      <c r="E155" s="420"/>
      <c r="F155" s="420"/>
      <c r="G155" s="420"/>
      <c r="H155" s="420"/>
      <c r="I155" s="420"/>
      <c r="J155" s="420"/>
      <c r="K155" s="420"/>
      <c r="L155" s="420"/>
      <c r="M155" s="420"/>
      <c r="N155" s="420"/>
      <c r="O155" s="420"/>
      <c r="P155" s="420"/>
      <c r="Q155" s="420"/>
      <c r="R155" s="420"/>
      <c r="S155" s="420"/>
      <c r="T155" s="420"/>
      <c r="U155" s="420"/>
      <c r="V155" s="420"/>
      <c r="W155" s="420"/>
      <c r="X155" s="420"/>
      <c r="Y155" s="420"/>
      <c r="Z155" s="420"/>
      <c r="AA155" s="420"/>
      <c r="AB155" s="420"/>
      <c r="AC155" s="420"/>
      <c r="AD155" s="420"/>
      <c r="AE155" s="420"/>
      <c r="AF155" s="420"/>
      <c r="AG155" s="420"/>
      <c r="AH155" s="420"/>
      <c r="AI155" s="420"/>
    </row>
    <row r="156" spans="1:35">
      <c r="A156" s="420"/>
      <c r="B156" s="420"/>
      <c r="C156" s="424"/>
      <c r="D156" s="420"/>
      <c r="E156" s="420"/>
      <c r="F156" s="420"/>
      <c r="G156" s="420"/>
      <c r="H156" s="420"/>
      <c r="I156" s="420"/>
      <c r="J156" s="420"/>
      <c r="K156" s="420"/>
      <c r="L156" s="420"/>
      <c r="M156" s="420"/>
      <c r="N156" s="420"/>
      <c r="O156" s="420"/>
      <c r="P156" s="420"/>
      <c r="Q156" s="420"/>
      <c r="R156" s="420"/>
      <c r="S156" s="420"/>
      <c r="T156" s="420"/>
      <c r="U156" s="420"/>
      <c r="V156" s="420"/>
      <c r="W156" s="420"/>
      <c r="X156" s="420"/>
      <c r="Y156" s="420"/>
      <c r="Z156" s="420"/>
      <c r="AA156" s="420"/>
      <c r="AB156" s="420"/>
      <c r="AC156" s="420"/>
      <c r="AD156" s="420"/>
      <c r="AE156" s="420"/>
      <c r="AF156" s="420"/>
      <c r="AG156" s="420"/>
      <c r="AH156" s="420"/>
      <c r="AI156" s="420"/>
    </row>
    <row r="157" spans="1:35">
      <c r="A157" s="420"/>
      <c r="B157" s="420"/>
      <c r="C157" s="424"/>
      <c r="D157" s="420"/>
      <c r="E157" s="420"/>
      <c r="F157" s="420"/>
      <c r="G157" s="420"/>
      <c r="H157" s="420"/>
      <c r="I157" s="420"/>
      <c r="J157" s="420"/>
      <c r="K157" s="420"/>
      <c r="L157" s="420"/>
      <c r="M157" s="420"/>
      <c r="N157" s="420"/>
      <c r="O157" s="420"/>
      <c r="P157" s="420"/>
      <c r="Q157" s="420"/>
      <c r="R157" s="420"/>
      <c r="S157" s="420"/>
      <c r="T157" s="420"/>
      <c r="U157" s="420"/>
      <c r="V157" s="420"/>
      <c r="W157" s="420"/>
      <c r="X157" s="420"/>
      <c r="Y157" s="420"/>
      <c r="Z157" s="420"/>
      <c r="AA157" s="420"/>
      <c r="AB157" s="420"/>
      <c r="AC157" s="420"/>
      <c r="AD157" s="420"/>
      <c r="AE157" s="420"/>
      <c r="AF157" s="420"/>
      <c r="AG157" s="420"/>
      <c r="AH157" s="420"/>
      <c r="AI157" s="420"/>
    </row>
    <row r="158" spans="1:35">
      <c r="A158" s="420"/>
      <c r="B158" s="420"/>
      <c r="C158" s="424"/>
      <c r="D158" s="420"/>
      <c r="E158" s="420"/>
      <c r="F158" s="420"/>
      <c r="G158" s="420"/>
      <c r="H158" s="420"/>
      <c r="I158" s="420"/>
      <c r="J158" s="420"/>
      <c r="K158" s="420"/>
      <c r="L158" s="420"/>
      <c r="M158" s="420"/>
      <c r="N158" s="420"/>
      <c r="O158" s="420"/>
      <c r="P158" s="420"/>
      <c r="Q158" s="420"/>
      <c r="R158" s="420"/>
      <c r="S158" s="420"/>
      <c r="T158" s="420"/>
      <c r="U158" s="420"/>
      <c r="V158" s="420"/>
      <c r="W158" s="420"/>
      <c r="X158" s="420"/>
      <c r="Y158" s="420"/>
      <c r="Z158" s="420"/>
      <c r="AA158" s="420"/>
      <c r="AB158" s="420"/>
      <c r="AC158" s="420"/>
      <c r="AD158" s="420"/>
      <c r="AE158" s="420"/>
      <c r="AF158" s="420"/>
      <c r="AG158" s="420"/>
      <c r="AH158" s="420"/>
      <c r="AI158" s="420"/>
    </row>
    <row r="159" spans="1:35">
      <c r="A159" s="420"/>
      <c r="B159" s="420"/>
      <c r="C159" s="424"/>
      <c r="D159" s="420"/>
      <c r="E159" s="420"/>
      <c r="F159" s="420"/>
      <c r="G159" s="420"/>
      <c r="H159" s="420"/>
      <c r="I159" s="420"/>
      <c r="J159" s="420"/>
      <c r="K159" s="420"/>
      <c r="L159" s="420"/>
      <c r="M159" s="420"/>
      <c r="N159" s="420"/>
      <c r="O159" s="420"/>
      <c r="P159" s="420"/>
      <c r="Q159" s="420"/>
      <c r="R159" s="420"/>
      <c r="S159" s="420"/>
      <c r="T159" s="420"/>
      <c r="U159" s="420"/>
      <c r="V159" s="420"/>
      <c r="W159" s="420"/>
      <c r="X159" s="420"/>
      <c r="Y159" s="420"/>
      <c r="Z159" s="420"/>
      <c r="AA159" s="420"/>
      <c r="AB159" s="420"/>
      <c r="AC159" s="420"/>
      <c r="AD159" s="420"/>
      <c r="AE159" s="420"/>
      <c r="AF159" s="420"/>
      <c r="AG159" s="420"/>
      <c r="AH159" s="420"/>
      <c r="AI159" s="420"/>
    </row>
    <row r="160" spans="1:35">
      <c r="A160" s="420"/>
      <c r="B160" s="420"/>
      <c r="C160" s="424"/>
      <c r="D160" s="420"/>
      <c r="E160" s="420"/>
      <c r="F160" s="420"/>
      <c r="G160" s="420"/>
      <c r="H160" s="420"/>
      <c r="I160" s="420"/>
      <c r="J160" s="420"/>
      <c r="K160" s="420"/>
      <c r="L160" s="420"/>
      <c r="M160" s="420"/>
      <c r="N160" s="420"/>
      <c r="O160" s="420"/>
      <c r="P160" s="420"/>
      <c r="Q160" s="420"/>
      <c r="R160" s="420"/>
      <c r="S160" s="420"/>
      <c r="T160" s="420"/>
      <c r="U160" s="420"/>
      <c r="V160" s="420"/>
      <c r="W160" s="420"/>
      <c r="X160" s="420"/>
      <c r="Y160" s="420"/>
      <c r="Z160" s="420"/>
      <c r="AA160" s="420"/>
      <c r="AB160" s="420"/>
      <c r="AC160" s="420"/>
      <c r="AD160" s="420"/>
      <c r="AE160" s="420"/>
      <c r="AF160" s="420"/>
      <c r="AG160" s="420"/>
      <c r="AH160" s="420"/>
      <c r="AI160" s="420"/>
    </row>
    <row r="161" spans="1:35">
      <c r="A161" s="420"/>
      <c r="B161" s="420"/>
      <c r="C161" s="424"/>
      <c r="D161" s="420"/>
      <c r="E161" s="420"/>
      <c r="F161" s="420"/>
      <c r="G161" s="420"/>
      <c r="H161" s="420"/>
      <c r="I161" s="420"/>
      <c r="J161" s="420"/>
      <c r="K161" s="420"/>
      <c r="L161" s="420"/>
      <c r="M161" s="420"/>
      <c r="N161" s="420"/>
      <c r="O161" s="420"/>
      <c r="P161" s="420"/>
      <c r="Q161" s="420"/>
      <c r="R161" s="420"/>
      <c r="S161" s="420"/>
      <c r="T161" s="420"/>
      <c r="U161" s="420"/>
      <c r="V161" s="420"/>
      <c r="W161" s="420"/>
      <c r="X161" s="420"/>
      <c r="Y161" s="420"/>
      <c r="Z161" s="420"/>
      <c r="AA161" s="420"/>
      <c r="AB161" s="420"/>
      <c r="AC161" s="420"/>
      <c r="AD161" s="420"/>
      <c r="AE161" s="420"/>
      <c r="AF161" s="420"/>
      <c r="AG161" s="420"/>
      <c r="AH161" s="420"/>
      <c r="AI161" s="420"/>
    </row>
    <row r="162" spans="1:35">
      <c r="A162" s="420"/>
      <c r="B162" s="420"/>
      <c r="C162" s="424"/>
      <c r="D162" s="420"/>
      <c r="E162" s="420"/>
      <c r="F162" s="420"/>
      <c r="G162" s="420"/>
      <c r="H162" s="420"/>
      <c r="I162" s="420"/>
      <c r="J162" s="420"/>
      <c r="K162" s="420"/>
      <c r="L162" s="420"/>
      <c r="M162" s="420"/>
      <c r="N162" s="420"/>
      <c r="O162" s="420"/>
      <c r="P162" s="420"/>
      <c r="Q162" s="420"/>
      <c r="R162" s="420"/>
      <c r="S162" s="420"/>
      <c r="T162" s="420"/>
      <c r="U162" s="420"/>
      <c r="V162" s="420"/>
      <c r="W162" s="420"/>
      <c r="X162" s="420"/>
      <c r="Y162" s="420"/>
      <c r="Z162" s="420"/>
      <c r="AA162" s="420"/>
      <c r="AB162" s="420"/>
      <c r="AC162" s="420"/>
      <c r="AD162" s="420"/>
      <c r="AE162" s="420"/>
      <c r="AF162" s="420"/>
      <c r="AG162" s="420"/>
      <c r="AH162" s="420"/>
      <c r="AI162" s="420"/>
    </row>
    <row r="163" spans="1:35">
      <c r="A163" s="420"/>
      <c r="B163" s="420"/>
      <c r="C163" s="424"/>
      <c r="D163" s="420"/>
      <c r="E163" s="420"/>
      <c r="F163" s="420"/>
      <c r="G163" s="420"/>
      <c r="H163" s="420"/>
      <c r="I163" s="420"/>
      <c r="J163" s="420"/>
      <c r="K163" s="420"/>
      <c r="L163" s="420"/>
      <c r="M163" s="420"/>
      <c r="N163" s="420"/>
      <c r="O163" s="420"/>
      <c r="P163" s="420"/>
      <c r="Q163" s="420"/>
      <c r="R163" s="420"/>
      <c r="S163" s="420"/>
      <c r="T163" s="420"/>
      <c r="U163" s="420"/>
      <c r="V163" s="420"/>
      <c r="W163" s="420"/>
      <c r="X163" s="420"/>
      <c r="Y163" s="420"/>
      <c r="Z163" s="420"/>
      <c r="AA163" s="420"/>
      <c r="AB163" s="420"/>
      <c r="AC163" s="420"/>
      <c r="AD163" s="420"/>
      <c r="AE163" s="420"/>
      <c r="AF163" s="420"/>
      <c r="AG163" s="420"/>
      <c r="AH163" s="420"/>
      <c r="AI163" s="420"/>
    </row>
    <row r="164" spans="1:35">
      <c r="A164" s="420"/>
      <c r="B164" s="420"/>
      <c r="C164" s="420"/>
      <c r="D164" s="420"/>
      <c r="E164" s="420"/>
      <c r="F164" s="420"/>
      <c r="G164" s="420"/>
      <c r="H164" s="420"/>
      <c r="I164" s="420"/>
      <c r="J164" s="420"/>
      <c r="K164" s="420"/>
      <c r="L164" s="420"/>
      <c r="M164" s="420"/>
      <c r="N164" s="420"/>
      <c r="O164" s="420"/>
      <c r="P164" s="420"/>
      <c r="Q164" s="420"/>
      <c r="R164" s="420"/>
      <c r="S164" s="420"/>
      <c r="T164" s="420"/>
      <c r="U164" s="420"/>
      <c r="V164" s="420"/>
      <c r="W164" s="420"/>
      <c r="X164" s="420"/>
      <c r="Y164" s="420"/>
      <c r="Z164" s="420"/>
      <c r="AA164" s="420"/>
      <c r="AB164" s="420"/>
      <c r="AC164" s="420"/>
      <c r="AD164" s="420"/>
      <c r="AE164" s="420"/>
      <c r="AF164" s="420"/>
      <c r="AG164" s="420"/>
      <c r="AH164" s="420"/>
      <c r="AI164" s="420"/>
    </row>
    <row r="165" spans="1:35">
      <c r="A165" s="420"/>
      <c r="B165" s="420"/>
      <c r="C165" s="420"/>
      <c r="D165" s="420"/>
      <c r="E165" s="420"/>
      <c r="F165" s="420"/>
      <c r="G165" s="420"/>
      <c r="H165" s="420"/>
      <c r="I165" s="420"/>
      <c r="J165" s="420"/>
      <c r="K165" s="420"/>
      <c r="L165" s="420"/>
      <c r="M165" s="420"/>
      <c r="N165" s="420"/>
      <c r="O165" s="420"/>
      <c r="P165" s="420"/>
      <c r="Q165" s="420"/>
      <c r="R165" s="420"/>
      <c r="S165" s="420"/>
      <c r="T165" s="420"/>
      <c r="U165" s="420"/>
      <c r="V165" s="420"/>
      <c r="W165" s="420"/>
      <c r="X165" s="420"/>
      <c r="Y165" s="420"/>
      <c r="Z165" s="420"/>
      <c r="AA165" s="420"/>
      <c r="AB165" s="420"/>
      <c r="AC165" s="420"/>
      <c r="AD165" s="420"/>
      <c r="AE165" s="420"/>
      <c r="AF165" s="420"/>
      <c r="AG165" s="420"/>
      <c r="AH165" s="420"/>
      <c r="AI165" s="420"/>
    </row>
    <row r="166" spans="1:35">
      <c r="A166" s="420"/>
      <c r="B166" s="420"/>
      <c r="C166" s="420"/>
      <c r="D166" s="420"/>
      <c r="E166" s="420"/>
      <c r="F166" s="420"/>
      <c r="G166" s="420"/>
      <c r="H166" s="420"/>
      <c r="I166" s="420"/>
      <c r="J166" s="420"/>
      <c r="K166" s="420"/>
      <c r="L166" s="420"/>
      <c r="M166" s="420"/>
      <c r="N166" s="420"/>
      <c r="O166" s="420"/>
      <c r="P166" s="420"/>
      <c r="Q166" s="420"/>
      <c r="R166" s="420"/>
      <c r="S166" s="420"/>
      <c r="T166" s="420"/>
      <c r="U166" s="420"/>
      <c r="V166" s="420"/>
      <c r="W166" s="420"/>
      <c r="X166" s="420"/>
      <c r="Y166" s="420"/>
      <c r="Z166" s="420"/>
      <c r="AA166" s="420"/>
      <c r="AB166" s="420"/>
      <c r="AC166" s="420"/>
      <c r="AD166" s="420"/>
      <c r="AE166" s="420"/>
      <c r="AF166" s="420"/>
      <c r="AG166" s="420"/>
      <c r="AH166" s="420"/>
      <c r="AI166" s="420"/>
    </row>
    <row r="167" spans="1:35">
      <c r="A167" s="420"/>
      <c r="B167" s="420"/>
      <c r="C167" s="420"/>
      <c r="D167" s="420"/>
      <c r="E167" s="420"/>
      <c r="F167" s="420"/>
      <c r="G167" s="420"/>
      <c r="H167" s="420"/>
      <c r="I167" s="420"/>
      <c r="J167" s="420"/>
      <c r="K167" s="420"/>
      <c r="L167" s="420"/>
      <c r="M167" s="420"/>
      <c r="N167" s="420"/>
      <c r="O167" s="420"/>
      <c r="P167" s="420"/>
      <c r="Q167" s="420"/>
      <c r="R167" s="420"/>
      <c r="S167" s="420"/>
      <c r="T167" s="420"/>
      <c r="U167" s="420"/>
      <c r="V167" s="420"/>
      <c r="W167" s="420"/>
      <c r="X167" s="420"/>
      <c r="Y167" s="420"/>
      <c r="Z167" s="420"/>
      <c r="AA167" s="420"/>
      <c r="AB167" s="420"/>
      <c r="AC167" s="420"/>
      <c r="AD167" s="420"/>
      <c r="AE167" s="420"/>
      <c r="AF167" s="420"/>
      <c r="AG167" s="420"/>
      <c r="AH167" s="420"/>
      <c r="AI167" s="420"/>
    </row>
    <row r="168" spans="1:35">
      <c r="A168" s="420"/>
      <c r="B168" s="420"/>
      <c r="C168" s="420"/>
      <c r="D168" s="420"/>
      <c r="E168" s="420"/>
      <c r="F168" s="420"/>
      <c r="G168" s="420"/>
      <c r="H168" s="420"/>
      <c r="I168" s="420"/>
      <c r="J168" s="420"/>
      <c r="K168" s="420"/>
      <c r="L168" s="420"/>
      <c r="M168" s="420"/>
      <c r="N168" s="420"/>
      <c r="O168" s="420"/>
      <c r="P168" s="420"/>
      <c r="Q168" s="420"/>
      <c r="R168" s="420"/>
      <c r="S168" s="420"/>
      <c r="T168" s="420"/>
      <c r="U168" s="420"/>
      <c r="V168" s="420"/>
      <c r="W168" s="420"/>
      <c r="X168" s="420"/>
      <c r="Y168" s="420"/>
      <c r="Z168" s="420"/>
      <c r="AA168" s="420"/>
      <c r="AB168" s="420"/>
      <c r="AC168" s="420"/>
      <c r="AD168" s="420"/>
      <c r="AE168" s="420"/>
      <c r="AF168" s="420"/>
      <c r="AG168" s="420"/>
      <c r="AH168" s="420"/>
      <c r="AI168" s="420"/>
    </row>
    <row r="169" spans="1:35">
      <c r="A169" s="420"/>
      <c r="B169" s="420"/>
      <c r="C169" s="420"/>
      <c r="D169" s="420"/>
      <c r="E169" s="420"/>
      <c r="F169" s="420"/>
      <c r="G169" s="420"/>
      <c r="H169" s="420"/>
      <c r="I169" s="420"/>
      <c r="J169" s="420"/>
      <c r="K169" s="420"/>
      <c r="L169" s="420"/>
      <c r="M169" s="420"/>
      <c r="N169" s="420"/>
      <c r="O169" s="420"/>
      <c r="P169" s="420"/>
      <c r="Q169" s="420"/>
      <c r="R169" s="420"/>
      <c r="S169" s="420"/>
      <c r="T169" s="420"/>
      <c r="U169" s="420"/>
      <c r="V169" s="420"/>
      <c r="W169" s="420"/>
      <c r="X169" s="420"/>
      <c r="Y169" s="420"/>
      <c r="Z169" s="420"/>
      <c r="AA169" s="420"/>
      <c r="AB169" s="420"/>
      <c r="AC169" s="420"/>
      <c r="AD169" s="420"/>
      <c r="AE169" s="420"/>
      <c r="AF169" s="420"/>
      <c r="AG169" s="420"/>
      <c r="AH169" s="420"/>
      <c r="AI169" s="420"/>
    </row>
    <row r="170" spans="1:35">
      <c r="A170" s="420"/>
      <c r="B170" s="420"/>
      <c r="C170" s="420"/>
      <c r="D170" s="420"/>
      <c r="E170" s="420"/>
      <c r="F170" s="420"/>
      <c r="G170" s="420"/>
      <c r="H170" s="420"/>
      <c r="I170" s="420"/>
      <c r="J170" s="420"/>
      <c r="K170" s="420"/>
      <c r="L170" s="420"/>
      <c r="M170" s="420"/>
      <c r="N170" s="420"/>
      <c r="O170" s="420"/>
      <c r="P170" s="420"/>
      <c r="Q170" s="420"/>
      <c r="R170" s="420"/>
      <c r="S170" s="420"/>
      <c r="T170" s="420"/>
      <c r="U170" s="420"/>
      <c r="V170" s="420"/>
      <c r="W170" s="420"/>
      <c r="X170" s="420"/>
      <c r="Y170" s="420"/>
      <c r="Z170" s="420"/>
      <c r="AA170" s="420"/>
      <c r="AB170" s="420"/>
      <c r="AC170" s="420"/>
      <c r="AD170" s="420"/>
      <c r="AE170" s="420"/>
      <c r="AF170" s="420"/>
      <c r="AG170" s="420"/>
      <c r="AH170" s="420"/>
      <c r="AI170" s="420"/>
    </row>
    <row r="171" spans="1:35">
      <c r="A171" s="420"/>
      <c r="B171" s="420"/>
      <c r="C171" s="420"/>
      <c r="D171" s="420"/>
      <c r="E171" s="420"/>
      <c r="F171" s="420"/>
      <c r="G171" s="420"/>
      <c r="H171" s="420"/>
      <c r="I171" s="420"/>
      <c r="J171" s="420"/>
      <c r="K171" s="420"/>
      <c r="L171" s="420"/>
      <c r="M171" s="420"/>
      <c r="N171" s="420"/>
      <c r="O171" s="420"/>
      <c r="P171" s="420"/>
      <c r="Q171" s="420"/>
      <c r="R171" s="420"/>
      <c r="S171" s="420"/>
      <c r="T171" s="420"/>
      <c r="U171" s="420"/>
      <c r="V171" s="420"/>
      <c r="W171" s="420"/>
      <c r="X171" s="420"/>
      <c r="Y171" s="420"/>
      <c r="Z171" s="420"/>
      <c r="AA171" s="420"/>
      <c r="AB171" s="420"/>
      <c r="AC171" s="420"/>
      <c r="AD171" s="420"/>
      <c r="AE171" s="420"/>
      <c r="AF171" s="420"/>
      <c r="AG171" s="420"/>
      <c r="AH171" s="420"/>
      <c r="AI171" s="420"/>
    </row>
    <row r="172" spans="1:35">
      <c r="A172" s="420"/>
      <c r="B172" s="420"/>
      <c r="C172" s="420"/>
      <c r="D172" s="420"/>
      <c r="E172" s="420"/>
      <c r="F172" s="420"/>
      <c r="G172" s="420"/>
      <c r="H172" s="420"/>
      <c r="I172" s="420"/>
      <c r="J172" s="420"/>
      <c r="K172" s="420"/>
      <c r="L172" s="420"/>
      <c r="M172" s="420"/>
      <c r="N172" s="420"/>
      <c r="O172" s="420"/>
      <c r="P172" s="420"/>
      <c r="Q172" s="420"/>
      <c r="R172" s="420"/>
      <c r="S172" s="420"/>
      <c r="T172" s="420"/>
      <c r="U172" s="420"/>
      <c r="V172" s="420"/>
      <c r="W172" s="420"/>
      <c r="X172" s="420"/>
      <c r="Y172" s="420"/>
      <c r="Z172" s="420"/>
      <c r="AA172" s="420"/>
      <c r="AB172" s="420"/>
      <c r="AC172" s="420"/>
      <c r="AD172" s="420"/>
      <c r="AE172" s="420"/>
      <c r="AF172" s="420"/>
      <c r="AG172" s="420"/>
      <c r="AH172" s="420"/>
      <c r="AI172" s="420"/>
    </row>
    <row r="173" spans="1:35">
      <c r="A173" s="420"/>
      <c r="B173" s="420"/>
      <c r="C173" s="420"/>
      <c r="D173" s="420"/>
      <c r="E173" s="420"/>
      <c r="F173" s="420"/>
      <c r="G173" s="420"/>
      <c r="H173" s="420"/>
      <c r="I173" s="420"/>
      <c r="J173" s="420"/>
      <c r="K173" s="420"/>
      <c r="L173" s="420"/>
      <c r="M173" s="420"/>
      <c r="N173" s="420"/>
      <c r="O173" s="420"/>
      <c r="P173" s="420"/>
      <c r="Q173" s="420"/>
      <c r="R173" s="420"/>
      <c r="S173" s="420"/>
      <c r="T173" s="420"/>
      <c r="U173" s="420"/>
      <c r="V173" s="420"/>
      <c r="W173" s="420"/>
      <c r="X173" s="420"/>
      <c r="Y173" s="420"/>
      <c r="Z173" s="420"/>
      <c r="AA173" s="420"/>
      <c r="AB173" s="420"/>
      <c r="AC173" s="420"/>
      <c r="AD173" s="420"/>
      <c r="AE173" s="420"/>
      <c r="AF173" s="420"/>
      <c r="AG173" s="420"/>
      <c r="AH173" s="420"/>
      <c r="AI173" s="420"/>
    </row>
    <row r="174" spans="1:35">
      <c r="A174" s="420"/>
      <c r="B174" s="420"/>
      <c r="C174" s="420"/>
      <c r="D174" s="420"/>
      <c r="E174" s="420"/>
      <c r="F174" s="420"/>
      <c r="G174" s="420"/>
      <c r="H174" s="420"/>
      <c r="I174" s="420"/>
      <c r="J174" s="420"/>
      <c r="K174" s="420"/>
      <c r="L174" s="420"/>
      <c r="M174" s="420"/>
      <c r="N174" s="420"/>
      <c r="O174" s="420"/>
      <c r="P174" s="420"/>
      <c r="Q174" s="420"/>
      <c r="R174" s="420"/>
      <c r="S174" s="420"/>
      <c r="T174" s="420"/>
      <c r="U174" s="420"/>
      <c r="V174" s="420"/>
      <c r="W174" s="420"/>
      <c r="X174" s="420"/>
      <c r="Y174" s="420"/>
      <c r="Z174" s="420"/>
      <c r="AA174" s="420"/>
      <c r="AB174" s="420"/>
      <c r="AC174" s="420"/>
      <c r="AD174" s="420"/>
      <c r="AE174" s="420"/>
      <c r="AF174" s="420"/>
      <c r="AG174" s="420"/>
      <c r="AH174" s="420"/>
      <c r="AI174" s="420"/>
    </row>
    <row r="175" spans="1:35">
      <c r="A175" s="420"/>
      <c r="B175" s="420"/>
      <c r="C175" s="420"/>
      <c r="D175" s="420"/>
      <c r="E175" s="420"/>
      <c r="F175" s="420"/>
      <c r="G175" s="420"/>
      <c r="H175" s="420"/>
      <c r="I175" s="420"/>
      <c r="J175" s="420"/>
      <c r="K175" s="420"/>
      <c r="L175" s="420"/>
      <c r="M175" s="420"/>
      <c r="N175" s="420"/>
      <c r="O175" s="420"/>
      <c r="P175" s="420"/>
      <c r="Q175" s="420"/>
      <c r="R175" s="420"/>
      <c r="S175" s="420"/>
      <c r="T175" s="420"/>
      <c r="U175" s="420"/>
      <c r="V175" s="420"/>
      <c r="W175" s="420"/>
      <c r="X175" s="420"/>
      <c r="Y175" s="420"/>
      <c r="Z175" s="420"/>
      <c r="AA175" s="420"/>
      <c r="AB175" s="420"/>
      <c r="AC175" s="420"/>
      <c r="AD175" s="420"/>
      <c r="AE175" s="420"/>
      <c r="AF175" s="420"/>
      <c r="AG175" s="420"/>
      <c r="AH175" s="420"/>
      <c r="AI175" s="420"/>
    </row>
    <row r="176" spans="1:35">
      <c r="A176" s="420"/>
      <c r="B176" s="420"/>
      <c r="C176" s="420"/>
      <c r="D176" s="420"/>
      <c r="E176" s="420"/>
      <c r="F176" s="420"/>
      <c r="G176" s="420"/>
      <c r="H176" s="420"/>
      <c r="I176" s="420"/>
      <c r="J176" s="420"/>
      <c r="K176" s="420"/>
      <c r="L176" s="420"/>
      <c r="M176" s="420"/>
      <c r="N176" s="420"/>
      <c r="O176" s="420"/>
      <c r="P176" s="420"/>
      <c r="Q176" s="420"/>
      <c r="R176" s="420"/>
      <c r="S176" s="420"/>
      <c r="T176" s="420"/>
      <c r="U176" s="420"/>
      <c r="V176" s="420"/>
      <c r="W176" s="420"/>
      <c r="X176" s="420"/>
      <c r="Y176" s="420"/>
      <c r="Z176" s="420"/>
      <c r="AA176" s="420"/>
      <c r="AB176" s="420"/>
      <c r="AC176" s="420"/>
      <c r="AD176" s="420"/>
      <c r="AE176" s="420"/>
      <c r="AF176" s="420"/>
      <c r="AG176" s="420"/>
      <c r="AH176" s="420"/>
      <c r="AI176" s="420"/>
    </row>
    <row r="177" spans="1:35">
      <c r="A177" s="420"/>
      <c r="B177" s="420"/>
      <c r="C177" s="420"/>
      <c r="D177" s="420"/>
      <c r="E177" s="420"/>
      <c r="F177" s="420"/>
      <c r="G177" s="420"/>
      <c r="H177" s="420"/>
      <c r="I177" s="420"/>
      <c r="J177" s="420"/>
      <c r="K177" s="420"/>
      <c r="L177" s="420"/>
      <c r="M177" s="420"/>
      <c r="N177" s="420"/>
      <c r="O177" s="420"/>
      <c r="P177" s="420"/>
      <c r="Q177" s="420"/>
      <c r="R177" s="420"/>
      <c r="S177" s="420"/>
      <c r="T177" s="420"/>
      <c r="U177" s="420"/>
      <c r="V177" s="420"/>
      <c r="W177" s="420"/>
      <c r="X177" s="420"/>
      <c r="Y177" s="420"/>
      <c r="Z177" s="420"/>
      <c r="AA177" s="420"/>
      <c r="AB177" s="420"/>
      <c r="AC177" s="420"/>
      <c r="AD177" s="420"/>
      <c r="AE177" s="420"/>
      <c r="AF177" s="420"/>
      <c r="AG177" s="420"/>
      <c r="AH177" s="420"/>
      <c r="AI177" s="420"/>
    </row>
    <row r="178" spans="1:35">
      <c r="A178" s="420"/>
      <c r="B178" s="420"/>
      <c r="C178" s="420"/>
      <c r="D178" s="420"/>
      <c r="E178" s="420"/>
      <c r="F178" s="420"/>
      <c r="G178" s="420"/>
      <c r="H178" s="420"/>
      <c r="I178" s="420"/>
      <c r="J178" s="420"/>
      <c r="K178" s="420"/>
      <c r="L178" s="420"/>
      <c r="M178" s="420"/>
      <c r="N178" s="420"/>
      <c r="O178" s="420"/>
      <c r="P178" s="420"/>
      <c r="Q178" s="420"/>
      <c r="R178" s="420"/>
      <c r="S178" s="420"/>
      <c r="T178" s="420"/>
      <c r="U178" s="420"/>
      <c r="V178" s="420"/>
      <c r="W178" s="420"/>
      <c r="X178" s="420"/>
      <c r="Y178" s="420"/>
      <c r="Z178" s="420"/>
      <c r="AA178" s="420"/>
      <c r="AB178" s="420"/>
      <c r="AC178" s="420"/>
      <c r="AD178" s="420"/>
      <c r="AE178" s="420"/>
      <c r="AF178" s="420"/>
      <c r="AG178" s="420"/>
      <c r="AH178" s="420"/>
      <c r="AI178" s="420"/>
    </row>
    <row r="179" spans="1:35">
      <c r="A179" s="420"/>
      <c r="B179" s="420"/>
      <c r="C179" s="420"/>
      <c r="D179" s="420"/>
      <c r="E179" s="420"/>
      <c r="F179" s="420"/>
      <c r="G179" s="420"/>
      <c r="H179" s="420"/>
      <c r="I179" s="420"/>
      <c r="J179" s="420"/>
      <c r="K179" s="420"/>
      <c r="L179" s="420"/>
      <c r="M179" s="420"/>
      <c r="N179" s="420"/>
      <c r="O179" s="420"/>
      <c r="P179" s="420"/>
      <c r="Q179" s="420"/>
      <c r="R179" s="420"/>
      <c r="S179" s="420"/>
      <c r="T179" s="420"/>
      <c r="U179" s="420"/>
      <c r="V179" s="420"/>
      <c r="W179" s="420"/>
      <c r="X179" s="420"/>
      <c r="Y179" s="420"/>
      <c r="Z179" s="420"/>
      <c r="AA179" s="420"/>
      <c r="AB179" s="420"/>
      <c r="AC179" s="420"/>
      <c r="AD179" s="420"/>
      <c r="AE179" s="420"/>
      <c r="AF179" s="420"/>
      <c r="AG179" s="420"/>
      <c r="AH179" s="420"/>
      <c r="AI179" s="420"/>
    </row>
    <row r="180" spans="1:35">
      <c r="A180" s="420"/>
      <c r="B180" s="420"/>
      <c r="C180" s="420"/>
      <c r="D180" s="420"/>
      <c r="E180" s="420"/>
      <c r="F180" s="420"/>
      <c r="G180" s="420"/>
      <c r="H180" s="420"/>
      <c r="I180" s="420"/>
      <c r="J180" s="420"/>
      <c r="K180" s="420"/>
      <c r="L180" s="420"/>
      <c r="M180" s="420"/>
      <c r="N180" s="420"/>
      <c r="O180" s="420"/>
      <c r="P180" s="420"/>
      <c r="Q180" s="420"/>
      <c r="R180" s="420"/>
      <c r="S180" s="420"/>
      <c r="T180" s="420"/>
      <c r="U180" s="420"/>
      <c r="V180" s="420"/>
      <c r="W180" s="420"/>
      <c r="X180" s="420"/>
      <c r="Y180" s="420"/>
      <c r="Z180" s="420"/>
      <c r="AA180" s="420"/>
      <c r="AB180" s="420"/>
      <c r="AC180" s="420"/>
      <c r="AD180" s="420"/>
      <c r="AE180" s="420"/>
      <c r="AF180" s="420"/>
      <c r="AG180" s="420"/>
      <c r="AH180" s="420"/>
      <c r="AI180" s="420"/>
    </row>
    <row r="181" spans="1:35">
      <c r="A181" s="420"/>
      <c r="B181" s="420"/>
      <c r="C181" s="420"/>
      <c r="D181" s="420"/>
      <c r="E181" s="420"/>
      <c r="F181" s="420"/>
      <c r="G181" s="420"/>
      <c r="H181" s="420"/>
      <c r="I181" s="420"/>
      <c r="J181" s="420"/>
      <c r="K181" s="420"/>
      <c r="L181" s="420"/>
      <c r="M181" s="420"/>
      <c r="N181" s="420"/>
      <c r="O181" s="420"/>
      <c r="P181" s="420"/>
      <c r="Q181" s="420"/>
      <c r="R181" s="420"/>
      <c r="S181" s="420"/>
      <c r="T181" s="420"/>
      <c r="U181" s="420"/>
      <c r="V181" s="420"/>
      <c r="W181" s="420"/>
      <c r="X181" s="420"/>
      <c r="Y181" s="420"/>
      <c r="Z181" s="420"/>
      <c r="AA181" s="420"/>
      <c r="AB181" s="420"/>
      <c r="AC181" s="420"/>
      <c r="AD181" s="420"/>
      <c r="AE181" s="420"/>
      <c r="AF181" s="420"/>
      <c r="AG181" s="420"/>
      <c r="AH181" s="420"/>
      <c r="AI181" s="420"/>
    </row>
    <row r="182" spans="1:35">
      <c r="A182" s="420"/>
      <c r="B182" s="420"/>
      <c r="C182" s="420"/>
      <c r="D182" s="420"/>
      <c r="E182" s="420"/>
      <c r="F182" s="420"/>
      <c r="G182" s="420"/>
      <c r="H182" s="420"/>
      <c r="I182" s="420"/>
      <c r="J182" s="420"/>
      <c r="K182" s="420"/>
      <c r="L182" s="420"/>
      <c r="M182" s="420"/>
      <c r="N182" s="420"/>
      <c r="O182" s="420"/>
      <c r="P182" s="420"/>
      <c r="Q182" s="420"/>
      <c r="R182" s="420"/>
      <c r="S182" s="420"/>
      <c r="T182" s="420"/>
      <c r="U182" s="420"/>
      <c r="V182" s="420"/>
      <c r="W182" s="420"/>
      <c r="X182" s="420"/>
      <c r="Y182" s="420"/>
      <c r="Z182" s="420"/>
      <c r="AA182" s="420"/>
      <c r="AB182" s="420"/>
      <c r="AC182" s="420"/>
      <c r="AD182" s="420"/>
      <c r="AE182" s="420"/>
      <c r="AF182" s="420"/>
      <c r="AG182" s="420"/>
      <c r="AH182" s="420"/>
      <c r="AI182" s="420"/>
    </row>
    <row r="183" spans="1:35">
      <c r="A183" s="420"/>
      <c r="B183" s="420"/>
      <c r="C183" s="420"/>
      <c r="D183" s="420"/>
      <c r="E183" s="420"/>
      <c r="F183" s="420"/>
      <c r="G183" s="420"/>
      <c r="H183" s="420"/>
      <c r="I183" s="420"/>
      <c r="J183" s="420"/>
      <c r="K183" s="420"/>
      <c r="L183" s="420"/>
      <c r="M183" s="420"/>
      <c r="N183" s="420"/>
      <c r="O183" s="420"/>
      <c r="P183" s="420"/>
      <c r="Q183" s="420"/>
      <c r="R183" s="420"/>
      <c r="S183" s="420"/>
      <c r="T183" s="420"/>
      <c r="U183" s="420"/>
      <c r="V183" s="420"/>
      <c r="W183" s="420"/>
      <c r="X183" s="420"/>
      <c r="Y183" s="420"/>
      <c r="Z183" s="420"/>
      <c r="AA183" s="420"/>
      <c r="AB183" s="420"/>
      <c r="AC183" s="420"/>
      <c r="AD183" s="420"/>
      <c r="AE183" s="420"/>
      <c r="AF183" s="420"/>
      <c r="AG183" s="420"/>
      <c r="AH183" s="420"/>
      <c r="AI183" s="420"/>
    </row>
    <row r="184" spans="1:35">
      <c r="A184" s="420"/>
      <c r="B184" s="420"/>
      <c r="C184" s="420"/>
      <c r="D184" s="420"/>
      <c r="E184" s="420"/>
      <c r="F184" s="420"/>
      <c r="G184" s="420"/>
      <c r="H184" s="420"/>
      <c r="I184" s="420"/>
      <c r="J184" s="420"/>
      <c r="K184" s="420"/>
      <c r="L184" s="420"/>
      <c r="M184" s="420"/>
      <c r="N184" s="420"/>
      <c r="O184" s="420"/>
      <c r="P184" s="420"/>
      <c r="Q184" s="420"/>
      <c r="R184" s="420"/>
      <c r="S184" s="420"/>
      <c r="T184" s="420"/>
      <c r="U184" s="420"/>
      <c r="V184" s="420"/>
      <c r="W184" s="420"/>
      <c r="X184" s="420"/>
      <c r="Y184" s="420"/>
      <c r="Z184" s="420"/>
      <c r="AA184" s="420"/>
      <c r="AB184" s="420"/>
      <c r="AC184" s="420"/>
      <c r="AD184" s="420"/>
      <c r="AE184" s="420"/>
      <c r="AF184" s="420"/>
      <c r="AG184" s="420"/>
      <c r="AH184" s="420"/>
      <c r="AI184" s="420"/>
    </row>
    <row r="185" spans="1:35">
      <c r="A185" s="420"/>
      <c r="B185" s="420"/>
      <c r="C185" s="420"/>
      <c r="D185" s="420"/>
      <c r="E185" s="420"/>
      <c r="F185" s="420"/>
      <c r="G185" s="420"/>
      <c r="H185" s="420"/>
      <c r="I185" s="420"/>
      <c r="J185" s="420"/>
      <c r="K185" s="420"/>
      <c r="L185" s="420"/>
      <c r="M185" s="420"/>
      <c r="N185" s="420"/>
      <c r="O185" s="420"/>
      <c r="P185" s="420"/>
      <c r="Q185" s="420"/>
      <c r="R185" s="420"/>
      <c r="S185" s="420"/>
      <c r="T185" s="420"/>
      <c r="U185" s="420"/>
      <c r="V185" s="420"/>
      <c r="W185" s="420"/>
      <c r="X185" s="420"/>
      <c r="Y185" s="420"/>
      <c r="Z185" s="420"/>
      <c r="AA185" s="420"/>
      <c r="AB185" s="420"/>
      <c r="AC185" s="420"/>
      <c r="AD185" s="420"/>
      <c r="AE185" s="420"/>
      <c r="AF185" s="420"/>
      <c r="AG185" s="420"/>
      <c r="AH185" s="420"/>
      <c r="AI185" s="420"/>
    </row>
    <row r="186" spans="1:35">
      <c r="A186" s="420"/>
      <c r="B186" s="420"/>
      <c r="C186" s="420"/>
      <c r="D186" s="420"/>
      <c r="E186" s="420"/>
      <c r="F186" s="420"/>
      <c r="G186" s="420"/>
      <c r="H186" s="420"/>
      <c r="I186" s="420"/>
      <c r="J186" s="420"/>
      <c r="K186" s="420"/>
      <c r="L186" s="420"/>
      <c r="M186" s="420"/>
      <c r="N186" s="420"/>
      <c r="O186" s="420"/>
      <c r="P186" s="420"/>
      <c r="Q186" s="420"/>
      <c r="R186" s="420"/>
      <c r="S186" s="420"/>
      <c r="T186" s="420"/>
      <c r="U186" s="420"/>
      <c r="V186" s="420"/>
      <c r="W186" s="420"/>
      <c r="X186" s="420"/>
      <c r="Y186" s="420"/>
      <c r="Z186" s="420"/>
      <c r="AA186" s="420"/>
      <c r="AB186" s="420"/>
      <c r="AC186" s="420"/>
      <c r="AD186" s="420"/>
      <c r="AE186" s="420"/>
      <c r="AF186" s="420"/>
      <c r="AG186" s="420"/>
      <c r="AH186" s="420"/>
      <c r="AI186" s="420"/>
    </row>
    <row r="187" spans="1:35">
      <c r="A187" s="420"/>
      <c r="B187" s="420"/>
      <c r="C187" s="420"/>
      <c r="D187" s="420"/>
      <c r="E187" s="420"/>
      <c r="F187" s="420"/>
      <c r="G187" s="420"/>
      <c r="H187" s="420"/>
      <c r="I187" s="420"/>
      <c r="J187" s="420"/>
      <c r="K187" s="420"/>
      <c r="L187" s="420"/>
      <c r="M187" s="420"/>
      <c r="N187" s="420"/>
      <c r="O187" s="420"/>
      <c r="P187" s="420"/>
      <c r="Q187" s="420"/>
      <c r="R187" s="420"/>
      <c r="S187" s="420"/>
      <c r="T187" s="420"/>
      <c r="U187" s="420"/>
      <c r="V187" s="420"/>
      <c r="W187" s="420"/>
      <c r="X187" s="420"/>
      <c r="Y187" s="420"/>
      <c r="Z187" s="420"/>
      <c r="AA187" s="420"/>
      <c r="AB187" s="420"/>
      <c r="AC187" s="420"/>
      <c r="AD187" s="420"/>
      <c r="AE187" s="420"/>
      <c r="AF187" s="420"/>
      <c r="AG187" s="420"/>
      <c r="AH187" s="420"/>
      <c r="AI187" s="420"/>
    </row>
    <row r="188" spans="1:35">
      <c r="A188" s="420"/>
      <c r="B188" s="420"/>
      <c r="C188" s="420"/>
      <c r="D188" s="420"/>
      <c r="E188" s="420"/>
      <c r="F188" s="420"/>
      <c r="G188" s="420"/>
      <c r="H188" s="420"/>
      <c r="I188" s="420"/>
      <c r="J188" s="420"/>
      <c r="K188" s="420"/>
      <c r="L188" s="420"/>
      <c r="M188" s="420"/>
      <c r="N188" s="420"/>
      <c r="O188" s="420"/>
      <c r="P188" s="420"/>
      <c r="Q188" s="420"/>
      <c r="R188" s="420"/>
      <c r="S188" s="420"/>
      <c r="T188" s="420"/>
      <c r="U188" s="420"/>
      <c r="V188" s="420"/>
      <c r="W188" s="420"/>
      <c r="X188" s="420"/>
      <c r="Y188" s="420"/>
      <c r="Z188" s="420"/>
      <c r="AA188" s="420"/>
      <c r="AB188" s="420"/>
      <c r="AC188" s="420"/>
      <c r="AD188" s="420"/>
      <c r="AE188" s="420"/>
      <c r="AF188" s="420"/>
      <c r="AG188" s="420"/>
      <c r="AH188" s="420"/>
      <c r="AI188" s="420"/>
    </row>
    <row r="189" spans="1:35">
      <c r="A189" s="420"/>
      <c r="B189" s="420"/>
      <c r="C189" s="420"/>
      <c r="D189" s="420"/>
      <c r="E189" s="420"/>
      <c r="F189" s="420"/>
      <c r="G189" s="420"/>
      <c r="H189" s="420"/>
      <c r="I189" s="420"/>
      <c r="J189" s="420"/>
      <c r="K189" s="420"/>
      <c r="L189" s="420"/>
      <c r="M189" s="420"/>
      <c r="N189" s="420"/>
      <c r="O189" s="420"/>
      <c r="P189" s="420"/>
      <c r="Q189" s="420"/>
      <c r="R189" s="420"/>
      <c r="S189" s="420"/>
      <c r="T189" s="420"/>
      <c r="U189" s="420"/>
      <c r="V189" s="420"/>
      <c r="W189" s="420"/>
      <c r="X189" s="420"/>
      <c r="Y189" s="420"/>
      <c r="Z189" s="420"/>
      <c r="AA189" s="420"/>
      <c r="AB189" s="420"/>
      <c r="AC189" s="420"/>
      <c r="AD189" s="420"/>
      <c r="AE189" s="420"/>
      <c r="AF189" s="420"/>
      <c r="AG189" s="420"/>
      <c r="AH189" s="420"/>
      <c r="AI189" s="420"/>
    </row>
    <row r="190" spans="1:35">
      <c r="A190" s="420"/>
      <c r="B190" s="420"/>
      <c r="C190" s="420"/>
      <c r="D190" s="420"/>
      <c r="E190" s="420"/>
      <c r="F190" s="420"/>
      <c r="G190" s="420"/>
      <c r="H190" s="420"/>
      <c r="I190" s="420"/>
      <c r="J190" s="420"/>
      <c r="K190" s="420"/>
      <c r="L190" s="420"/>
      <c r="M190" s="420"/>
      <c r="N190" s="420"/>
      <c r="O190" s="420"/>
      <c r="P190" s="420"/>
      <c r="Q190" s="420"/>
      <c r="R190" s="420"/>
      <c r="S190" s="420"/>
      <c r="T190" s="420"/>
      <c r="U190" s="420"/>
      <c r="V190" s="420"/>
      <c r="W190" s="420"/>
      <c r="X190" s="420"/>
      <c r="Y190" s="420"/>
      <c r="Z190" s="420"/>
      <c r="AA190" s="420"/>
      <c r="AB190" s="420"/>
      <c r="AC190" s="420"/>
      <c r="AD190" s="420"/>
      <c r="AE190" s="420"/>
      <c r="AF190" s="420"/>
      <c r="AG190" s="420"/>
      <c r="AH190" s="420"/>
      <c r="AI190" s="420"/>
    </row>
    <row r="191" spans="1:35">
      <c r="A191" s="420"/>
      <c r="B191" s="420"/>
      <c r="C191" s="420"/>
      <c r="D191" s="420"/>
      <c r="E191" s="420"/>
      <c r="F191" s="420"/>
      <c r="G191" s="420"/>
      <c r="H191" s="420"/>
      <c r="I191" s="420"/>
      <c r="J191" s="420"/>
      <c r="K191" s="420"/>
      <c r="L191" s="420"/>
      <c r="M191" s="420"/>
      <c r="N191" s="420"/>
      <c r="O191" s="420"/>
      <c r="P191" s="420"/>
      <c r="Q191" s="420"/>
      <c r="R191" s="420"/>
      <c r="S191" s="420"/>
      <c r="T191" s="420"/>
      <c r="U191" s="420"/>
      <c r="V191" s="420"/>
      <c r="W191" s="420"/>
      <c r="X191" s="420"/>
      <c r="Y191" s="420"/>
      <c r="Z191" s="420"/>
      <c r="AA191" s="420"/>
      <c r="AB191" s="420"/>
      <c r="AC191" s="420"/>
      <c r="AD191" s="420"/>
      <c r="AE191" s="420"/>
      <c r="AF191" s="420"/>
      <c r="AG191" s="420"/>
      <c r="AH191" s="420"/>
      <c r="AI191" s="420"/>
    </row>
    <row r="192" spans="1:35">
      <c r="A192" s="420"/>
      <c r="B192" s="420"/>
      <c r="C192" s="420"/>
      <c r="D192" s="420"/>
      <c r="E192" s="420"/>
      <c r="F192" s="420"/>
      <c r="G192" s="420"/>
      <c r="H192" s="420"/>
      <c r="I192" s="420"/>
      <c r="J192" s="420"/>
      <c r="K192" s="420"/>
      <c r="L192" s="420"/>
      <c r="M192" s="420"/>
      <c r="N192" s="420"/>
      <c r="O192" s="420"/>
      <c r="P192" s="420"/>
      <c r="Q192" s="420"/>
      <c r="R192" s="420"/>
      <c r="S192" s="420"/>
      <c r="T192" s="420"/>
      <c r="U192" s="420"/>
      <c r="V192" s="420"/>
      <c r="W192" s="420"/>
      <c r="X192" s="420"/>
      <c r="Y192" s="420"/>
      <c r="Z192" s="420"/>
      <c r="AA192" s="420"/>
      <c r="AB192" s="420"/>
      <c r="AC192" s="420"/>
      <c r="AD192" s="420"/>
      <c r="AE192" s="420"/>
      <c r="AF192" s="420"/>
      <c r="AG192" s="420"/>
      <c r="AH192" s="420"/>
      <c r="AI192" s="420"/>
    </row>
    <row r="193" spans="1:35">
      <c r="A193" s="420"/>
      <c r="B193" s="420"/>
      <c r="C193" s="420"/>
      <c r="D193" s="420"/>
      <c r="E193" s="420"/>
      <c r="F193" s="420"/>
      <c r="G193" s="420"/>
      <c r="H193" s="420"/>
      <c r="I193" s="420"/>
      <c r="J193" s="420"/>
      <c r="K193" s="420"/>
      <c r="L193" s="420"/>
      <c r="M193" s="420"/>
      <c r="N193" s="420"/>
      <c r="O193" s="420"/>
      <c r="P193" s="420"/>
      <c r="Q193" s="420"/>
      <c r="R193" s="420"/>
      <c r="S193" s="420"/>
      <c r="T193" s="420"/>
      <c r="U193" s="420"/>
      <c r="V193" s="420"/>
      <c r="W193" s="420"/>
      <c r="X193" s="420"/>
      <c r="Y193" s="420"/>
      <c r="Z193" s="420"/>
      <c r="AA193" s="420"/>
      <c r="AB193" s="420"/>
      <c r="AC193" s="420"/>
      <c r="AD193" s="420"/>
      <c r="AE193" s="420"/>
      <c r="AF193" s="420"/>
      <c r="AG193" s="420"/>
      <c r="AH193" s="420"/>
      <c r="AI193" s="420"/>
    </row>
    <row r="194" spans="1:35">
      <c r="A194" s="420"/>
      <c r="B194" s="420"/>
      <c r="C194" s="420"/>
      <c r="D194" s="420"/>
      <c r="E194" s="420"/>
      <c r="F194" s="420"/>
      <c r="G194" s="420"/>
      <c r="H194" s="420"/>
      <c r="I194" s="420"/>
      <c r="J194" s="420"/>
      <c r="K194" s="420"/>
      <c r="L194" s="420"/>
      <c r="M194" s="420"/>
      <c r="N194" s="420"/>
      <c r="O194" s="420"/>
      <c r="P194" s="420"/>
      <c r="Q194" s="420"/>
      <c r="R194" s="420"/>
      <c r="S194" s="420"/>
      <c r="T194" s="420"/>
      <c r="U194" s="420"/>
      <c r="V194" s="420"/>
      <c r="W194" s="420"/>
      <c r="X194" s="420"/>
      <c r="Y194" s="420"/>
      <c r="Z194" s="420"/>
      <c r="AA194" s="420"/>
      <c r="AB194" s="420"/>
      <c r="AC194" s="420"/>
      <c r="AD194" s="420"/>
      <c r="AE194" s="420"/>
      <c r="AF194" s="420"/>
      <c r="AG194" s="420"/>
      <c r="AH194" s="420"/>
      <c r="AI194" s="420"/>
    </row>
    <row r="195" spans="1:35">
      <c r="A195" s="420"/>
      <c r="B195" s="420"/>
      <c r="C195" s="420"/>
      <c r="D195" s="420"/>
      <c r="E195" s="420"/>
      <c r="F195" s="420"/>
      <c r="G195" s="420"/>
      <c r="H195" s="420"/>
      <c r="I195" s="420"/>
      <c r="J195" s="420"/>
      <c r="K195" s="420"/>
      <c r="L195" s="420"/>
      <c r="M195" s="420"/>
      <c r="N195" s="420"/>
      <c r="O195" s="420"/>
      <c r="P195" s="420"/>
      <c r="Q195" s="420"/>
      <c r="R195" s="420"/>
      <c r="S195" s="420"/>
      <c r="T195" s="420"/>
      <c r="U195" s="420"/>
      <c r="V195" s="420"/>
      <c r="W195" s="420"/>
      <c r="X195" s="420"/>
      <c r="Y195" s="420"/>
      <c r="Z195" s="420"/>
      <c r="AA195" s="420"/>
      <c r="AB195" s="420"/>
      <c r="AC195" s="420"/>
      <c r="AD195" s="420"/>
      <c r="AE195" s="420"/>
      <c r="AF195" s="420"/>
      <c r="AG195" s="420"/>
      <c r="AH195" s="420"/>
      <c r="AI195" s="420"/>
    </row>
    <row r="196" spans="1:35">
      <c r="A196" s="420"/>
      <c r="B196" s="420"/>
      <c r="C196" s="420"/>
      <c r="D196" s="420"/>
      <c r="E196" s="420"/>
      <c r="F196" s="420"/>
      <c r="G196" s="420"/>
      <c r="H196" s="420"/>
      <c r="I196" s="420"/>
      <c r="J196" s="420"/>
      <c r="K196" s="420"/>
      <c r="L196" s="420"/>
      <c r="M196" s="420"/>
      <c r="N196" s="420"/>
      <c r="O196" s="420"/>
      <c r="P196" s="420"/>
      <c r="Q196" s="420"/>
      <c r="R196" s="420"/>
      <c r="S196" s="420"/>
      <c r="T196" s="420"/>
      <c r="U196" s="420"/>
      <c r="V196" s="420"/>
      <c r="W196" s="420"/>
      <c r="X196" s="420"/>
      <c r="Y196" s="420"/>
      <c r="Z196" s="420"/>
      <c r="AA196" s="420"/>
      <c r="AB196" s="420"/>
      <c r="AC196" s="420"/>
      <c r="AD196" s="420"/>
      <c r="AE196" s="420"/>
      <c r="AF196" s="420"/>
      <c r="AG196" s="420"/>
      <c r="AH196" s="420"/>
      <c r="AI196" s="420"/>
    </row>
    <row r="197" spans="1:35">
      <c r="A197" s="420"/>
      <c r="B197" s="420"/>
      <c r="C197" s="420"/>
      <c r="D197" s="420"/>
      <c r="E197" s="420"/>
      <c r="F197" s="420"/>
      <c r="G197" s="420"/>
      <c r="H197" s="420"/>
      <c r="I197" s="420"/>
      <c r="J197" s="420"/>
      <c r="K197" s="420"/>
      <c r="L197" s="420"/>
      <c r="M197" s="420"/>
      <c r="N197" s="420"/>
      <c r="O197" s="420"/>
      <c r="P197" s="420"/>
      <c r="Q197" s="420"/>
      <c r="R197" s="420"/>
      <c r="S197" s="420"/>
      <c r="T197" s="420"/>
      <c r="U197" s="420"/>
      <c r="V197" s="420"/>
      <c r="W197" s="420"/>
      <c r="X197" s="420"/>
      <c r="Y197" s="420"/>
      <c r="Z197" s="420"/>
      <c r="AA197" s="420"/>
      <c r="AB197" s="420"/>
      <c r="AC197" s="420"/>
      <c r="AD197" s="420"/>
      <c r="AE197" s="420"/>
      <c r="AF197" s="420"/>
      <c r="AG197" s="420"/>
      <c r="AH197" s="420"/>
      <c r="AI197" s="420"/>
    </row>
    <row r="198" spans="1:35">
      <c r="A198" s="420"/>
      <c r="B198" s="420"/>
      <c r="C198" s="420"/>
      <c r="D198" s="420"/>
      <c r="E198" s="420"/>
      <c r="F198" s="420"/>
      <c r="G198" s="420"/>
      <c r="H198" s="420"/>
      <c r="I198" s="420"/>
      <c r="J198" s="420"/>
      <c r="K198" s="420"/>
      <c r="L198" s="420"/>
      <c r="M198" s="420"/>
      <c r="N198" s="420"/>
      <c r="O198" s="420"/>
      <c r="P198" s="420"/>
      <c r="Q198" s="420"/>
      <c r="R198" s="420"/>
      <c r="S198" s="420"/>
      <c r="T198" s="420"/>
      <c r="U198" s="420"/>
      <c r="V198" s="420"/>
      <c r="W198" s="420"/>
      <c r="X198" s="420"/>
      <c r="Y198" s="420"/>
      <c r="Z198" s="420"/>
      <c r="AA198" s="420"/>
      <c r="AB198" s="420"/>
      <c r="AC198" s="420"/>
      <c r="AD198" s="420"/>
      <c r="AE198" s="420"/>
      <c r="AF198" s="420"/>
      <c r="AG198" s="420"/>
      <c r="AH198" s="420"/>
      <c r="AI198" s="420"/>
    </row>
    <row r="199" spans="1:35">
      <c r="A199" s="420"/>
      <c r="B199" s="420"/>
      <c r="C199" s="420"/>
      <c r="D199" s="420"/>
      <c r="E199" s="420"/>
      <c r="F199" s="420"/>
      <c r="G199" s="420"/>
      <c r="H199" s="420"/>
      <c r="I199" s="420"/>
      <c r="J199" s="420"/>
      <c r="K199" s="420"/>
      <c r="L199" s="420"/>
      <c r="M199" s="420"/>
      <c r="N199" s="420"/>
      <c r="O199" s="420"/>
      <c r="P199" s="420"/>
      <c r="Q199" s="420"/>
      <c r="R199" s="420"/>
      <c r="S199" s="420"/>
      <c r="T199" s="420"/>
      <c r="U199" s="420"/>
      <c r="V199" s="420"/>
      <c r="W199" s="420"/>
      <c r="X199" s="420"/>
      <c r="Y199" s="420"/>
      <c r="Z199" s="420"/>
      <c r="AA199" s="420"/>
      <c r="AB199" s="420"/>
      <c r="AC199" s="420"/>
      <c r="AD199" s="420"/>
      <c r="AE199" s="420"/>
      <c r="AF199" s="420"/>
      <c r="AG199" s="420"/>
      <c r="AH199" s="420"/>
      <c r="AI199" s="420"/>
    </row>
    <row r="200" spans="1:35">
      <c r="A200" s="420"/>
      <c r="B200" s="420"/>
      <c r="C200" s="420"/>
      <c r="D200" s="420"/>
      <c r="E200" s="420"/>
      <c r="F200" s="420"/>
      <c r="G200" s="420"/>
      <c r="H200" s="420"/>
      <c r="I200" s="420"/>
      <c r="J200" s="420"/>
      <c r="K200" s="420"/>
      <c r="L200" s="420"/>
      <c r="M200" s="420"/>
      <c r="N200" s="420"/>
      <c r="O200" s="420"/>
      <c r="P200" s="420"/>
      <c r="Q200" s="420"/>
      <c r="R200" s="420"/>
      <c r="S200" s="420"/>
      <c r="T200" s="420"/>
      <c r="U200" s="420"/>
      <c r="V200" s="420"/>
      <c r="W200" s="420"/>
      <c r="X200" s="420"/>
      <c r="Y200" s="420"/>
      <c r="Z200" s="420"/>
      <c r="AA200" s="420"/>
      <c r="AB200" s="420"/>
      <c r="AC200" s="420"/>
      <c r="AD200" s="420"/>
      <c r="AE200" s="420"/>
      <c r="AF200" s="420"/>
      <c r="AG200" s="420"/>
      <c r="AH200" s="420"/>
      <c r="AI200" s="420"/>
    </row>
    <row r="201" spans="1:35">
      <c r="A201" s="420"/>
      <c r="B201" s="420"/>
      <c r="C201" s="420"/>
      <c r="D201" s="420"/>
      <c r="E201" s="420"/>
      <c r="F201" s="420"/>
      <c r="G201" s="420"/>
      <c r="H201" s="420"/>
      <c r="I201" s="420"/>
      <c r="J201" s="420"/>
      <c r="K201" s="420"/>
      <c r="L201" s="420"/>
      <c r="M201" s="420"/>
      <c r="N201" s="420"/>
      <c r="O201" s="420"/>
      <c r="P201" s="420"/>
      <c r="Q201" s="420"/>
      <c r="R201" s="420"/>
      <c r="S201" s="420"/>
      <c r="T201" s="420"/>
      <c r="U201" s="420"/>
      <c r="V201" s="420"/>
      <c r="W201" s="420"/>
      <c r="X201" s="420"/>
      <c r="Y201" s="420"/>
      <c r="Z201" s="420"/>
      <c r="AA201" s="420"/>
      <c r="AB201" s="420"/>
      <c r="AC201" s="420"/>
      <c r="AD201" s="420"/>
      <c r="AE201" s="420"/>
      <c r="AF201" s="420"/>
      <c r="AG201" s="420"/>
      <c r="AH201" s="420"/>
      <c r="AI201" s="420"/>
    </row>
    <row r="202" spans="1:35">
      <c r="A202" s="420"/>
      <c r="B202" s="420"/>
      <c r="C202" s="420"/>
      <c r="D202" s="420"/>
      <c r="E202" s="420"/>
      <c r="F202" s="420"/>
      <c r="G202" s="420"/>
      <c r="H202" s="420"/>
      <c r="I202" s="420"/>
      <c r="J202" s="420"/>
      <c r="K202" s="420"/>
      <c r="L202" s="420"/>
      <c r="M202" s="420"/>
      <c r="N202" s="420"/>
      <c r="O202" s="420"/>
      <c r="P202" s="420"/>
      <c r="Q202" s="420"/>
      <c r="R202" s="420"/>
      <c r="S202" s="420"/>
      <c r="T202" s="420"/>
      <c r="U202" s="420"/>
      <c r="V202" s="420"/>
      <c r="W202" s="420"/>
      <c r="X202" s="420"/>
      <c r="Y202" s="420"/>
      <c r="Z202" s="420"/>
      <c r="AA202" s="420"/>
      <c r="AB202" s="420"/>
      <c r="AC202" s="420"/>
      <c r="AD202" s="420"/>
      <c r="AE202" s="420"/>
      <c r="AF202" s="420"/>
      <c r="AG202" s="420"/>
      <c r="AH202" s="420"/>
      <c r="AI202" s="420"/>
    </row>
    <row r="203" spans="1:35">
      <c r="A203" s="420"/>
      <c r="B203" s="420"/>
      <c r="C203" s="420"/>
      <c r="D203" s="420"/>
      <c r="E203" s="420"/>
      <c r="F203" s="420"/>
      <c r="G203" s="420"/>
      <c r="H203" s="420"/>
      <c r="I203" s="420"/>
      <c r="J203" s="420"/>
      <c r="K203" s="420"/>
      <c r="L203" s="420"/>
      <c r="M203" s="420"/>
      <c r="N203" s="420"/>
      <c r="O203" s="420"/>
      <c r="P203" s="420"/>
      <c r="Q203" s="420"/>
      <c r="R203" s="420"/>
      <c r="S203" s="420"/>
      <c r="T203" s="420"/>
      <c r="U203" s="420"/>
      <c r="V203" s="420"/>
      <c r="W203" s="420"/>
      <c r="X203" s="420"/>
      <c r="Y203" s="420"/>
      <c r="Z203" s="420"/>
      <c r="AA203" s="420"/>
      <c r="AB203" s="420"/>
      <c r="AC203" s="420"/>
      <c r="AD203" s="420"/>
      <c r="AE203" s="420"/>
      <c r="AF203" s="420"/>
      <c r="AG203" s="420"/>
      <c r="AH203" s="420"/>
      <c r="AI203" s="420"/>
    </row>
    <row r="204" spans="1:35">
      <c r="A204" s="420"/>
      <c r="B204" s="420"/>
      <c r="C204" s="420"/>
      <c r="D204" s="420"/>
      <c r="E204" s="420"/>
      <c r="F204" s="420"/>
      <c r="G204" s="420"/>
      <c r="H204" s="420"/>
      <c r="I204" s="420"/>
      <c r="J204" s="420"/>
      <c r="K204" s="420"/>
      <c r="L204" s="420"/>
      <c r="M204" s="420"/>
      <c r="N204" s="420"/>
      <c r="O204" s="420"/>
      <c r="P204" s="420"/>
      <c r="Q204" s="420"/>
      <c r="R204" s="420"/>
      <c r="S204" s="420"/>
      <c r="T204" s="420"/>
      <c r="U204" s="420"/>
      <c r="V204" s="420"/>
      <c r="W204" s="420"/>
      <c r="X204" s="420"/>
      <c r="Y204" s="420"/>
      <c r="Z204" s="420"/>
      <c r="AA204" s="420"/>
      <c r="AB204" s="420"/>
      <c r="AC204" s="420"/>
      <c r="AD204" s="420"/>
      <c r="AE204" s="420"/>
      <c r="AF204" s="420"/>
      <c r="AG204" s="420"/>
      <c r="AH204" s="420"/>
      <c r="AI204" s="420"/>
    </row>
    <row r="205" spans="1:35">
      <c r="A205" s="420"/>
      <c r="B205" s="420"/>
      <c r="C205" s="420"/>
      <c r="D205" s="420"/>
      <c r="E205" s="420"/>
      <c r="F205" s="420"/>
      <c r="G205" s="420"/>
      <c r="H205" s="420"/>
      <c r="I205" s="420"/>
      <c r="J205" s="420"/>
      <c r="K205" s="420"/>
      <c r="L205" s="420"/>
      <c r="M205" s="420"/>
      <c r="N205" s="420"/>
      <c r="O205" s="420"/>
      <c r="P205" s="420"/>
      <c r="Q205" s="420"/>
      <c r="R205" s="420"/>
      <c r="S205" s="420"/>
      <c r="T205" s="420"/>
      <c r="U205" s="420"/>
      <c r="V205" s="420"/>
      <c r="W205" s="420"/>
      <c r="X205" s="420"/>
      <c r="Y205" s="420"/>
      <c r="Z205" s="420"/>
      <c r="AA205" s="420"/>
      <c r="AB205" s="420"/>
      <c r="AC205" s="420"/>
      <c r="AD205" s="420"/>
      <c r="AE205" s="420"/>
      <c r="AF205" s="420"/>
      <c r="AG205" s="420"/>
      <c r="AH205" s="420"/>
      <c r="AI205" s="420"/>
    </row>
    <row r="206" spans="1:35">
      <c r="A206" s="420"/>
      <c r="B206" s="420"/>
      <c r="C206" s="420"/>
      <c r="D206" s="420"/>
      <c r="E206" s="420"/>
      <c r="F206" s="420"/>
      <c r="G206" s="420"/>
      <c r="H206" s="420"/>
      <c r="I206" s="420"/>
      <c r="J206" s="420"/>
      <c r="K206" s="420"/>
      <c r="L206" s="420"/>
      <c r="M206" s="420"/>
      <c r="N206" s="420"/>
      <c r="O206" s="420"/>
      <c r="P206" s="420"/>
      <c r="Q206" s="420"/>
      <c r="R206" s="420"/>
      <c r="S206" s="420"/>
      <c r="T206" s="420"/>
      <c r="U206" s="420"/>
      <c r="V206" s="420"/>
      <c r="W206" s="420"/>
      <c r="X206" s="420"/>
      <c r="Y206" s="420"/>
      <c r="Z206" s="420"/>
      <c r="AA206" s="420"/>
      <c r="AB206" s="420"/>
      <c r="AC206" s="420"/>
      <c r="AD206" s="420"/>
      <c r="AE206" s="420"/>
      <c r="AF206" s="420"/>
      <c r="AG206" s="420"/>
      <c r="AH206" s="420"/>
      <c r="AI206" s="420"/>
    </row>
    <row r="207" spans="1:35">
      <c r="A207" s="420"/>
      <c r="B207" s="420"/>
      <c r="C207" s="420"/>
      <c r="D207" s="420"/>
      <c r="E207" s="420"/>
      <c r="F207" s="420"/>
      <c r="G207" s="420"/>
      <c r="H207" s="420"/>
      <c r="I207" s="420"/>
      <c r="J207" s="420"/>
      <c r="K207" s="420"/>
      <c r="L207" s="420"/>
      <c r="M207" s="420"/>
      <c r="N207" s="420"/>
      <c r="O207" s="420"/>
      <c r="P207" s="420"/>
      <c r="Q207" s="420"/>
      <c r="R207" s="420"/>
      <c r="S207" s="420"/>
      <c r="T207" s="420"/>
      <c r="U207" s="420"/>
      <c r="V207" s="420"/>
      <c r="W207" s="420"/>
      <c r="X207" s="420"/>
      <c r="Y207" s="420"/>
      <c r="Z207" s="420"/>
      <c r="AA207" s="420"/>
      <c r="AB207" s="420"/>
      <c r="AC207" s="420"/>
      <c r="AD207" s="420"/>
      <c r="AE207" s="420"/>
      <c r="AF207" s="420"/>
      <c r="AG207" s="420"/>
      <c r="AH207" s="420"/>
      <c r="AI207" s="420"/>
    </row>
    <row r="208" spans="1:35">
      <c r="A208" s="420"/>
      <c r="B208" s="420"/>
      <c r="C208" s="420"/>
      <c r="D208" s="420"/>
      <c r="E208" s="420"/>
      <c r="F208" s="420"/>
      <c r="G208" s="420"/>
      <c r="H208" s="420"/>
      <c r="I208" s="420"/>
      <c r="J208" s="420"/>
      <c r="K208" s="420"/>
      <c r="L208" s="420"/>
      <c r="M208" s="420"/>
      <c r="N208" s="420"/>
      <c r="O208" s="420"/>
      <c r="P208" s="420"/>
      <c r="Q208" s="420"/>
      <c r="R208" s="420"/>
      <c r="S208" s="420"/>
      <c r="T208" s="420"/>
      <c r="U208" s="420"/>
      <c r="V208" s="420"/>
      <c r="W208" s="420"/>
      <c r="X208" s="420"/>
      <c r="Y208" s="420"/>
      <c r="Z208" s="420"/>
      <c r="AA208" s="420"/>
      <c r="AB208" s="420"/>
      <c r="AC208" s="420"/>
      <c r="AD208" s="420"/>
      <c r="AE208" s="420"/>
      <c r="AF208" s="420"/>
      <c r="AG208" s="420"/>
      <c r="AH208" s="420"/>
      <c r="AI208" s="420"/>
    </row>
    <row r="209" spans="1:35">
      <c r="A209" s="420"/>
      <c r="B209" s="420"/>
      <c r="C209" s="420"/>
      <c r="D209" s="420"/>
      <c r="E209" s="420"/>
      <c r="F209" s="420"/>
      <c r="G209" s="420"/>
      <c r="H209" s="420"/>
      <c r="I209" s="420"/>
      <c r="J209" s="420"/>
      <c r="K209" s="420"/>
      <c r="L209" s="420"/>
      <c r="M209" s="420"/>
      <c r="N209" s="420"/>
      <c r="O209" s="420"/>
      <c r="P209" s="420"/>
      <c r="Q209" s="420"/>
      <c r="R209" s="420"/>
      <c r="S209" s="420"/>
      <c r="T209" s="420"/>
      <c r="U209" s="420"/>
      <c r="V209" s="420"/>
      <c r="W209" s="420"/>
      <c r="X209" s="420"/>
      <c r="Y209" s="420"/>
      <c r="Z209" s="420"/>
      <c r="AA209" s="420"/>
      <c r="AB209" s="420"/>
      <c r="AC209" s="420"/>
      <c r="AD209" s="420"/>
      <c r="AE209" s="420"/>
      <c r="AF209" s="420"/>
      <c r="AG209" s="420"/>
      <c r="AH209" s="420"/>
      <c r="AI209" s="420"/>
    </row>
    <row r="210" spans="1:35">
      <c r="A210" s="420"/>
      <c r="B210" s="420"/>
      <c r="C210" s="420"/>
      <c r="D210" s="420"/>
      <c r="E210" s="420"/>
      <c r="F210" s="420"/>
      <c r="G210" s="420"/>
      <c r="H210" s="420"/>
      <c r="I210" s="420"/>
      <c r="J210" s="420"/>
      <c r="K210" s="420"/>
      <c r="L210" s="420"/>
      <c r="M210" s="420"/>
      <c r="N210" s="420"/>
      <c r="O210" s="420"/>
      <c r="P210" s="420"/>
      <c r="Q210" s="420"/>
      <c r="R210" s="420"/>
      <c r="S210" s="420"/>
      <c r="T210" s="420"/>
      <c r="U210" s="420"/>
      <c r="V210" s="420"/>
      <c r="W210" s="420"/>
      <c r="X210" s="420"/>
      <c r="Y210" s="420"/>
      <c r="Z210" s="420"/>
      <c r="AA210" s="420"/>
      <c r="AB210" s="420"/>
      <c r="AC210" s="420"/>
      <c r="AD210" s="420"/>
      <c r="AE210" s="420"/>
      <c r="AF210" s="420"/>
      <c r="AG210" s="420"/>
      <c r="AH210" s="420"/>
      <c r="AI210" s="420"/>
    </row>
  </sheetData>
  <sheetProtection password="EFF1" sheet="1" objects="1" scenarios="1" selectLockedCells="1"/>
  <phoneticPr fontId="2" type="noConversion"/>
  <printOptions horizontalCentered="1"/>
  <pageMargins left="0.74803149606299213" right="0.74803149606299213" top="0.98425196850393704" bottom="0.98425196850393704" header="0.51181102362204722" footer="0.51181102362204722"/>
  <pageSetup paperSize="9" orientation="portrait" r:id="rId1"/>
  <headerFooter alignWithMargins="0">
    <oddHeader>&amp;L&amp;"Arial,Italic"ABCB Glazing Calculator • Help sheet&amp;R&amp;"Arial,Italic"printed &amp;D</oddHeader>
    <oddFooter>&amp;L&amp;"Arial,Italic"&amp;F&amp;R&amp;"Arial,Italic"page &amp;P of &amp;N</oddFooter>
  </headerFooter>
  <ignoredErrors>
    <ignoredError sqref="B64 B5" numberStoredAsText="1"/>
  </ignoredError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filterMode="1">
    <outlinePr showOutlineSymbols="0"/>
    <pageSetUpPr autoPageBreaks="0" fitToPage="1"/>
  </sheetPr>
  <dimension ref="A1:DL221"/>
  <sheetViews>
    <sheetView showOutlineSymbols="0" topLeftCell="A23" zoomScaleNormal="100" workbookViewId="0">
      <selection activeCell="D37" sqref="D37:E37"/>
    </sheetView>
  </sheetViews>
  <sheetFormatPr defaultRowHeight="12.75" outlineLevelRow="1" outlineLevelCol="1"/>
  <cols>
    <col min="1" max="1" width="1.7109375" customWidth="1"/>
    <col min="2" max="2" width="2.5703125" customWidth="1"/>
    <col min="3" max="3" width="3.42578125" customWidth="1"/>
    <col min="4" max="4" width="7" customWidth="1"/>
    <col min="5" max="5" width="14.42578125" customWidth="1"/>
    <col min="6" max="6" width="7.85546875" customWidth="1"/>
    <col min="7" max="8" width="6.5703125" customWidth="1"/>
    <col min="9" max="11" width="7.5703125" customWidth="1"/>
    <col min="12" max="13" width="5.7109375" customWidth="1"/>
    <col min="14" max="15" width="5.140625" customWidth="1"/>
    <col min="16" max="16" width="6.5703125" customWidth="1"/>
    <col min="17" max="17" width="6.85546875" customWidth="1"/>
    <col min="18" max="18" width="13.5703125" customWidth="1"/>
    <col min="19" max="19" width="6.85546875" customWidth="1"/>
    <col min="20" max="20" width="13.5703125" customWidth="1"/>
    <col min="21" max="21" width="1.7109375" customWidth="1"/>
    <col min="22" max="22" width="1.85546875" customWidth="1"/>
    <col min="23" max="23" width="1.7109375" hidden="1" customWidth="1"/>
    <col min="24" max="24" width="4.140625" hidden="1" customWidth="1" outlineLevel="1"/>
    <col min="25" max="25" width="5.85546875" hidden="1" customWidth="1" outlineLevel="1"/>
    <col min="26" max="26" width="6.140625" hidden="1" customWidth="1" outlineLevel="1"/>
    <col min="27" max="27" width="1.7109375" hidden="1" customWidth="1" outlineLevel="1"/>
    <col min="28" max="29" width="5.85546875" hidden="1" customWidth="1" outlineLevel="1"/>
    <col min="30" max="30" width="6.42578125" hidden="1" customWidth="1" outlineLevel="1"/>
    <col min="31" max="31" width="7.7109375" hidden="1" customWidth="1" outlineLevel="1"/>
    <col min="32" max="32" width="6.42578125" hidden="1" customWidth="1" outlineLevel="1"/>
    <col min="33" max="36" width="6.85546875" hidden="1" customWidth="1" outlineLevel="1"/>
    <col min="37" max="37" width="2.85546875" hidden="1" customWidth="1" outlineLevel="1"/>
    <col min="38" max="43" width="6.85546875" hidden="1" customWidth="1" outlineLevel="1"/>
    <col min="44" max="44" width="6.7109375" hidden="1" customWidth="1" outlineLevel="1"/>
    <col min="45" max="45" width="41.5703125" hidden="1" customWidth="1" outlineLevel="1"/>
    <col min="46" max="49" width="6.85546875" hidden="1" customWidth="1" outlineLevel="1"/>
    <col min="50" max="50" width="1.7109375" hidden="1" customWidth="1" collapsed="1"/>
    <col min="51" max="59" width="6.85546875" hidden="1" customWidth="1" outlineLevel="1"/>
    <col min="60" max="60" width="1.7109375" hidden="1" customWidth="1" outlineLevel="1"/>
    <col min="61" max="65" width="6.85546875" hidden="1" customWidth="1" outlineLevel="1"/>
    <col min="66" max="66" width="1.7109375" hidden="1" customWidth="1" collapsed="1"/>
    <col min="67" max="72" width="6.85546875" hidden="1" customWidth="1" outlineLevel="1"/>
    <col min="73" max="74" width="12" hidden="1" customWidth="1" outlineLevel="1"/>
    <col min="75" max="75" width="9.28515625" hidden="1" customWidth="1" collapsed="1"/>
    <col min="76" max="82" width="9.28515625" hidden="1" customWidth="1"/>
    <col min="83" max="116" width="9.28515625" customWidth="1"/>
  </cols>
  <sheetData>
    <row r="1" spans="1:116" hidden="1" outlineLevel="1">
      <c r="A1" s="4"/>
      <c r="B1" s="16" t="s">
        <v>14</v>
      </c>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row>
    <row r="2" spans="1:116" hidden="1" outlineLevel="1">
      <c r="A2" s="4"/>
      <c r="B2" s="7" t="s">
        <v>318</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row>
    <row r="3" spans="1:116" hidden="1" outlineLevel="1">
      <c r="A3" s="4"/>
      <c r="B3" s="7" t="s">
        <v>15</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row>
    <row r="4" spans="1:116" hidden="1" outlineLevel="1">
      <c r="A4" s="4"/>
      <c r="B4" s="7" t="s">
        <v>33</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row>
    <row r="5" spans="1:116" hidden="1" outlineLevel="1">
      <c r="A5" s="4"/>
      <c r="B5" s="7" t="s">
        <v>36</v>
      </c>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row>
    <row r="6" spans="1:116" hidden="1" outlineLevel="1">
      <c r="A6" s="4"/>
      <c r="B6" s="7"/>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row>
    <row r="7" spans="1:116" hidden="1" outlineLevel="1">
      <c r="A7" s="4"/>
      <c r="B7" s="7" t="s">
        <v>34</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row>
    <row r="8" spans="1:116" hidden="1" outlineLevel="1">
      <c r="A8" s="4"/>
      <c r="B8" s="7" t="s">
        <v>319</v>
      </c>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row>
    <row r="9" spans="1:116" hidden="1" outlineLevel="1">
      <c r="A9" s="4"/>
      <c r="B9" s="7" t="s">
        <v>29</v>
      </c>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row>
    <row r="10" spans="1:116" hidden="1" outlineLevel="1">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row>
    <row r="11" spans="1:116" hidden="1" outlineLevel="1">
      <c r="A11" s="4"/>
      <c r="B11" s="7" t="s">
        <v>17</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row>
    <row r="12" spans="1:116" hidden="1" outlineLevel="1">
      <c r="A12" s="4"/>
      <c r="B12" s="7" t="s">
        <v>16</v>
      </c>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row>
    <row r="13" spans="1:116" hidden="1" outlineLevel="1">
      <c r="A13" s="4"/>
      <c r="B13" s="7" t="s">
        <v>18</v>
      </c>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row>
    <row r="14" spans="1:116" hidden="1" outlineLevel="1">
      <c r="A14" s="4"/>
      <c r="B14" s="7"/>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row>
    <row r="15" spans="1:116" hidden="1" outlineLevel="1">
      <c r="A15" s="4"/>
      <c r="B15" s="7"/>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row>
    <row r="16" spans="1:116" hidden="1" outlineLevel="1">
      <c r="A16" s="4"/>
      <c r="B16" s="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row>
    <row r="17" spans="1:116" hidden="1" outlineLevel="1">
      <c r="A17" s="4"/>
      <c r="B17" s="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row>
    <row r="18" spans="1:116" hidden="1" outlineLevel="1">
      <c r="A18" s="4"/>
      <c r="B18" s="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row>
    <row r="19" spans="1:116" hidden="1" outlineLevel="1">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row>
    <row r="20" spans="1:116" hidden="1" outlineLevel="1">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row>
    <row r="21" spans="1:116" hidden="1" outlineLevel="1">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21"/>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row>
    <row r="22" spans="1:116" hidden="1" outlineLevel="1">
      <c r="A22" s="5"/>
      <c r="B22" s="5"/>
      <c r="C22" s="5"/>
      <c r="D22" s="5"/>
      <c r="E22" s="5"/>
      <c r="F22" s="5"/>
      <c r="G22" s="5"/>
      <c r="H22" s="5"/>
      <c r="I22" s="5"/>
      <c r="J22" s="5"/>
      <c r="K22" s="5"/>
      <c r="L22" s="5"/>
      <c r="M22" s="5"/>
      <c r="N22" s="5"/>
      <c r="O22" s="5"/>
      <c r="P22" s="5"/>
      <c r="Q22" s="5"/>
      <c r="R22" s="5"/>
      <c r="S22" s="5"/>
      <c r="T22" s="5"/>
      <c r="U22" s="5"/>
      <c r="V22" s="4"/>
      <c r="W22" s="4"/>
      <c r="X22" s="4"/>
      <c r="Y22" s="4"/>
      <c r="Z22" s="4"/>
      <c r="AA22" s="4"/>
      <c r="AB22" s="14"/>
      <c r="AC22" s="14"/>
      <c r="AD22" s="14"/>
      <c r="AE22" s="14"/>
      <c r="AF22" s="14"/>
      <c r="AG22" s="14"/>
      <c r="AH22" s="14"/>
      <c r="AI22" s="14"/>
      <c r="AJ22" s="14"/>
      <c r="AK22" s="14"/>
      <c r="AL22" s="14"/>
      <c r="AM22" s="14"/>
      <c r="AN22" s="14"/>
      <c r="AO22" s="14"/>
      <c r="AP22" s="14"/>
      <c r="AQ22" s="14"/>
      <c r="AR22" s="14"/>
      <c r="AS22" s="14"/>
      <c r="AT22" s="14"/>
      <c r="AU22" s="14"/>
      <c r="AV22" s="14"/>
      <c r="AW22" s="14"/>
      <c r="AX22" s="21"/>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row>
    <row r="23" spans="1:116" ht="25.5" collapsed="1">
      <c r="A23" s="101"/>
      <c r="B23" s="429" t="s">
        <v>374</v>
      </c>
      <c r="C23" s="138"/>
      <c r="D23" s="138"/>
      <c r="E23" s="138"/>
      <c r="F23" s="139"/>
      <c r="G23" s="139"/>
      <c r="H23" s="139"/>
      <c r="I23" s="139"/>
      <c r="J23" s="139"/>
      <c r="K23" s="139"/>
      <c r="L23" s="139"/>
      <c r="M23" s="139"/>
      <c r="N23" s="139"/>
      <c r="O23" s="139"/>
      <c r="P23" s="139"/>
      <c r="Q23" s="139"/>
      <c r="R23" s="139"/>
      <c r="S23" s="139"/>
      <c r="T23" s="139"/>
      <c r="U23" s="5"/>
      <c r="V23" s="6"/>
      <c r="W23" s="4"/>
      <c r="X23" s="4"/>
      <c r="Y23" s="21"/>
      <c r="Z23" s="82" t="s">
        <v>219</v>
      </c>
      <c r="AA23" s="4"/>
      <c r="AB23" s="230" t="s">
        <v>31</v>
      </c>
      <c r="AC23" s="231" t="e">
        <f>ROUND(AreaA/(AreaA+AreaB),2)</f>
        <v>#DIV/0!</v>
      </c>
      <c r="AD23" s="230" t="s">
        <v>32</v>
      </c>
      <c r="AE23" s="231" t="e">
        <f>ROUND(AreaB/(AreaA+AreaB),2)</f>
        <v>#DIV/0!</v>
      </c>
      <c r="AF23" s="67" t="s">
        <v>224</v>
      </c>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4"/>
      <c r="BM23" s="4"/>
      <c r="BN23" s="4"/>
      <c r="BO23" s="294" t="s">
        <v>243</v>
      </c>
      <c r="BP23" s="4"/>
      <c r="BQ23" s="4"/>
      <c r="BR23" s="4"/>
      <c r="BS23" s="21"/>
      <c r="BT23" s="21"/>
      <c r="BU23" s="21"/>
      <c r="BV23" s="21"/>
      <c r="BW23" s="21"/>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row>
    <row r="24" spans="1:116" hidden="1">
      <c r="B24" s="117"/>
      <c r="C24" s="117"/>
      <c r="D24" s="117"/>
      <c r="E24" s="366"/>
      <c r="F24" s="366"/>
      <c r="G24" s="366"/>
      <c r="H24" s="366"/>
      <c r="I24" s="367"/>
      <c r="J24" s="368"/>
      <c r="K24" s="366"/>
      <c r="L24" s="366"/>
      <c r="M24" s="366"/>
      <c r="N24" s="366"/>
      <c r="O24" s="366"/>
      <c r="P24" s="366"/>
      <c r="Q24" s="366"/>
      <c r="R24" s="295"/>
      <c r="S24" s="366"/>
      <c r="T24" s="366"/>
      <c r="U24" s="5"/>
      <c r="V24" s="6"/>
      <c r="W24" s="4"/>
      <c r="X24" s="4"/>
      <c r="Y24" s="21"/>
      <c r="Z24" s="4"/>
      <c r="AA24" s="4"/>
      <c r="AB24" s="4"/>
      <c r="AC24" s="4"/>
      <c r="AD24" s="4"/>
      <c r="AE24" s="4"/>
      <c r="AF24" s="4"/>
      <c r="AG24" s="4"/>
      <c r="AH24" s="4"/>
      <c r="AI24" s="21"/>
      <c r="AJ24" s="21"/>
      <c r="AK24" s="21"/>
      <c r="AL24" s="21"/>
      <c r="AM24" s="21"/>
      <c r="AN24" s="21"/>
      <c r="AO24" s="21"/>
      <c r="AP24" s="21"/>
      <c r="AQ24" s="21"/>
      <c r="AR24" s="21"/>
      <c r="AS24" s="21"/>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row>
    <row r="25" spans="1:116" ht="18.75" thickBot="1">
      <c r="A25" s="326" t="str">
        <f>IF(AND(F153=FALSE,F154=FALSE),"Building name/description","")</f>
        <v/>
      </c>
      <c r="B25" s="430" t="str">
        <f>IF(AND(F153=FALSE,F154=FALSE),"Building name/description","ENTER BUILDING NAME AND DESCRIPTION BELOW"&amp;IF(F153=TRUE," - identifying the particular part(s) covered by this assessment",""))</f>
        <v>ENTER BUILDING NAME AND DESCRIPTION BELOW - identifying the particular part(s) covered by this assessment</v>
      </c>
      <c r="M25" s="325"/>
      <c r="O25" s="315" t="str">
        <f>IF(AND(F155=FALSE,NoZoneTableActive=FALSE),"Climate zone","ENTER ZONE BELOW")</f>
        <v>Climate zone</v>
      </c>
      <c r="S25" s="239" t="s">
        <v>207</v>
      </c>
      <c r="T25" s="254" t="s">
        <v>208</v>
      </c>
      <c r="U25" s="5"/>
      <c r="V25" s="6"/>
      <c r="W25" s="4"/>
      <c r="X25" s="4"/>
      <c r="Y25" s="4"/>
      <c r="Z25" s="4"/>
      <c r="AA25" s="4"/>
      <c r="AB25" s="63" t="s">
        <v>63</v>
      </c>
      <c r="AC25" s="63" t="s">
        <v>64</v>
      </c>
      <c r="AD25" s="63" t="s">
        <v>65</v>
      </c>
      <c r="AE25" s="63" t="s">
        <v>66</v>
      </c>
      <c r="AF25" s="7" t="s">
        <v>67</v>
      </c>
      <c r="AG25" s="4"/>
      <c r="AH25" s="4"/>
      <c r="AI25" s="21"/>
      <c r="AJ25" s="21"/>
      <c r="AK25" s="21"/>
      <c r="AL25" s="21"/>
      <c r="AM25" s="21"/>
      <c r="AN25" s="21"/>
      <c r="AO25" s="21"/>
      <c r="AP25" s="21"/>
      <c r="AQ25" s="21"/>
      <c r="AR25" s="21"/>
      <c r="AS25" s="21"/>
      <c r="AT25" s="4"/>
      <c r="AU25" s="4"/>
      <c r="AV25" s="4"/>
      <c r="AW25" s="4"/>
      <c r="AX25" s="4"/>
      <c r="AY25" s="4"/>
      <c r="AZ25" s="4"/>
      <c r="BA25" s="4"/>
      <c r="BB25" s="4"/>
      <c r="BC25" s="4"/>
      <c r="BD25" s="4"/>
      <c r="BE25" s="4"/>
      <c r="BF25" s="4"/>
      <c r="BG25" s="4"/>
      <c r="BH25" s="4"/>
      <c r="BI25" s="4"/>
      <c r="BJ25" s="4"/>
      <c r="BK25" s="4"/>
      <c r="BL25" s="4"/>
      <c r="BM25" s="4"/>
      <c r="BN25" s="4"/>
      <c r="BO25" s="79" t="s">
        <v>229</v>
      </c>
      <c r="BP25" s="79" t="s">
        <v>228</v>
      </c>
      <c r="BQ25" s="4"/>
      <c r="BR25" s="4"/>
      <c r="BS25" s="4"/>
      <c r="BT25" s="4"/>
      <c r="BU25" s="4"/>
      <c r="BV25" s="258"/>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row>
    <row r="26" spans="1:116" ht="13.5" thickBot="1">
      <c r="B26" s="705"/>
      <c r="C26" s="706"/>
      <c r="D26" s="706"/>
      <c r="E26" s="706"/>
      <c r="F26" s="706"/>
      <c r="G26" s="706"/>
      <c r="H26" s="706"/>
      <c r="I26" s="706"/>
      <c r="J26" s="706"/>
      <c r="K26" s="706"/>
      <c r="L26" s="706"/>
      <c r="M26" s="707"/>
      <c r="N26" s="112"/>
      <c r="O26" s="478"/>
      <c r="R26" s="253" t="str">
        <f>IF(COUNT(F28:F29)&gt;1,"FLOOR WEIGHTED ","")&amp;"CONSTANTS"</f>
        <v>CONSTANTS</v>
      </c>
      <c r="S26" s="240" t="str">
        <f>IF(OR(AND(ActiveA=TRUE,CuA&gt;0),AND(ActiveB=TRUE,CuB&gt;0)),CuWeighted,"")</f>
        <v/>
      </c>
      <c r="T26" s="241" t="str">
        <f>IF(OR(AND(ActiveA=TRUE,CshgcA&gt;0),AND(ActiveB=TRUE,CshgcB&gt;0)),CshgcWeighted,"")</f>
        <v/>
      </c>
      <c r="U26" s="5" t="s">
        <v>162</v>
      </c>
      <c r="V26" s="6"/>
      <c r="W26" s="4"/>
      <c r="X26" s="4"/>
      <c r="Y26" s="4"/>
      <c r="Z26" s="4"/>
      <c r="AA26" s="87" t="s">
        <v>220</v>
      </c>
      <c r="AB26" s="244">
        <f>IF(AND(Zone&gt;0,ActiveA=TRUE),INDEX(ConstantsA,1,Zone,1),0)</f>
        <v>0</v>
      </c>
      <c r="AC26" s="242">
        <f>IF(AND(Zone&gt;0,ActiveA=TRUE),INDEX(ConstantsA,2,Zone,1),0)</f>
        <v>0</v>
      </c>
      <c r="AD26" s="243">
        <f>IF(AND(Zone&gt;0,ActiveB=TRUE),INDEX(ConstantsB,1,Zone,1),0)</f>
        <v>0</v>
      </c>
      <c r="AE26" s="242">
        <f>IF(AND(Zone&gt;0,ActiveB=TRUE),INDEX(ConstantsB,2,Zone,1),0)</f>
        <v>0</v>
      </c>
      <c r="AF26" s="67" t="s">
        <v>221</v>
      </c>
      <c r="AG26" s="7" t="s">
        <v>223</v>
      </c>
      <c r="AH26" s="4"/>
      <c r="AI26" s="21"/>
      <c r="AJ26" s="21"/>
      <c r="AK26" s="21"/>
      <c r="AL26" s="21"/>
      <c r="AM26" s="21"/>
      <c r="AN26" s="21"/>
      <c r="AO26" s="21"/>
      <c r="AP26" s="21"/>
      <c r="AQ26" s="21"/>
      <c r="AR26" s="17">
        <f t="array" aca="1" ref="AR26" ca="1">COUNT(IF(AR37:AR116&gt;0,IF(AC37:AC116=FALSE,AR37:AR116)))+UpperInputsIssues</f>
        <v>0</v>
      </c>
      <c r="AS26" s="67" t="s">
        <v>337</v>
      </c>
      <c r="AT26" s="4"/>
      <c r="AU26" s="4"/>
      <c r="AV26" s="4"/>
      <c r="AW26" s="4"/>
      <c r="AX26" s="4"/>
      <c r="AY26" s="4"/>
      <c r="AZ26" s="4"/>
      <c r="BA26" s="4"/>
      <c r="BB26" s="4"/>
      <c r="BC26" s="4"/>
      <c r="BD26" s="4"/>
      <c r="BE26" s="4"/>
      <c r="BF26" s="4"/>
      <c r="BG26" s="4"/>
      <c r="BH26" s="4"/>
      <c r="BI26" s="4"/>
      <c r="BJ26" s="4"/>
      <c r="BK26" s="4"/>
      <c r="BL26" s="4"/>
      <c r="BM26" s="4"/>
      <c r="BN26" s="4"/>
      <c r="BO26" s="77">
        <f ca="1">IF(ConductanceAccess=0,0,SUMIF(AC37:AC116,"=true",BO37:BO116)/ConductanceAccess)</f>
        <v>0</v>
      </c>
      <c r="BP26" s="77">
        <f>SUMIF(AC37:AC116,"=true",BP37:BP116)</f>
        <v>0</v>
      </c>
      <c r="BQ26" s="293" t="s">
        <v>242</v>
      </c>
      <c r="BR26" s="4"/>
      <c r="BS26" s="4"/>
      <c r="BT26" s="4"/>
      <c r="BU26" s="4"/>
      <c r="BV26" s="258"/>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row>
    <row r="27" spans="1:116" ht="18.75" thickBot="1">
      <c r="A27" s="326"/>
      <c r="B27" s="430" t="str">
        <f>IF(AND(F158=FALSE,F159=FALSE),"Storey","ENTER STOREY")</f>
        <v>Storey</v>
      </c>
      <c r="C27" s="10"/>
      <c r="D27" s="325"/>
      <c r="E27" s="237" t="s">
        <v>298</v>
      </c>
      <c r="F27" s="434" t="str">
        <f>IF(AND(EmptyA=FALSE,F164=FALSE),"     Area","ENTER AREA(S) BELOW")</f>
        <v xml:space="preserve">     Area</v>
      </c>
      <c r="H27" s="430"/>
      <c r="R27" s="447" t="str">
        <f ca="1">IF(UpperInputsFlagged&gt;0,"",IF(WallConcession=NoWallConcession,"","CONSTANT REDUCED BY"))</f>
        <v/>
      </c>
      <c r="S27" s="401" t="str">
        <f>IF(OR(ISBLANK(WallConcession),UpperInputsAlerts&gt;0),"",INDEX(H198:H209,MATCH(WallConcession,F198:F209,0),1))</f>
        <v/>
      </c>
      <c r="T27" s="449" t="str">
        <f ca="1">IF(OR(ISBLANK(WallConcession),UpperInputsFlagged&gt;0),"",INDEX(I198:I209,MATCH(WallConcession,F198:F209,0),1))</f>
        <v/>
      </c>
      <c r="U27" s="5"/>
      <c r="V27" s="6"/>
      <c r="W27" s="4"/>
      <c r="X27" s="4"/>
      <c r="Y27" s="4"/>
      <c r="Z27" s="4"/>
      <c r="AA27" s="87" t="s">
        <v>222</v>
      </c>
      <c r="AB27" s="245">
        <f>IF(ISBLANK(AirMovement),0,IF(AirMovement="Standard",1,IF(AirMovement="High",2,AirMovement)))</f>
        <v>0</v>
      </c>
      <c r="AC27" s="247" t="str">
        <f>IF(AirMovement="Standard","S",IF(AirMovement="High","H",IF(AND(AirMovement&gt;1,AirMovement&lt;2),"S","n/a")))</f>
        <v>n/a</v>
      </c>
      <c r="AD27" s="4"/>
      <c r="AE27" s="4"/>
      <c r="AF27" s="4"/>
      <c r="AG27" s="4"/>
      <c r="AH27" s="4"/>
      <c r="AI27" s="21"/>
      <c r="AJ27" s="21"/>
      <c r="AK27" s="21"/>
      <c r="AL27" s="21"/>
      <c r="AM27" s="21"/>
      <c r="AN27" s="21"/>
      <c r="AO27" s="21"/>
      <c r="AP27" s="21"/>
      <c r="AQ27" s="21"/>
      <c r="AR27" s="21"/>
      <c r="AS27" s="21"/>
      <c r="AT27" s="4"/>
      <c r="AU27" s="4"/>
      <c r="AV27" s="4"/>
      <c r="AW27" s="4"/>
      <c r="AX27" s="4"/>
      <c r="AY27" s="4"/>
      <c r="AZ27" s="4"/>
      <c r="BA27" s="4"/>
      <c r="BB27" s="4"/>
      <c r="BC27" s="4"/>
      <c r="BD27" s="4"/>
      <c r="BE27" s="4"/>
      <c r="BF27" s="4"/>
      <c r="BG27" s="4"/>
      <c r="BH27" s="4"/>
      <c r="BI27" s="4"/>
      <c r="BJ27" s="4"/>
      <c r="BK27" s="4"/>
      <c r="BL27" s="4"/>
      <c r="BM27" s="4"/>
      <c r="BN27" s="4"/>
      <c r="BO27" s="77" t="e">
        <f ca="1">AllowedCond-BO26</f>
        <v>#DIV/0!</v>
      </c>
      <c r="BP27" s="77" t="e">
        <f ca="1">AllowedSHG-BP26</f>
        <v>#VALUE!</v>
      </c>
      <c r="BQ27" s="30" t="s">
        <v>240</v>
      </c>
      <c r="BR27" s="4"/>
      <c r="BS27" s="4"/>
      <c r="BT27" s="4"/>
      <c r="BU27" s="4"/>
      <c r="BV27" s="76" t="s">
        <v>344</v>
      </c>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row>
    <row r="28" spans="1:116" ht="13.5" thickBot="1">
      <c r="B28" s="713"/>
      <c r="C28" s="714"/>
      <c r="D28" s="715"/>
      <c r="E28" s="238" t="s">
        <v>307</v>
      </c>
      <c r="F28" s="479"/>
      <c r="H28" s="267" t="str">
        <f ca="1">IF(OR(F165=TRUE,F170=TRUE,F171=TRUE),"SELECT BELOW THE WALL INSULATION OPTION CHOSEN FOR 3.12.1.4","Wall insulation option chosen for 3.12.1.4")</f>
        <v>Wall insulation option chosen for 3.12.1.4</v>
      </c>
      <c r="I28" s="107"/>
      <c r="J28" s="107"/>
      <c r="K28" s="107"/>
      <c r="L28" s="107"/>
      <c r="M28" s="108"/>
      <c r="N28" s="108"/>
      <c r="O28" s="108"/>
      <c r="P28" s="108"/>
      <c r="R28" s="253" t="str">
        <f ca="1">IF(UpperInputsFlagged&gt;0,"",IF(WallConcession=NoWallConcession,"","ADJUSTED CONSTANT"))</f>
        <v/>
      </c>
      <c r="S28" s="296" t="str">
        <f ca="1">IF(UpperInputsFlagged&gt;0,"",IF(S27=0,0,S26*(1-S27)))</f>
        <v/>
      </c>
      <c r="T28" s="296" t="str">
        <f ca="1">IF(UpperInputsFlagged&gt;0,"",IF(T27=0,0,T26*(1-T27)))</f>
        <v/>
      </c>
      <c r="U28" s="22"/>
      <c r="V28" s="6"/>
      <c r="W28" s="4"/>
      <c r="X28" s="4"/>
      <c r="Y28" s="4"/>
      <c r="Z28" s="4"/>
      <c r="AA28" s="87" t="s">
        <v>160</v>
      </c>
      <c r="AB28" s="246" t="e">
        <f>INDEX(ConstantsA,2,Zone,2)-INDEX(ConstantsA,2,Zone,1)</f>
        <v>#VALUE!</v>
      </c>
      <c r="AC28" s="234" t="e">
        <f>IF(SuffixAir="High",INDEX(ConstantsA,2,Zone,2),CshgcA+(MultipleAir-1)*DifferenceA)</f>
        <v>#VALUE!</v>
      </c>
      <c r="AD28" s="236" t="e">
        <f>INDEX(ConstantsB,2,Zone,2)-INDEX(ConstantsB,2,Zone,1)</f>
        <v>#VALUE!</v>
      </c>
      <c r="AE28" s="234" t="e">
        <f>IF(SuffixAir="High",INDEX(ConstantsB,2,Zone,2),CshgcB+(MultipleAir-1)*DifferenceB)</f>
        <v>#VALUE!</v>
      </c>
      <c r="AF28" s="67" t="s">
        <v>161</v>
      </c>
      <c r="AG28" s="4"/>
      <c r="AH28" s="4"/>
      <c r="AI28" s="21"/>
      <c r="AJ28" s="21"/>
      <c r="AK28" s="21"/>
      <c r="AL28" s="21"/>
      <c r="AM28" s="21"/>
      <c r="AN28" s="21"/>
      <c r="AO28" s="21"/>
      <c r="AP28" s="21"/>
      <c r="AQ28" s="21"/>
      <c r="AR28" s="324" t="s">
        <v>119</v>
      </c>
      <c r="AS28" s="21"/>
      <c r="AT28" s="4"/>
      <c r="AU28" s="4"/>
      <c r="AV28" s="4"/>
      <c r="AW28" s="4"/>
      <c r="AX28" s="4"/>
      <c r="AY28" s="4"/>
      <c r="AZ28" s="4"/>
      <c r="BA28" s="4"/>
      <c r="BB28" s="4"/>
      <c r="BC28" s="4"/>
      <c r="BD28" s="4"/>
      <c r="BE28" s="4"/>
      <c r="BF28" s="4"/>
      <c r="BG28" s="4"/>
      <c r="BH28" s="4"/>
      <c r="BI28" s="4"/>
      <c r="BJ28" s="4"/>
      <c r="BK28" s="4"/>
      <c r="BL28" s="4"/>
      <c r="BM28" s="4"/>
      <c r="BN28" s="4"/>
      <c r="BO28" s="252" t="e">
        <f ca="1">IF(OR(BO26/AllowedCond&lt;0.01,BO26/AllowedCond&gt;1),ROUNDUP(BO26/AllowedCond,2),BO26/AllowedCond)</f>
        <v>#DIV/0!</v>
      </c>
      <c r="BP28" s="252" t="e">
        <f ca="1">IF(OR(BP26/AllowedSHG&lt;0.01,BP26/AllowedSHG&gt;1),ROUNDUP(BP26/AllowedSHG,2),BP26/AllowedSHG)</f>
        <v>#VALUE!</v>
      </c>
      <c r="BQ28" s="30" t="s">
        <v>130</v>
      </c>
      <c r="BR28" s="4"/>
      <c r="BS28" s="4"/>
      <c r="BT28" s="4"/>
      <c r="BU28" s="4"/>
      <c r="BV28" s="7" t="s">
        <v>117</v>
      </c>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row>
    <row r="29" spans="1:116" ht="13.5" thickBot="1">
      <c r="B29" s="433" t="str">
        <f>IF(AND(VentPending=FALSE,OrphanVent=FALSE),"Air Movement","AIR MOVEMENT")</f>
        <v>Air Movement</v>
      </c>
      <c r="E29" s="238" t="s">
        <v>308</v>
      </c>
      <c r="F29" s="480"/>
      <c r="H29" s="708"/>
      <c r="I29" s="709"/>
      <c r="J29" s="709"/>
      <c r="K29" s="709"/>
      <c r="L29" s="709"/>
      <c r="M29" s="709"/>
      <c r="N29" s="709"/>
      <c r="O29" s="710"/>
      <c r="P29" s="108"/>
      <c r="S29" s="249" t="s">
        <v>207</v>
      </c>
      <c r="T29" s="96" t="s">
        <v>70</v>
      </c>
      <c r="U29" s="22"/>
      <c r="V29" s="6"/>
      <c r="W29" s="4"/>
      <c r="X29" s="229" t="str">
        <f>IF(Zone=1,"x Area","(only)")</f>
        <v>(only)</v>
      </c>
      <c r="Y29" s="67" t="s">
        <v>288</v>
      </c>
      <c r="Z29" s="228"/>
      <c r="AA29" s="4"/>
      <c r="AB29" s="233" t="e">
        <f>CuA*AreaApercent+CuB*AreaBpercent</f>
        <v>#DIV/0!</v>
      </c>
      <c r="AC29" s="235" t="e">
        <f>InterpolatedA*AreaApercent+InterpolatedB*AreaBpercent</f>
        <v>#VALUE!</v>
      </c>
      <c r="AD29" s="67" t="s">
        <v>225</v>
      </c>
      <c r="AE29" s="67"/>
      <c r="AF29" s="232"/>
      <c r="AG29" s="4"/>
      <c r="AH29" s="4"/>
      <c r="AI29" s="4"/>
      <c r="AJ29" s="4"/>
      <c r="AK29" s="4"/>
      <c r="AL29" s="4"/>
      <c r="AM29" s="4"/>
      <c r="AN29" s="4"/>
      <c r="AO29" s="4"/>
      <c r="AP29" s="4"/>
      <c r="AQ29" s="4"/>
      <c r="AR29" s="100" t="b">
        <f ca="1">AR26=0</f>
        <v>1</v>
      </c>
      <c r="AS29" s="406"/>
      <c r="AT29" s="4"/>
      <c r="AU29" s="4"/>
      <c r="AV29" s="4"/>
      <c r="AW29" s="4"/>
      <c r="AX29" s="4"/>
      <c r="AY29" s="4"/>
      <c r="AZ29" s="4"/>
      <c r="BA29" s="4"/>
      <c r="BB29" s="4"/>
      <c r="BC29" s="4"/>
      <c r="BD29" s="4"/>
      <c r="BE29" s="4"/>
      <c r="BF29" s="4"/>
      <c r="BG29" s="4"/>
      <c r="BH29" s="4"/>
      <c r="BI29" s="4"/>
      <c r="BJ29" s="4"/>
      <c r="BK29" s="4"/>
      <c r="BL29" s="4"/>
      <c r="BM29" s="4"/>
      <c r="BN29" s="4"/>
      <c r="BO29" s="83" t="e">
        <f ca="1">IF(BO27&lt;0,COUNTIF(AC37:AC116,"true"),0)</f>
        <v>#DIV/0!</v>
      </c>
      <c r="BP29" s="83" t="e">
        <f ca="1">IF(BP27&lt;0,COUNTIF(AC37:AC116,"true"),0)</f>
        <v>#VALUE!</v>
      </c>
      <c r="BQ29" s="30" t="s">
        <v>241</v>
      </c>
      <c r="BR29" s="4"/>
      <c r="BS29" s="4"/>
      <c r="BT29" s="4"/>
      <c r="BU29" s="4"/>
      <c r="BV29" s="48" t="s">
        <v>246</v>
      </c>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row>
    <row r="30" spans="1:116" ht="13.5" thickBot="1">
      <c r="A30" s="5"/>
      <c r="B30" s="716"/>
      <c r="C30" s="717"/>
      <c r="D30" s="718"/>
      <c r="E30" s="146" t="str">
        <f>IF(AreaA+AreaB&gt;0,"Area of storey ","")</f>
        <v/>
      </c>
      <c r="F30" s="248">
        <f>AreaA+AreaB</f>
        <v>0</v>
      </c>
      <c r="H30" s="448" t="str">
        <f ca="1">H170</f>
        <v/>
      </c>
      <c r="R30" s="253" t="s">
        <v>94</v>
      </c>
      <c r="S30" s="395" t="str">
        <f ca="1">IF(UpperInputsFlagged&gt;0,"",AllowedCond)</f>
        <v/>
      </c>
      <c r="T30" s="396" t="str">
        <f ca="1">IF(UpperInputsFlagged&gt;0,"",AllowedSHG)</f>
        <v/>
      </c>
      <c r="U30" s="22"/>
      <c r="V30" s="6"/>
      <c r="W30" s="4"/>
      <c r="X30" s="4"/>
      <c r="Y30" s="4"/>
      <c r="Z30" s="4"/>
      <c r="AA30" s="87" t="s">
        <v>244</v>
      </c>
      <c r="AB30" s="268" t="e">
        <f>ROUND(CuWeighted*(1-S27)*IF(Zone=1,AreaAll,1),1)</f>
        <v>#DIV/0!</v>
      </c>
      <c r="AC30" s="251" t="e">
        <f ca="1">ROUND(CshgcWeighted*(1-T27)*AreaAll,1)</f>
        <v>#VALUE!</v>
      </c>
      <c r="AD30" s="67" t="s">
        <v>230</v>
      </c>
      <c r="AE30" s="67"/>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84" t="b">
        <f ca="1">IF(ISERR(FailedCondA),FALSE,AND(RowsActive&gt;0,RowsActive=RowsOK,DudTableInputs=0,FailedCondA=0))</f>
        <v>0</v>
      </c>
      <c r="BP30" s="84" t="b">
        <f ca="1">IF(ISERR(FailedSHG),FALSE,AND(RowsActive&gt;0,RowsActive=RowsOK,DudTableInputs=0,FailedSHGA=0))</f>
        <v>0</v>
      </c>
      <c r="BQ30" s="7" t="s">
        <v>303</v>
      </c>
      <c r="BR30" s="4"/>
      <c r="BS30" s="4"/>
      <c r="BT30" s="4"/>
      <c r="BU30" s="4"/>
      <c r="BV30" s="258"/>
      <c r="BW30" s="258"/>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row>
    <row r="31" spans="1:116" ht="13.5" thickBot="1">
      <c r="A31" s="5"/>
      <c r="B31" s="144"/>
      <c r="C31" s="5"/>
      <c r="D31" s="5"/>
      <c r="E31" s="298" t="str">
        <f>IF(GlazingAreaAll=0,"","Area of glazing ")</f>
        <v/>
      </c>
      <c r="F31" s="299">
        <f>GlazingAreaAll</f>
        <v>0</v>
      </c>
      <c r="G31" s="300" t="str">
        <f>IF(GlazingAreaAll=0,"",IF(OR(ActiveA=TRUE,ActiveB=TRUE),"("&amp;TEXT(GlazingAreaAll/AreaAll,"0%")&amp;" of area of storey)",""))</f>
        <v/>
      </c>
      <c r="H31" s="446"/>
      <c r="I31" s="91"/>
      <c r="J31" s="91"/>
      <c r="K31" s="91"/>
      <c r="L31" s="91"/>
      <c r="M31" s="91"/>
      <c r="N31" s="22"/>
      <c r="O31" s="22"/>
      <c r="P31" s="22"/>
      <c r="Q31" s="22"/>
      <c r="R31" s="22"/>
      <c r="S31" s="91"/>
      <c r="T31" s="91"/>
      <c r="U31" s="22"/>
      <c r="V31" s="6"/>
      <c r="W31" s="4"/>
      <c r="X31" s="4"/>
      <c r="Y31" s="4"/>
      <c r="Z31" s="4"/>
      <c r="AA31" s="4"/>
      <c r="AB31" s="4"/>
      <c r="AC31" s="324" t="s">
        <v>245</v>
      </c>
      <c r="AD31" s="4"/>
      <c r="AE31" s="4"/>
      <c r="AF31" s="400"/>
      <c r="AG31" s="324" t="s">
        <v>76</v>
      </c>
      <c r="AH31" s="4"/>
      <c r="AI31" s="30"/>
      <c r="AJ31" s="324" t="s">
        <v>77</v>
      </c>
      <c r="AK31" s="67"/>
      <c r="AL31" s="4"/>
      <c r="AM31" s="324" t="s">
        <v>78</v>
      </c>
      <c r="AN31" s="67"/>
      <c r="AO31" s="4"/>
      <c r="AP31" s="324" t="s">
        <v>92</v>
      </c>
      <c r="AQ31" s="4"/>
      <c r="AR31" s="324" t="s">
        <v>115</v>
      </c>
      <c r="AS31" s="102"/>
      <c r="AT31" s="4"/>
      <c r="AU31" s="4"/>
      <c r="AV31" s="4"/>
      <c r="AW31" s="67" t="s">
        <v>104</v>
      </c>
      <c r="AX31" s="4"/>
      <c r="AY31" s="4"/>
      <c r="AZ31" s="4"/>
      <c r="BA31" s="4"/>
      <c r="BB31" s="4"/>
      <c r="BC31" s="4"/>
      <c r="BD31" s="4"/>
      <c r="BE31" s="4"/>
      <c r="BF31" s="4"/>
      <c r="BG31" s="4"/>
      <c r="BH31" s="4"/>
      <c r="BI31" s="4"/>
      <c r="BJ31" s="4"/>
      <c r="BK31" s="4"/>
      <c r="BL31" s="4"/>
      <c r="BM31" s="4"/>
      <c r="BN31" s="4"/>
      <c r="BO31" s="87" t="s">
        <v>100</v>
      </c>
      <c r="BP31" s="48" t="s">
        <v>99</v>
      </c>
      <c r="BQ31" s="4"/>
      <c r="BR31" s="4"/>
      <c r="BS31" s="4"/>
      <c r="BT31" s="4"/>
      <c r="BU31" s="4"/>
      <c r="BV31" s="258"/>
      <c r="BW31" s="258"/>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row>
    <row r="32" spans="1:116" ht="27" thickTop="1" thickBot="1">
      <c r="A32" s="5"/>
      <c r="B32" s="413" t="s">
        <v>335</v>
      </c>
      <c r="E32" s="5"/>
      <c r="F32" s="481">
        <v>40</v>
      </c>
      <c r="G32" s="301" t="str">
        <f>IF(RowsPreferred&gt;RowsAvailable,"Not possible - maximum number available is "&amp;RowsAvailable,IF(RowsPreferred&lt;MAX(1,LastActive),"Too few - rows with calculation data will be hidden",IF(RowsPreferred&lt;&gt;RowsDisplayed,"Click arrow beside 'ID'. Select only '"&amp;RowsPreferred&amp;"' on the drop-down list","(as currently displayed)")))</f>
        <v>(as currently displayed)</v>
      </c>
      <c r="I32" s="22"/>
      <c r="J32" s="22"/>
      <c r="K32" s="22"/>
      <c r="L32" s="22"/>
      <c r="M32" s="22"/>
      <c r="N32" s="461" t="str">
        <f ca="1">IF(AND(RowsActive&gt;0,InputIssues&gt;0),"Calculator outcomes hidden until input "&amp;IF(AdviceIssuesOnly=TRUE,"alert","issue")&amp;IF(InputIssues=1," is","s are")&amp;" cleared","")</f>
        <v/>
      </c>
      <c r="O32" s="431"/>
      <c r="P32" s="431"/>
      <c r="Q32" s="431"/>
      <c r="R32" s="431"/>
      <c r="S32" s="431"/>
      <c r="T32" s="432"/>
      <c r="U32" s="380"/>
      <c r="V32" s="6"/>
      <c r="W32" s="4"/>
      <c r="X32" s="140" t="s">
        <v>139</v>
      </c>
      <c r="Y32" s="4"/>
      <c r="Z32" s="4"/>
      <c r="AA32" s="4"/>
      <c r="AB32" s="4"/>
      <c r="AC32" s="407">
        <f>ROUND(SUMIF(AC37:AC116,TRUE,AreaUsed),1)</f>
        <v>0</v>
      </c>
      <c r="AD32" s="67"/>
      <c r="AE32" s="67"/>
      <c r="AF32" s="4"/>
      <c r="AG32" s="17">
        <f>SUM(AG35:AH35)</f>
        <v>0</v>
      </c>
      <c r="AH32" s="4"/>
      <c r="AI32" s="4"/>
      <c r="AJ32" s="20">
        <f>SUM(AJ35:AL35)</f>
        <v>0</v>
      </c>
      <c r="AK32" s="4"/>
      <c r="AL32" s="4"/>
      <c r="AM32" s="17">
        <f>SUM(AM35:AO35)</f>
        <v>0</v>
      </c>
      <c r="AN32" s="4"/>
      <c r="AO32" s="4"/>
      <c r="AP32" s="17">
        <f>SUM(NoSector,DudSize,DudPerformance,DudShading)</f>
        <v>0</v>
      </c>
      <c r="AQ32" s="4"/>
      <c r="AR32" s="99" t="b">
        <f ca="1">AND(RowsActive&gt;0,DudTableInputs=0,InputIssues=0,ConductanceAccess&gt;0)</f>
        <v>0</v>
      </c>
      <c r="AS32" s="97" t="s">
        <v>116</v>
      </c>
      <c r="AT32" s="4"/>
      <c r="AU32" s="4"/>
      <c r="AV32" s="4"/>
      <c r="AW32" s="17">
        <f>SUMIF(AC37:AC116,FALSE,AD37:AD116)</f>
        <v>0</v>
      </c>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row>
    <row r="33" spans="1:116" ht="6" customHeight="1" thickTop="1" thickBot="1">
      <c r="A33" s="5"/>
      <c r="B33" s="5"/>
      <c r="C33" s="5"/>
      <c r="D33" s="5"/>
      <c r="E33" s="5"/>
      <c r="F33" s="90"/>
      <c r="G33" s="91"/>
      <c r="H33" s="91"/>
      <c r="I33" s="91"/>
      <c r="J33" s="91"/>
      <c r="K33" s="91"/>
      <c r="L33" s="91"/>
      <c r="M33" s="91"/>
      <c r="N33" s="22"/>
      <c r="O33" s="22"/>
      <c r="P33" s="22"/>
      <c r="Q33" s="22"/>
      <c r="R33" s="22"/>
      <c r="S33" s="22"/>
      <c r="T33" s="22"/>
      <c r="U33" s="379"/>
      <c r="V33" s="6"/>
      <c r="W33" s="4"/>
      <c r="X33" s="4"/>
      <c r="Y33" s="4"/>
      <c r="Z33" s="4"/>
      <c r="AA33" s="4"/>
      <c r="AB33" s="4"/>
      <c r="AC33" s="4"/>
      <c r="AD33" s="4"/>
      <c r="AE33" s="4"/>
      <c r="AF33" s="87"/>
      <c r="AG33" s="67"/>
      <c r="AH33" s="4"/>
      <c r="AI33" s="30"/>
      <c r="AJ33" s="67"/>
      <c r="AK33" s="67"/>
      <c r="AL33" s="4"/>
      <c r="AM33" s="67"/>
      <c r="AN33" s="67"/>
      <c r="AO33" s="4"/>
      <c r="AP33" s="67"/>
      <c r="AQ33" s="4"/>
      <c r="AR33" s="4"/>
      <c r="AS33" s="4"/>
      <c r="AT33" s="4"/>
      <c r="AU33" s="4"/>
      <c r="AV33" s="4"/>
      <c r="AW33" s="48"/>
      <c r="AX33" s="4"/>
      <c r="AY33" s="4"/>
      <c r="AZ33" s="4"/>
      <c r="BA33" s="4"/>
      <c r="BB33" s="4"/>
      <c r="BC33" s="4"/>
      <c r="BD33" s="4"/>
      <c r="BE33" s="4"/>
      <c r="BF33" s="4"/>
      <c r="BG33" s="19"/>
      <c r="BH33" s="19"/>
      <c r="BI33" s="19"/>
      <c r="BJ33" s="19"/>
      <c r="BK33" s="19"/>
      <c r="BL33" s="19"/>
      <c r="BM33" s="19"/>
      <c r="BN33" s="19"/>
      <c r="BO33" s="19"/>
      <c r="BP33" s="19"/>
      <c r="BQ33" s="19"/>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row>
    <row r="34" spans="1:116" ht="15">
      <c r="A34" s="226"/>
      <c r="B34" s="435" t="str">
        <f ca="1">IF(AND(TopInputsOK=TRUE,TableEntries&gt;=RowsActive),"ENTER GLAZING DETAILS IN THIS TABLE. Input above and arrow at 'ID' alters number of rows.","GLAZING ELEMENTS, ORIENTATION SECTOR, SIZE and PERFORMANCE CHARACTERISTICS")</f>
        <v>GLAZING ELEMENTS, ORIENTATION SECTOR, SIZE and PERFORMANCE CHARACTERISTICS</v>
      </c>
      <c r="C34" s="436"/>
      <c r="D34" s="436"/>
      <c r="E34" s="436"/>
      <c r="F34" s="437"/>
      <c r="G34" s="437"/>
      <c r="H34" s="437"/>
      <c r="I34" s="437"/>
      <c r="J34" s="437"/>
      <c r="K34" s="438"/>
      <c r="L34" s="439" t="s">
        <v>13</v>
      </c>
      <c r="M34" s="438"/>
      <c r="N34" s="439" t="s">
        <v>51</v>
      </c>
      <c r="O34" s="439"/>
      <c r="P34" s="440"/>
      <c r="Q34" s="690" t="str">
        <f ca="1">"CALCULATED OUTCOMES"&amp;IF(AND(AllInputsOK=TRUE,ShowPassCond=TRUE,ShowPassSHG=TRUE)," - OK (if inputs are valid)","")</f>
        <v>CALCULATED OUTCOMES</v>
      </c>
      <c r="R34" s="691"/>
      <c r="S34" s="691"/>
      <c r="T34" s="692"/>
      <c r="U34" s="5"/>
      <c r="V34" s="6"/>
      <c r="W34" s="4"/>
      <c r="X34" s="48" t="s">
        <v>126</v>
      </c>
      <c r="Y34" s="98"/>
      <c r="Z34" s="4"/>
      <c r="AA34" s="4"/>
      <c r="AB34" s="87" t="s">
        <v>95</v>
      </c>
      <c r="AC34" s="67" t="s">
        <v>97</v>
      </c>
      <c r="AD34" s="48" t="s">
        <v>105</v>
      </c>
      <c r="AE34" s="48"/>
      <c r="AF34" s="87" t="s">
        <v>102</v>
      </c>
      <c r="AG34" s="302" t="s">
        <v>27</v>
      </c>
      <c r="AH34" s="303"/>
      <c r="AI34" s="304"/>
      <c r="AJ34" s="302" t="str">
        <f>J35</f>
        <v>Performance</v>
      </c>
      <c r="AK34" s="305"/>
      <c r="AL34" s="304"/>
      <c r="AM34" s="302" t="str">
        <f>L34</f>
        <v>SHADING</v>
      </c>
      <c r="AN34" s="305"/>
      <c r="AO34" s="304"/>
      <c r="AP34" s="67" t="s">
        <v>98</v>
      </c>
      <c r="AQ34" s="4"/>
      <c r="AR34" s="324" t="s">
        <v>114</v>
      </c>
      <c r="AS34" s="4"/>
      <c r="AT34" s="4"/>
      <c r="AU34" s="4"/>
      <c r="AV34" s="4"/>
      <c r="AW34" s="48" t="s">
        <v>96</v>
      </c>
      <c r="AX34" s="4"/>
      <c r="AY34" s="4"/>
      <c r="AZ34" s="4"/>
      <c r="BA34" s="4"/>
      <c r="BB34" s="4"/>
      <c r="BC34" s="4"/>
      <c r="BD34" s="4"/>
      <c r="BE34" s="4"/>
      <c r="BF34" s="4"/>
      <c r="BG34" s="4"/>
      <c r="BH34" s="4"/>
      <c r="BI34" s="4"/>
      <c r="BJ34" s="4"/>
      <c r="BK34" s="4"/>
      <c r="BL34" s="4"/>
      <c r="BM34" s="4"/>
      <c r="BN34" s="4"/>
      <c r="BO34" s="95">
        <f ca="1">BO26*ConductanceAccess</f>
        <v>0</v>
      </c>
      <c r="BP34" s="102"/>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row>
    <row r="35" spans="1:116" ht="12.75" customHeight="1" thickBot="1">
      <c r="A35" s="5"/>
      <c r="B35" s="316" t="s">
        <v>299</v>
      </c>
      <c r="C35" s="214"/>
      <c r="D35" s="215"/>
      <c r="E35" s="271"/>
      <c r="F35" s="273" t="s">
        <v>172</v>
      </c>
      <c r="G35" s="272"/>
      <c r="H35" s="269" t="s">
        <v>27</v>
      </c>
      <c r="I35" s="270"/>
      <c r="J35" s="216" t="s">
        <v>28</v>
      </c>
      <c r="K35" s="217"/>
      <c r="L35" s="216" t="s">
        <v>145</v>
      </c>
      <c r="M35" s="217"/>
      <c r="N35" s="216" t="s">
        <v>120</v>
      </c>
      <c r="O35" s="218"/>
      <c r="P35" s="219" t="s">
        <v>27</v>
      </c>
      <c r="Q35" s="693" t="str">
        <f ca="1">"Conductance"&amp;IF(AllInputsOK=FALSE,"",IF(FailedConductance=0," - PASSED"," - FAILED"))</f>
        <v>Conductance</v>
      </c>
      <c r="R35" s="694"/>
      <c r="S35" s="693" t="str">
        <f ca="1">"Solar heat gain"&amp;IF(AllInputsOK=FALSE,"",IF(FailedSHG=0," - PASSED"," - FAILED"))</f>
        <v>Solar heat gain</v>
      </c>
      <c r="T35" s="695"/>
      <c r="U35" s="5"/>
      <c r="V35" s="6"/>
      <c r="W35" s="4"/>
      <c r="X35" s="105">
        <f t="array" ref="X35">MAX(IF(AC37:AC116=TRUE,Rows))</f>
        <v>0</v>
      </c>
      <c r="Y35" s="4"/>
      <c r="Z35" s="4"/>
      <c r="AA35" s="4"/>
      <c r="AB35" s="314">
        <f>SUM(AB37:AB116)</f>
        <v>0</v>
      </c>
      <c r="AC35" s="309">
        <f>COUNTIF(AC37:AC116,TRUE)</f>
        <v>0</v>
      </c>
      <c r="AD35" s="314">
        <f>COUNTIF(AD37:AD116,"&gt;0")</f>
        <v>0</v>
      </c>
      <c r="AE35" s="309">
        <f t="shared" ref="AE35:AO35" si="0">COUNTIF(AE37:AE116,TRUE)</f>
        <v>0</v>
      </c>
      <c r="AF35" s="310">
        <f>COUNTIF(AF37:AF116,TRUE)</f>
        <v>0</v>
      </c>
      <c r="AG35" s="306">
        <f t="shared" si="0"/>
        <v>0</v>
      </c>
      <c r="AH35" s="307">
        <f t="shared" si="0"/>
        <v>0</v>
      </c>
      <c r="AI35" s="311"/>
      <c r="AJ35" s="312">
        <f t="shared" si="0"/>
        <v>0</v>
      </c>
      <c r="AK35" s="319"/>
      <c r="AL35" s="308">
        <f t="shared" si="0"/>
        <v>0</v>
      </c>
      <c r="AM35" s="306">
        <f>COUNTIF(AM37:AM116,TRUE)</f>
        <v>0</v>
      </c>
      <c r="AN35" s="307">
        <f t="shared" si="0"/>
        <v>0</v>
      </c>
      <c r="AO35" s="313">
        <f t="shared" si="0"/>
        <v>0</v>
      </c>
      <c r="AP35" s="65">
        <f>COUNTIF(AP37:AP116,TRUE)</f>
        <v>0</v>
      </c>
      <c r="AQ35" s="4"/>
      <c r="AR35" s="17">
        <f ca="1">SUM(AR37:AR116)+UpperInputsIssues</f>
        <v>0</v>
      </c>
      <c r="AS35" s="67"/>
      <c r="AT35" s="36"/>
      <c r="AU35" s="36"/>
      <c r="AV35" s="36"/>
      <c r="AW35" s="17">
        <f ca="1">COUNTIF(AW37:AW116,TRUE)</f>
        <v>0</v>
      </c>
      <c r="AX35" s="4"/>
      <c r="AY35" s="8" t="s">
        <v>209</v>
      </c>
      <c r="AZ35" s="4"/>
      <c r="BA35" s="4"/>
      <c r="BB35" s="4"/>
      <c r="BC35" s="4"/>
      <c r="BD35" s="4"/>
      <c r="BE35" s="4"/>
      <c r="BF35" s="4"/>
      <c r="BG35" s="4"/>
      <c r="BH35" s="4"/>
      <c r="BI35" s="8" t="s">
        <v>212</v>
      </c>
      <c r="BJ35" s="4"/>
      <c r="BK35" s="4"/>
      <c r="BL35" s="4"/>
      <c r="BM35" s="194">
        <f ca="1">IF(Zone=1,1,SUM(BM37:BM116))</f>
        <v>0</v>
      </c>
      <c r="BN35" s="4"/>
      <c r="BO35" s="8" t="s">
        <v>86</v>
      </c>
      <c r="BP35" s="4"/>
      <c r="BQ35" s="4"/>
      <c r="BR35" s="4"/>
      <c r="BS35" s="4"/>
      <c r="BT35" s="4"/>
      <c r="BU35" s="4"/>
      <c r="BV35" s="4"/>
      <c r="BW35" s="4"/>
      <c r="BX35" s="114" t="s">
        <v>131</v>
      </c>
      <c r="BY35" s="114" t="s">
        <v>132</v>
      </c>
      <c r="BZ35" s="115" t="s">
        <v>133</v>
      </c>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row>
    <row r="36" spans="1:116" ht="47.1" customHeight="1" thickBot="1">
      <c r="A36" s="5"/>
      <c r="B36" s="220" t="str">
        <f>IF(RowsDisplayed=RowsPreferred,"","     rows")</f>
        <v/>
      </c>
      <c r="C36" s="221" t="s">
        <v>69</v>
      </c>
      <c r="D36" s="711" t="s">
        <v>372</v>
      </c>
      <c r="E36" s="712"/>
      <c r="F36" s="222" t="s">
        <v>347</v>
      </c>
      <c r="G36" s="222" t="s">
        <v>140</v>
      </c>
      <c r="H36" s="223" t="s">
        <v>141</v>
      </c>
      <c r="I36" s="224" t="s">
        <v>142</v>
      </c>
      <c r="J36" s="222" t="s">
        <v>369</v>
      </c>
      <c r="K36" s="224" t="s">
        <v>370</v>
      </c>
      <c r="L36" s="225" t="s">
        <v>5</v>
      </c>
      <c r="M36" s="224" t="s">
        <v>6</v>
      </c>
      <c r="N36" s="222" t="s">
        <v>4</v>
      </c>
      <c r="O36" s="227" t="s">
        <v>216</v>
      </c>
      <c r="P36" s="336" t="s">
        <v>144</v>
      </c>
      <c r="Q36" s="222" t="str">
        <f>"U x area"&amp;IF(Zone=1,""," / winter access")</f>
        <v>U x area / winter access</v>
      </c>
      <c r="R36" s="336" t="s">
        <v>143</v>
      </c>
      <c r="S36" s="222" t="s">
        <v>214</v>
      </c>
      <c r="T36" s="337" t="s">
        <v>143</v>
      </c>
      <c r="U36" s="5"/>
      <c r="V36" s="6"/>
      <c r="W36" s="4"/>
      <c r="X36" s="9" t="s">
        <v>124</v>
      </c>
      <c r="Y36" s="9" t="s">
        <v>125</v>
      </c>
      <c r="Z36" s="106" t="s">
        <v>127</v>
      </c>
      <c r="AA36" s="4"/>
      <c r="AB36" s="49" t="s">
        <v>72</v>
      </c>
      <c r="AC36" s="49" t="s">
        <v>50</v>
      </c>
      <c r="AD36" s="49" t="s">
        <v>103</v>
      </c>
      <c r="AE36" s="405" t="s">
        <v>326</v>
      </c>
      <c r="AF36" s="402" t="s">
        <v>322</v>
      </c>
      <c r="AG36" s="402" t="s">
        <v>324</v>
      </c>
      <c r="AH36" s="404" t="s">
        <v>323</v>
      </c>
      <c r="AI36" s="66" t="s">
        <v>75</v>
      </c>
      <c r="AJ36" s="402" t="s">
        <v>378</v>
      </c>
      <c r="AK36" s="402" t="s">
        <v>327</v>
      </c>
      <c r="AL36" s="402" t="s">
        <v>379</v>
      </c>
      <c r="AM36" s="50" t="s">
        <v>121</v>
      </c>
      <c r="AN36" s="402" t="s">
        <v>138</v>
      </c>
      <c r="AO36" s="297" t="s">
        <v>325</v>
      </c>
      <c r="AP36" s="49" t="s">
        <v>71</v>
      </c>
      <c r="AQ36" s="49" t="s">
        <v>80</v>
      </c>
      <c r="AR36" s="49" t="s">
        <v>328</v>
      </c>
      <c r="AS36" s="49" t="s">
        <v>113</v>
      </c>
      <c r="AT36" s="68" t="s">
        <v>52</v>
      </c>
      <c r="AU36" s="61" t="s">
        <v>79</v>
      </c>
      <c r="AV36" s="61" t="s">
        <v>74</v>
      </c>
      <c r="AW36" s="50" t="s">
        <v>73</v>
      </c>
      <c r="AX36" s="4"/>
      <c r="AY36" s="195" t="s">
        <v>81</v>
      </c>
      <c r="AZ36" s="196" t="s">
        <v>82</v>
      </c>
      <c r="BA36" s="196" t="s">
        <v>83</v>
      </c>
      <c r="BB36" s="196" t="s">
        <v>84</v>
      </c>
      <c r="BC36" s="196" t="s">
        <v>85</v>
      </c>
      <c r="BD36" s="196" t="s">
        <v>231</v>
      </c>
      <c r="BE36" s="196" t="s">
        <v>232</v>
      </c>
      <c r="BF36" s="196" t="s">
        <v>233</v>
      </c>
      <c r="BG36" s="197" t="s">
        <v>238</v>
      </c>
      <c r="BH36" s="4"/>
      <c r="BI36" s="195" t="s">
        <v>234</v>
      </c>
      <c r="BJ36" s="196" t="s">
        <v>235</v>
      </c>
      <c r="BK36" s="196" t="s">
        <v>236</v>
      </c>
      <c r="BL36" s="196" t="s">
        <v>237</v>
      </c>
      <c r="BM36" s="197" t="s">
        <v>239</v>
      </c>
      <c r="BN36" s="4"/>
      <c r="BO36" s="195" t="s">
        <v>210</v>
      </c>
      <c r="BP36" s="196" t="s">
        <v>87</v>
      </c>
      <c r="BQ36" s="250" t="s">
        <v>88</v>
      </c>
      <c r="BR36" s="196" t="s">
        <v>89</v>
      </c>
      <c r="BS36" s="205" t="s">
        <v>90</v>
      </c>
      <c r="BT36" s="205" t="s">
        <v>91</v>
      </c>
      <c r="BU36" s="196" t="s">
        <v>247</v>
      </c>
      <c r="BV36" s="197" t="s">
        <v>248</v>
      </c>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row>
    <row r="37" spans="1:116">
      <c r="A37" s="33"/>
      <c r="B37" s="327">
        <f>Y37</f>
        <v>40</v>
      </c>
      <c r="C37" s="397">
        <v>1</v>
      </c>
      <c r="D37" s="696"/>
      <c r="E37" s="697"/>
      <c r="F37" s="475"/>
      <c r="G37" s="482"/>
      <c r="H37" s="464"/>
      <c r="I37" s="465"/>
      <c r="J37" s="485"/>
      <c r="K37" s="486"/>
      <c r="L37" s="487"/>
      <c r="M37" s="488"/>
      <c r="N37" s="370" t="str">
        <f t="shared" ref="N37:N68" ca="1" si="1">IF(AND(AP37=TRUE,AQ37=TRUE,InputIssues=0),IF(L37="device",2,IF(AT37=FALSE,1,0.5)*L37/M37),"")</f>
        <v/>
      </c>
      <c r="O37" s="371" t="str">
        <f t="shared" ref="O37:O68" ca="1" si="2">IF(AND(AP37=TRUE,InputIssues=0),IF(O$36=F$182,BG37,IF(O$36=G$182,BL37,BL37/BG37)),"")</f>
        <v/>
      </c>
      <c r="P37" s="372">
        <f t="shared" ref="P37:P68" ca="1" si="3">IF(InputIssues=0,MAX(G37*H37,I37),0)</f>
        <v>0</v>
      </c>
      <c r="Q37" s="392" t="str">
        <f t="shared" ref="Q37:Q116" ca="1" si="4">IF(AllInputsOK=FALSE,"",BO37/ConductanceAccess)</f>
        <v/>
      </c>
      <c r="R37" s="381" t="str">
        <f t="shared" ref="R37:R68" ca="1" si="5">IF(AllInputsOK=FALSE,"",BU37)</f>
        <v/>
      </c>
      <c r="S37" s="382">
        <f t="shared" ref="S37:S116" ca="1" si="6">IF(AND(AllInputsOK=FALSE,BP37&gt;0),"",BP37)</f>
        <v>0</v>
      </c>
      <c r="T37" s="383" t="str">
        <f t="shared" ref="T37:T68" ca="1" si="7">IF(AllInputsOK=FALSE,"",BV37)</f>
        <v/>
      </c>
      <c r="U37" s="5"/>
      <c r="V37" s="6"/>
      <c r="W37" s="4"/>
      <c r="X37" s="4">
        <v>1</v>
      </c>
      <c r="Y37" s="104">
        <f t="shared" ref="Y37:Y75" si="8">IF(AND(RowsPreferred&lt;LastActive,LastActive&gt;=X37),LastActive,IF(RowsPreferred&gt;=X37,RowsPreferred,"-"))</f>
        <v>40</v>
      </c>
      <c r="Z37" s="104">
        <f>IF(AC37=TRUE,1,0)</f>
        <v>0</v>
      </c>
      <c r="AA37" s="103"/>
      <c r="AB37" s="51">
        <f>COUNTA(D37:M37)</f>
        <v>0</v>
      </c>
      <c r="AC37" s="52">
        <f>IF(SUM(AB37:AB$116)=0,0,F37&gt;0)</f>
        <v>0</v>
      </c>
      <c r="AD37" s="51">
        <f>COUNTA(G37:M37)</f>
        <v>0</v>
      </c>
      <c r="AE37" s="52">
        <f>IF(SUM(AB37:AB$116)=0,0,AND(AC37=FALSE,AD37=0,SUM(AD37:AD$116)&gt;0))</f>
        <v>0</v>
      </c>
      <c r="AF37" s="52">
        <f t="shared" ref="AF37" si="9">IF(AB37=0,0,AND(AC37=FALSE,AD37&gt;0))</f>
        <v>0</v>
      </c>
      <c r="AG37" s="403">
        <f>IF(AB37=0,0,AND(AH37&lt;&gt;TRUE,COUNTIF(AJ37:AO37,TRUE)=0,G37=0,L37&lt;&gt;"device",M37&gt;0))</f>
        <v>0</v>
      </c>
      <c r="AH37" s="403">
        <f>IF(AB37=0,0,AND(AC37=TRUE,G37*H37=0,I37=0))</f>
        <v>0</v>
      </c>
      <c r="AI37" s="412">
        <f>IF(H37=0,0,G37*H37&lt;I37)</f>
        <v>0</v>
      </c>
      <c r="AJ37" s="403">
        <f>IF(AB37=0,0,AND(AC37=TRUE,AH37=FALSE,ISBLANK(J37)))</f>
        <v>0</v>
      </c>
      <c r="AK37" s="403" t="str">
        <f>IF(AND(AJ37=TRUE,AL37=TRUE),AK$36,"")</f>
        <v/>
      </c>
      <c r="AL37" s="403">
        <f>IF(AB37=0,0,AND(AC37=TRUE,AH37=FALSE,ISBLANK(K37)))</f>
        <v>0</v>
      </c>
      <c r="AM37" s="403">
        <f>IF(AB37=0,0,AND(AJ37=FALSE,AL37=FALSE,OR(L37&lt;0,AND(ISTEXT(L37),L37&lt;&gt;"device"))))</f>
        <v>0</v>
      </c>
      <c r="AN37" s="403">
        <f>IF(AB37=0,0,AND(AC37=TRUE,AH37=FALSE,AJ37=FALSE,AL37=FALSE,AM37=FALSE,L37&gt;0,L37&lt;&gt;"device",M37=0))</f>
        <v>0</v>
      </c>
      <c r="AO37" s="403">
        <f>IF(AB37=0,0,AND(AC37=TRUE,AH37=FALSE,AJ37=FALSE,AL37=FALSE,M37&gt;0,OR(L37=0,L37="device")))</f>
        <v>0</v>
      </c>
      <c r="AP37" s="52">
        <f>IF(AND(AB37=0,AE37&lt;&gt;TRUE),0,AND(AC37=TRUE,COUNTIF(AE37:AH37,TRUE)=0,COUNTIF(AJ37:AO37,TRUE)=0))</f>
        <v>0</v>
      </c>
      <c r="AQ37" s="52">
        <f>IF(AB37=0,0,AND(L37&gt;0,AP37=TRUE))</f>
        <v>0</v>
      </c>
      <c r="AR37" s="51">
        <f>IF(AND(AB37=0,AE37&lt;&gt;TRUE),0,COUNTIF(AF37:AH37,TRUE)+COUNTIF(AJ37:AO37,TRUE))</f>
        <v>0</v>
      </c>
      <c r="AS37" s="408" t="str">
        <f>IF(AR37&gt;0,"Input "&amp;IF(AC37=TRUE,"alert","issue")&amp;IF(AR37=1,": ","s: "),"")&amp;IF(AE37=TRUE,AE$36,"")&amp;IF(AF37=TRUE,AF$36&amp;" (but "&amp;AD37&amp;" input"&amp;IF(AD37=1,") ","s) "),"")&amp;IF(AG37=TRUE,AG$36&amp;" ","")&amp;IF(AH37=TRUE,AH$36&amp;" ","")&amp;IF(AJ37=TRUE,AJ$36,"")&amp;AK37&amp;IF(AL37=TRUE,AL$36,"")&amp;IF(OR(AJ37=TRUE,AL37=TRUE)," needed","")&amp;IF(AM37=TRUE,AM$36&amp;" ","")&amp;IF(AN37=TRUE,AN$36&amp;" ","")&amp;IF(AO37=TRUE,IF(L37="device","shading H not needed",AO$36),"")</f>
        <v/>
      </c>
      <c r="AT37" s="52">
        <f t="shared" ref="AT37:AT68" si="10">IF(AB37=0,0,AND(G37&gt;0,M37-G37&gt;0.5))</f>
        <v>0</v>
      </c>
      <c r="AU37" s="52">
        <f t="shared" ref="AU37:AU68" si="11">IF(AB37=0,0,AND(ISNUMBER(N37),N37&gt;2))</f>
        <v>0</v>
      </c>
      <c r="AV37" s="52">
        <f t="shared" ref="AV37:AV68" si="12">IF(AB37=0,0,AND(AC37=TRUE,COUNT(G37:I37)=3,G37*H37&lt;&gt;I37))</f>
        <v>0</v>
      </c>
      <c r="AW37" s="52" t="b">
        <f t="shared" ref="AW37:AW68" ca="1" si="13">AND(UpperInputsAlerts=0,DudTableInputs=0,COUNTIF(BS37:BT37,TRUE)&lt;&gt;0)</f>
        <v>0</v>
      </c>
      <c r="AX37" s="69"/>
      <c r="AY37" s="198">
        <f t="shared" ref="AY37:AY68" ca="1" si="14">IF(N37="",0,INDEX(Projections,MATCH(N37,Projections,1),1))</f>
        <v>0</v>
      </c>
      <c r="AZ37" s="71">
        <f t="shared" ref="AZ37:AZ68" ca="1" si="15">IF(N37="",0,IF(AY37=2,2,INDEX(Projections,MATCH(N37,Projections,1)+1,1)))</f>
        <v>0</v>
      </c>
      <c r="BA37" s="71">
        <f ca="1">AZ37-AY37</f>
        <v>0</v>
      </c>
      <c r="BB37" s="74">
        <f t="shared" ref="BB37:BB68" ca="1" si="16">IF(OR(N37="",BA37=0),0,(N37-AY37)/BA37)</f>
        <v>0</v>
      </c>
      <c r="BC37" s="208">
        <f t="shared" ref="BC37:BC68" si="17">IF(OR(AB37=0,AP37&lt;&gt;TRUE),0,F37)</f>
        <v>0</v>
      </c>
      <c r="BD37" s="71">
        <f>IF(AND($AP37=TRUE,Zone=0),10,IF(OR($BC37=0,$BC37=FALSE),0,INDEX(ExposuresSummer,MATCH($AY37,Projections,1),MATCH($BC37,Directions,0),Zone)))</f>
        <v>0</v>
      </c>
      <c r="BE37" s="71">
        <f>IF(AND($AP37=TRUE,Zone=0),10,IF(OR($BC37=0,$BC37=FALSE),0,INDEX(ExposuresSummer,MATCH($AZ37,Projections,1),MATCH($BC37,Directions,0),Zone)))</f>
        <v>0</v>
      </c>
      <c r="BF37" s="71">
        <f>BD37-BE37</f>
        <v>0</v>
      </c>
      <c r="BG37" s="199">
        <f ca="1">BD37-BF37*$BB37</f>
        <v>0</v>
      </c>
      <c r="BH37" s="4"/>
      <c r="BI37" s="198">
        <f t="shared" ref="BI37:BI116" si="18">IF(AND($AP37=TRUE,Zone=0),10,IF(OR($BC37=0,$BC37=FALSE),0,INDEX(ExposuresWinter,MATCH($AY37,Projections,1),MATCH($BC37,Directions,0),Zone)))</f>
        <v>0</v>
      </c>
      <c r="BJ37" s="71">
        <f t="shared" ref="BJ37:BJ116" si="19">IF(AND($AP37=TRUE,Zone=0),10,IF(OR($BC37=0,$BC37=FALSE),0,INDEX(ExposuresWinter,MATCH($AZ37,Projections,1),MATCH($BC37,Directions,0),Zone)))</f>
        <v>0</v>
      </c>
      <c r="BK37" s="71">
        <f>BI37-BJ37</f>
        <v>0</v>
      </c>
      <c r="BL37" s="71">
        <f ca="1">BI37-BK37*$BB37</f>
        <v>0</v>
      </c>
      <c r="BM37" s="199">
        <f t="shared" ref="BM37:BM68" ca="1" si="20">P37*K37*BL37</f>
        <v>0</v>
      </c>
      <c r="BN37" s="4"/>
      <c r="BO37" s="198">
        <f t="shared" ref="BO37:BO68" si="21">IF(AP37=TRUE,IF(P37="",0,P37)*J37,0)</f>
        <v>0</v>
      </c>
      <c r="BP37" s="71">
        <f t="shared" ref="BP37:BP68" ca="1" si="22">K37*IF(P37="",0,P37)*BG37</f>
        <v>0</v>
      </c>
      <c r="BQ37" s="78">
        <f>IF(AP37&lt;&gt;TRUE,0,BO37/BO$34)</f>
        <v>0</v>
      </c>
      <c r="BR37" s="78">
        <f t="shared" ref="BR37:BR116" si="23">IF(AP37&lt;&gt;TRUE,0,BP37/BP$26)</f>
        <v>0</v>
      </c>
      <c r="BS37" s="80">
        <f t="shared" ref="BS37:BS68" ca="1" si="24">IF(SUM(BO37:BP37)=0,0,AND(AC37=TRUE,BO$27&lt;0))</f>
        <v>0</v>
      </c>
      <c r="BT37" s="80">
        <f t="shared" ref="BT37:BT68" ca="1" si="25">IF(SUM(BO37:BP37)=0,0,AND(AC37=TRUE,BP$27&lt;0))</f>
        <v>0</v>
      </c>
      <c r="BU37" s="259" t="str">
        <f t="shared" ref="BU37:BU116" ca="1" si="26">IF(SUM(BO37:BP37)=0,"",TEXT(BQ37,IF(BQ37&lt;0.005,"0.0%","0%"))&amp;" of "&amp;TEXT(BO$28,"0%"))</f>
        <v/>
      </c>
      <c r="BV37" s="206" t="str">
        <f t="shared" ref="BV37:BV116" ca="1" si="27">IF(SUM(BO37:BP37)=0,"",TEXT(BR37,IF(BR37&lt;0.005,"0.0%","0%"))&amp;" of "&amp;TEXT(BP$28,"0%"))</f>
        <v/>
      </c>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row>
    <row r="38" spans="1:116">
      <c r="A38" s="5"/>
      <c r="B38" s="327">
        <f t="shared" ref="B38:B116" si="28">Y38</f>
        <v>40</v>
      </c>
      <c r="C38" s="398">
        <v>2</v>
      </c>
      <c r="D38" s="688"/>
      <c r="E38" s="698"/>
      <c r="F38" s="476"/>
      <c r="G38" s="483"/>
      <c r="H38" s="466"/>
      <c r="I38" s="467"/>
      <c r="J38" s="489"/>
      <c r="K38" s="490"/>
      <c r="L38" s="491"/>
      <c r="M38" s="492"/>
      <c r="N38" s="373" t="str">
        <f t="shared" ca="1" si="1"/>
        <v/>
      </c>
      <c r="O38" s="374" t="str">
        <f t="shared" ca="1" si="2"/>
        <v/>
      </c>
      <c r="P38" s="375">
        <f t="shared" ca="1" si="3"/>
        <v>0</v>
      </c>
      <c r="Q38" s="384" t="str">
        <f t="shared" ca="1" si="4"/>
        <v/>
      </c>
      <c r="R38" s="385" t="str">
        <f t="shared" ca="1" si="5"/>
        <v/>
      </c>
      <c r="S38" s="386">
        <f t="shared" ca="1" si="6"/>
        <v>0</v>
      </c>
      <c r="T38" s="387" t="str">
        <f t="shared" ca="1" si="7"/>
        <v/>
      </c>
      <c r="U38" s="5"/>
      <c r="V38" s="6"/>
      <c r="W38" s="4"/>
      <c r="X38" s="4">
        <v>2</v>
      </c>
      <c r="Y38" s="104">
        <f t="shared" si="8"/>
        <v>40</v>
      </c>
      <c r="Z38" s="104">
        <f t="shared" ref="Z38:Z75" si="29">IF(AC38=TRUE,1,0)</f>
        <v>0</v>
      </c>
      <c r="AA38" s="4"/>
      <c r="AB38" s="53">
        <f>COUNTA(D38:M38)</f>
        <v>0</v>
      </c>
      <c r="AC38" s="54">
        <f>IF(SUM(AB38:AB$116)=0,0,F38&gt;0)</f>
        <v>0</v>
      </c>
      <c r="AD38" s="53">
        <f>COUNTA(G38:M38)</f>
        <v>0</v>
      </c>
      <c r="AE38" s="54">
        <f>IF(SUM(AB38:AB$116)=0,0,AND(AC38=FALSE,AD38=0,SUM(AD38:AD$116)&gt;0))</f>
        <v>0</v>
      </c>
      <c r="AF38" s="54">
        <f t="shared" ref="AF38:AF101" si="30">IF(AB38=0,0,AND(AC38=FALSE,AD38&gt;0))</f>
        <v>0</v>
      </c>
      <c r="AG38" s="54">
        <f t="shared" ref="AG38:AG101" si="31">IF(AB38=0,0,AND(AH38&lt;&gt;TRUE,COUNTIF(AJ38:AO38,TRUE)=0,G38=0,L38&lt;&gt;"device",M38&gt;0))</f>
        <v>0</v>
      </c>
      <c r="AH38" s="56">
        <f t="shared" ref="AH38:AH101" si="32">IF(AB38=0,0,AND(AC38=TRUE,G38*H38=0,I38=0))</f>
        <v>0</v>
      </c>
      <c r="AI38" s="56">
        <f t="shared" ref="AI38:AI101" si="33">IF(H38=0,0,G38*H38&lt;I38)</f>
        <v>0</v>
      </c>
      <c r="AJ38" s="54">
        <f t="shared" ref="AJ38:AJ101" si="34">IF(AB38=0,0,AND(AC38=TRUE,AH38=FALSE,ISBLANK(J38)))</f>
        <v>0</v>
      </c>
      <c r="AK38" s="54" t="str">
        <f t="shared" ref="AK38:AK101" si="35">IF(AND(AJ38=TRUE,AL38=TRUE),AK$36,"")</f>
        <v/>
      </c>
      <c r="AL38" s="54">
        <f t="shared" ref="AL38:AL101" si="36">IF(AB38=0,0,AND(AC38=TRUE,AH38=FALSE,ISBLANK(K38)))</f>
        <v>0</v>
      </c>
      <c r="AM38" s="54">
        <f t="shared" ref="AM38:AM101" si="37">IF(AB38=0,0,AND(AJ38=FALSE,AL38=FALSE,OR(L38&lt;0,AND(ISTEXT(L38),L38&lt;&gt;"device"))))</f>
        <v>0</v>
      </c>
      <c r="AN38" s="54">
        <f t="shared" ref="AN38:AN101" si="38">IF(AB38=0,0,AND(AC38=TRUE,AH38=FALSE,AJ38=FALSE,AL38=FALSE,AM38=FALSE,L38&gt;0,L38&lt;&gt;"device",M38=0))</f>
        <v>0</v>
      </c>
      <c r="AO38" s="54">
        <f t="shared" ref="AO38:AO101" si="39">IF(AB38=0,0,AND(AC38=TRUE,AH38=FALSE,AJ38=FALSE,AL38=FALSE,M38&gt;0,OR(L38=0,L38="device")))</f>
        <v>0</v>
      </c>
      <c r="AP38" s="54">
        <f t="shared" ref="AP38:AP101" si="40">IF(AND(AB38=0,AE38&lt;&gt;TRUE),0,AND(AC38=TRUE,COUNTIF(AE38:AH38,TRUE)=0,COUNTIF(AJ38:AO38,TRUE)=0))</f>
        <v>0</v>
      </c>
      <c r="AQ38" s="54">
        <f t="shared" ref="AQ38:AQ101" si="41">IF(AB38=0,0,AND(L38&gt;0,AP38=TRUE))</f>
        <v>0</v>
      </c>
      <c r="AR38" s="53">
        <f t="shared" ref="AR38:AR101" si="42">IF(AND(AB38=0,AE38&lt;&gt;TRUE),0,COUNTIF(AF38:AH38,TRUE)+COUNTIF(AJ38:AO38,TRUE))</f>
        <v>0</v>
      </c>
      <c r="AS38" s="409" t="str">
        <f t="shared" ref="AS38:AS101" si="43">IF(AR38&gt;0,"Input "&amp;IF(AC38=TRUE,"alert","issue")&amp;IF(AR38=1,": ","s: "),"")&amp;IF(AE38=TRUE,AE$36,"")&amp;IF(AF38=TRUE,AF$36&amp;" (but "&amp;AD38&amp;" input"&amp;IF(AD38=1,") ","s) "),"")&amp;IF(AG38=TRUE,AG$36&amp;" ","")&amp;IF(AH38=TRUE,AH$36&amp;" ","")&amp;IF(AJ38=TRUE,AJ$36,"")&amp;AK38&amp;IF(AL38=TRUE,AL$36,"")&amp;IF(OR(AJ38=TRUE,AL38=TRUE)," needed","")&amp;IF(AM38=TRUE,AM$36&amp;" ","")&amp;IF(AN38=TRUE,AN$36&amp;" ","")&amp;IF(AO38=TRUE,IF(L38="device","shading H not needed",AO$36),"")</f>
        <v/>
      </c>
      <c r="AT38" s="54">
        <f t="shared" si="10"/>
        <v>0</v>
      </c>
      <c r="AU38" s="54">
        <f t="shared" si="11"/>
        <v>0</v>
      </c>
      <c r="AV38" s="54">
        <f t="shared" si="12"/>
        <v>0</v>
      </c>
      <c r="AW38" s="55" t="b">
        <f t="shared" ca="1" si="13"/>
        <v>0</v>
      </c>
      <c r="AX38" s="69"/>
      <c r="AY38" s="203">
        <f t="shared" ca="1" si="14"/>
        <v>0</v>
      </c>
      <c r="AZ38" s="72">
        <f t="shared" ca="1" si="15"/>
        <v>0</v>
      </c>
      <c r="BA38" s="72">
        <f t="shared" ref="BA38:BA116" ca="1" si="44">AZ38-AY38</f>
        <v>0</v>
      </c>
      <c r="BB38" s="74">
        <f t="shared" ca="1" si="16"/>
        <v>0</v>
      </c>
      <c r="BC38" s="209">
        <f t="shared" si="17"/>
        <v>0</v>
      </c>
      <c r="BD38" s="72">
        <f t="shared" ref="BD38:BD116" si="45">IF(AND(AP38=TRUE,Zone=0),10,IF(OR(BC38=0,BC38=FALSE),0,INDEX(ExposuresSummer,MATCH(AY38,Projections,1),MATCH(BC38,Directions,0),Zone)))</f>
        <v>0</v>
      </c>
      <c r="BE38" s="72">
        <f t="shared" ref="BE38:BE116" si="46">IF(AND(AP38=TRUE,Zone=0),10,IF(OR(BC38=0,BC38=FALSE),0,INDEX(ExposuresSummer,MATCH(AZ38,Projections,1),MATCH(BC38,Directions,0),Zone)))</f>
        <v>0</v>
      </c>
      <c r="BF38" s="72">
        <f t="shared" ref="BF38:BF116" si="47">BD38-BE38</f>
        <v>0</v>
      </c>
      <c r="BG38" s="200">
        <f t="shared" ref="BG38:BG116" ca="1" si="48">BD38-BF38*BB38</f>
        <v>0</v>
      </c>
      <c r="BH38" s="4"/>
      <c r="BI38" s="198">
        <f t="shared" si="18"/>
        <v>0</v>
      </c>
      <c r="BJ38" s="71">
        <f t="shared" si="19"/>
        <v>0</v>
      </c>
      <c r="BK38" s="72">
        <f t="shared" ref="BK38:BK116" si="49">BI38-BJ38</f>
        <v>0</v>
      </c>
      <c r="BL38" s="72">
        <f t="shared" ref="BL38:BL116" ca="1" si="50">BI38-BK38*$BB38</f>
        <v>0</v>
      </c>
      <c r="BM38" s="200">
        <f t="shared" ca="1" si="20"/>
        <v>0</v>
      </c>
      <c r="BN38" s="4"/>
      <c r="BO38" s="198">
        <f t="shared" si="21"/>
        <v>0</v>
      </c>
      <c r="BP38" s="72">
        <f t="shared" ca="1" si="22"/>
        <v>0</v>
      </c>
      <c r="BQ38" s="78">
        <f t="shared" ref="BQ38:BQ116" si="51">IF(AP38&lt;&gt;TRUE,0,BO38/BO$34)</f>
        <v>0</v>
      </c>
      <c r="BR38" s="78">
        <f t="shared" si="23"/>
        <v>0</v>
      </c>
      <c r="BS38" s="80">
        <f t="shared" ca="1" si="24"/>
        <v>0</v>
      </c>
      <c r="BT38" s="80">
        <f t="shared" ca="1" si="25"/>
        <v>0</v>
      </c>
      <c r="BU38" s="259" t="str">
        <f t="shared" ca="1" si="26"/>
        <v/>
      </c>
      <c r="BV38" s="206" t="str">
        <f t="shared" ca="1" si="27"/>
        <v/>
      </c>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row>
    <row r="39" spans="1:116">
      <c r="A39" s="5"/>
      <c r="B39" s="327">
        <f t="shared" si="28"/>
        <v>40</v>
      </c>
      <c r="C39" s="398">
        <v>3</v>
      </c>
      <c r="D39" s="688"/>
      <c r="E39" s="698"/>
      <c r="F39" s="476"/>
      <c r="G39" s="483"/>
      <c r="H39" s="466"/>
      <c r="I39" s="467"/>
      <c r="J39" s="489"/>
      <c r="K39" s="490"/>
      <c r="L39" s="491"/>
      <c r="M39" s="492"/>
      <c r="N39" s="373" t="str">
        <f t="shared" ca="1" si="1"/>
        <v/>
      </c>
      <c r="O39" s="374" t="str">
        <f t="shared" ca="1" si="2"/>
        <v/>
      </c>
      <c r="P39" s="375">
        <f t="shared" ca="1" si="3"/>
        <v>0</v>
      </c>
      <c r="Q39" s="384" t="str">
        <f t="shared" ca="1" si="4"/>
        <v/>
      </c>
      <c r="R39" s="385" t="str">
        <f t="shared" ca="1" si="5"/>
        <v/>
      </c>
      <c r="S39" s="386">
        <f t="shared" ca="1" si="6"/>
        <v>0</v>
      </c>
      <c r="T39" s="387" t="str">
        <f t="shared" ca="1" si="7"/>
        <v/>
      </c>
      <c r="U39" s="5"/>
      <c r="V39" s="6"/>
      <c r="W39" s="4"/>
      <c r="X39" s="4">
        <v>3</v>
      </c>
      <c r="Y39" s="104">
        <f t="shared" si="8"/>
        <v>40</v>
      </c>
      <c r="Z39" s="104">
        <f t="shared" si="29"/>
        <v>0</v>
      </c>
      <c r="AA39" s="4"/>
      <c r="AB39" s="53">
        <f t="shared" ref="AB39:AB116" si="52">COUNTA(D39:M39)</f>
        <v>0</v>
      </c>
      <c r="AC39" s="54">
        <f>IF(SUM(AB39:AB$116)=0,0,F39&gt;0)</f>
        <v>0</v>
      </c>
      <c r="AD39" s="53">
        <f t="shared" ref="AD39:AD116" si="53">COUNTA(G39:M39)</f>
        <v>0</v>
      </c>
      <c r="AE39" s="54">
        <f>IF(SUM(AB39:AB$116)=0,0,AND(AC39=FALSE,AD39=0,SUM(AD39:AD$116)&gt;0))</f>
        <v>0</v>
      </c>
      <c r="AF39" s="54">
        <f t="shared" si="30"/>
        <v>0</v>
      </c>
      <c r="AG39" s="54">
        <f t="shared" si="31"/>
        <v>0</v>
      </c>
      <c r="AH39" s="56">
        <f t="shared" si="32"/>
        <v>0</v>
      </c>
      <c r="AI39" s="56">
        <f t="shared" si="33"/>
        <v>0</v>
      </c>
      <c r="AJ39" s="54">
        <f t="shared" si="34"/>
        <v>0</v>
      </c>
      <c r="AK39" s="54" t="str">
        <f t="shared" si="35"/>
        <v/>
      </c>
      <c r="AL39" s="54">
        <f t="shared" si="36"/>
        <v>0</v>
      </c>
      <c r="AM39" s="54">
        <f t="shared" si="37"/>
        <v>0</v>
      </c>
      <c r="AN39" s="54">
        <f t="shared" si="38"/>
        <v>0</v>
      </c>
      <c r="AO39" s="54">
        <f t="shared" si="39"/>
        <v>0</v>
      </c>
      <c r="AP39" s="54">
        <f t="shared" si="40"/>
        <v>0</v>
      </c>
      <c r="AQ39" s="54">
        <f t="shared" si="41"/>
        <v>0</v>
      </c>
      <c r="AR39" s="53">
        <f t="shared" si="42"/>
        <v>0</v>
      </c>
      <c r="AS39" s="409" t="str">
        <f t="shared" si="43"/>
        <v/>
      </c>
      <c r="AT39" s="54">
        <f t="shared" si="10"/>
        <v>0</v>
      </c>
      <c r="AU39" s="54">
        <f t="shared" si="11"/>
        <v>0</v>
      </c>
      <c r="AV39" s="54">
        <f t="shared" si="12"/>
        <v>0</v>
      </c>
      <c r="AW39" s="55" t="b">
        <f t="shared" ca="1" si="13"/>
        <v>0</v>
      </c>
      <c r="AX39" s="69"/>
      <c r="AY39" s="203">
        <f t="shared" ca="1" si="14"/>
        <v>0</v>
      </c>
      <c r="AZ39" s="72">
        <f t="shared" ca="1" si="15"/>
        <v>0</v>
      </c>
      <c r="BA39" s="72">
        <f t="shared" ca="1" si="44"/>
        <v>0</v>
      </c>
      <c r="BB39" s="75">
        <f t="shared" ca="1" si="16"/>
        <v>0</v>
      </c>
      <c r="BC39" s="209">
        <f t="shared" si="17"/>
        <v>0</v>
      </c>
      <c r="BD39" s="72">
        <f t="shared" si="45"/>
        <v>0</v>
      </c>
      <c r="BE39" s="72">
        <f t="shared" si="46"/>
        <v>0</v>
      </c>
      <c r="BF39" s="72">
        <f t="shared" si="47"/>
        <v>0</v>
      </c>
      <c r="BG39" s="200">
        <f t="shared" ca="1" si="48"/>
        <v>0</v>
      </c>
      <c r="BH39" s="4"/>
      <c r="BI39" s="198">
        <f t="shared" si="18"/>
        <v>0</v>
      </c>
      <c r="BJ39" s="71">
        <f t="shared" si="19"/>
        <v>0</v>
      </c>
      <c r="BK39" s="72">
        <f t="shared" si="49"/>
        <v>0</v>
      </c>
      <c r="BL39" s="72">
        <f t="shared" ca="1" si="50"/>
        <v>0</v>
      </c>
      <c r="BM39" s="200">
        <f t="shared" ca="1" si="20"/>
        <v>0</v>
      </c>
      <c r="BN39" s="4"/>
      <c r="BO39" s="198">
        <f t="shared" si="21"/>
        <v>0</v>
      </c>
      <c r="BP39" s="72">
        <f t="shared" ca="1" si="22"/>
        <v>0</v>
      </c>
      <c r="BQ39" s="78">
        <f t="shared" si="51"/>
        <v>0</v>
      </c>
      <c r="BR39" s="78">
        <f t="shared" si="23"/>
        <v>0</v>
      </c>
      <c r="BS39" s="80">
        <f t="shared" ca="1" si="24"/>
        <v>0</v>
      </c>
      <c r="BT39" s="80">
        <f t="shared" ca="1" si="25"/>
        <v>0</v>
      </c>
      <c r="BU39" s="259" t="str">
        <f t="shared" ca="1" si="26"/>
        <v/>
      </c>
      <c r="BV39" s="206" t="str">
        <f t="shared" ca="1" si="27"/>
        <v/>
      </c>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row>
    <row r="40" spans="1:116">
      <c r="A40" s="5"/>
      <c r="B40" s="327">
        <f t="shared" si="28"/>
        <v>40</v>
      </c>
      <c r="C40" s="398">
        <v>4</v>
      </c>
      <c r="D40" s="719"/>
      <c r="E40" s="720"/>
      <c r="F40" s="476"/>
      <c r="G40" s="483"/>
      <c r="H40" s="466"/>
      <c r="I40" s="467"/>
      <c r="J40" s="489"/>
      <c r="K40" s="490"/>
      <c r="L40" s="491"/>
      <c r="M40" s="492"/>
      <c r="N40" s="373" t="str">
        <f t="shared" ca="1" si="1"/>
        <v/>
      </c>
      <c r="O40" s="374" t="str">
        <f t="shared" ca="1" si="2"/>
        <v/>
      </c>
      <c r="P40" s="375">
        <f t="shared" ca="1" si="3"/>
        <v>0</v>
      </c>
      <c r="Q40" s="384" t="str">
        <f t="shared" ca="1" si="4"/>
        <v/>
      </c>
      <c r="R40" s="385" t="str">
        <f t="shared" ca="1" si="5"/>
        <v/>
      </c>
      <c r="S40" s="386">
        <f t="shared" ca="1" si="6"/>
        <v>0</v>
      </c>
      <c r="T40" s="387" t="str">
        <f t="shared" ca="1" si="7"/>
        <v/>
      </c>
      <c r="U40" s="5"/>
      <c r="V40" s="6"/>
      <c r="W40" s="4"/>
      <c r="X40" s="4">
        <v>4</v>
      </c>
      <c r="Y40" s="104">
        <f t="shared" si="8"/>
        <v>40</v>
      </c>
      <c r="Z40" s="104">
        <f t="shared" si="29"/>
        <v>0</v>
      </c>
      <c r="AA40" s="4"/>
      <c r="AB40" s="53">
        <f t="shared" si="52"/>
        <v>0</v>
      </c>
      <c r="AC40" s="54">
        <f>IF(SUM(AB40:AB$116)=0,0,F40&gt;0)</f>
        <v>0</v>
      </c>
      <c r="AD40" s="53">
        <f t="shared" si="53"/>
        <v>0</v>
      </c>
      <c r="AE40" s="54">
        <f>IF(SUM(AB40:AB$116)=0,0,AND(AC40=FALSE,AD40=0,SUM(AD40:AD$116)&gt;0))</f>
        <v>0</v>
      </c>
      <c r="AF40" s="54">
        <f t="shared" si="30"/>
        <v>0</v>
      </c>
      <c r="AG40" s="54">
        <f t="shared" si="31"/>
        <v>0</v>
      </c>
      <c r="AH40" s="56">
        <f t="shared" si="32"/>
        <v>0</v>
      </c>
      <c r="AI40" s="56">
        <f t="shared" si="33"/>
        <v>0</v>
      </c>
      <c r="AJ40" s="54">
        <f t="shared" si="34"/>
        <v>0</v>
      </c>
      <c r="AK40" s="54" t="str">
        <f t="shared" si="35"/>
        <v/>
      </c>
      <c r="AL40" s="54">
        <f t="shared" si="36"/>
        <v>0</v>
      </c>
      <c r="AM40" s="54">
        <f t="shared" si="37"/>
        <v>0</v>
      </c>
      <c r="AN40" s="54">
        <f t="shared" si="38"/>
        <v>0</v>
      </c>
      <c r="AO40" s="54">
        <f t="shared" si="39"/>
        <v>0</v>
      </c>
      <c r="AP40" s="54">
        <f t="shared" si="40"/>
        <v>0</v>
      </c>
      <c r="AQ40" s="54">
        <f t="shared" si="41"/>
        <v>0</v>
      </c>
      <c r="AR40" s="53">
        <f t="shared" si="42"/>
        <v>0</v>
      </c>
      <c r="AS40" s="409" t="str">
        <f t="shared" si="43"/>
        <v/>
      </c>
      <c r="AT40" s="54">
        <f t="shared" si="10"/>
        <v>0</v>
      </c>
      <c r="AU40" s="54">
        <f t="shared" si="11"/>
        <v>0</v>
      </c>
      <c r="AV40" s="54">
        <f t="shared" si="12"/>
        <v>0</v>
      </c>
      <c r="AW40" s="55" t="b">
        <f t="shared" ca="1" si="13"/>
        <v>0</v>
      </c>
      <c r="AX40" s="69"/>
      <c r="AY40" s="203">
        <f t="shared" ca="1" si="14"/>
        <v>0</v>
      </c>
      <c r="AZ40" s="72">
        <f t="shared" ca="1" si="15"/>
        <v>0</v>
      </c>
      <c r="BA40" s="72">
        <f t="shared" ca="1" si="44"/>
        <v>0</v>
      </c>
      <c r="BB40" s="75">
        <f t="shared" ca="1" si="16"/>
        <v>0</v>
      </c>
      <c r="BC40" s="209">
        <f t="shared" si="17"/>
        <v>0</v>
      </c>
      <c r="BD40" s="72">
        <f t="shared" si="45"/>
        <v>0</v>
      </c>
      <c r="BE40" s="72">
        <f t="shared" si="46"/>
        <v>0</v>
      </c>
      <c r="BF40" s="72">
        <f t="shared" si="47"/>
        <v>0</v>
      </c>
      <c r="BG40" s="200">
        <f t="shared" ca="1" si="48"/>
        <v>0</v>
      </c>
      <c r="BH40" s="69"/>
      <c r="BI40" s="198">
        <f t="shared" si="18"/>
        <v>0</v>
      </c>
      <c r="BJ40" s="71">
        <f t="shared" si="19"/>
        <v>0</v>
      </c>
      <c r="BK40" s="72">
        <f t="shared" si="49"/>
        <v>0</v>
      </c>
      <c r="BL40" s="72">
        <f t="shared" ca="1" si="50"/>
        <v>0</v>
      </c>
      <c r="BM40" s="200">
        <f t="shared" ca="1" si="20"/>
        <v>0</v>
      </c>
      <c r="BN40" s="69"/>
      <c r="BO40" s="198">
        <f t="shared" si="21"/>
        <v>0</v>
      </c>
      <c r="BP40" s="72">
        <f t="shared" ca="1" si="22"/>
        <v>0</v>
      </c>
      <c r="BQ40" s="78">
        <f t="shared" si="51"/>
        <v>0</v>
      </c>
      <c r="BR40" s="78">
        <f t="shared" si="23"/>
        <v>0</v>
      </c>
      <c r="BS40" s="80">
        <f t="shared" ca="1" si="24"/>
        <v>0</v>
      </c>
      <c r="BT40" s="80">
        <f t="shared" ca="1" si="25"/>
        <v>0</v>
      </c>
      <c r="BU40" s="259" t="str">
        <f t="shared" ca="1" si="26"/>
        <v/>
      </c>
      <c r="BV40" s="206" t="str">
        <f t="shared" ca="1" si="27"/>
        <v/>
      </c>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row>
    <row r="41" spans="1:116">
      <c r="A41" s="5"/>
      <c r="B41" s="327">
        <f t="shared" si="28"/>
        <v>40</v>
      </c>
      <c r="C41" s="398">
        <v>5</v>
      </c>
      <c r="D41" s="688"/>
      <c r="E41" s="698"/>
      <c r="F41" s="476"/>
      <c r="G41" s="483"/>
      <c r="H41" s="466"/>
      <c r="I41" s="467"/>
      <c r="J41" s="489"/>
      <c r="K41" s="490"/>
      <c r="L41" s="491"/>
      <c r="M41" s="492"/>
      <c r="N41" s="373" t="str">
        <f t="shared" ca="1" si="1"/>
        <v/>
      </c>
      <c r="O41" s="374" t="str">
        <f t="shared" ca="1" si="2"/>
        <v/>
      </c>
      <c r="P41" s="375">
        <f t="shared" ca="1" si="3"/>
        <v>0</v>
      </c>
      <c r="Q41" s="384" t="str">
        <f t="shared" ca="1" si="4"/>
        <v/>
      </c>
      <c r="R41" s="385" t="str">
        <f t="shared" ca="1" si="5"/>
        <v/>
      </c>
      <c r="S41" s="386">
        <f t="shared" ca="1" si="6"/>
        <v>0</v>
      </c>
      <c r="T41" s="387" t="str">
        <f t="shared" ca="1" si="7"/>
        <v/>
      </c>
      <c r="U41" s="5"/>
      <c r="V41" s="6"/>
      <c r="W41" s="4"/>
      <c r="X41" s="4">
        <v>5</v>
      </c>
      <c r="Y41" s="104">
        <f t="shared" si="8"/>
        <v>40</v>
      </c>
      <c r="Z41" s="104">
        <f t="shared" si="29"/>
        <v>0</v>
      </c>
      <c r="AA41" s="4"/>
      <c r="AB41" s="53">
        <f t="shared" si="52"/>
        <v>0</v>
      </c>
      <c r="AC41" s="54">
        <f>IF(SUM(AB41:AB$116)=0,0,F41&gt;0)</f>
        <v>0</v>
      </c>
      <c r="AD41" s="53">
        <f t="shared" si="53"/>
        <v>0</v>
      </c>
      <c r="AE41" s="54">
        <f>IF(SUM(AB41:AB$116)=0,0,AND(AC41=FALSE,AD41=0,SUM(AD41:AD$116)&gt;0))</f>
        <v>0</v>
      </c>
      <c r="AF41" s="54">
        <f t="shared" si="30"/>
        <v>0</v>
      </c>
      <c r="AG41" s="54">
        <f t="shared" si="31"/>
        <v>0</v>
      </c>
      <c r="AH41" s="56">
        <f t="shared" si="32"/>
        <v>0</v>
      </c>
      <c r="AI41" s="56">
        <f t="shared" si="33"/>
        <v>0</v>
      </c>
      <c r="AJ41" s="54">
        <f t="shared" si="34"/>
        <v>0</v>
      </c>
      <c r="AK41" s="54" t="str">
        <f t="shared" si="35"/>
        <v/>
      </c>
      <c r="AL41" s="54">
        <f t="shared" si="36"/>
        <v>0</v>
      </c>
      <c r="AM41" s="54">
        <f t="shared" si="37"/>
        <v>0</v>
      </c>
      <c r="AN41" s="54">
        <f t="shared" si="38"/>
        <v>0</v>
      </c>
      <c r="AO41" s="54">
        <f t="shared" si="39"/>
        <v>0</v>
      </c>
      <c r="AP41" s="54">
        <f t="shared" si="40"/>
        <v>0</v>
      </c>
      <c r="AQ41" s="54">
        <f t="shared" si="41"/>
        <v>0</v>
      </c>
      <c r="AR41" s="53">
        <f t="shared" si="42"/>
        <v>0</v>
      </c>
      <c r="AS41" s="409" t="str">
        <f t="shared" si="43"/>
        <v/>
      </c>
      <c r="AT41" s="54">
        <f t="shared" si="10"/>
        <v>0</v>
      </c>
      <c r="AU41" s="54">
        <f t="shared" si="11"/>
        <v>0</v>
      </c>
      <c r="AV41" s="54">
        <f t="shared" si="12"/>
        <v>0</v>
      </c>
      <c r="AW41" s="55" t="b">
        <f t="shared" ca="1" si="13"/>
        <v>0</v>
      </c>
      <c r="AX41" s="69"/>
      <c r="AY41" s="203">
        <f t="shared" ca="1" si="14"/>
        <v>0</v>
      </c>
      <c r="AZ41" s="72">
        <f t="shared" ca="1" si="15"/>
        <v>0</v>
      </c>
      <c r="BA41" s="72">
        <f t="shared" ca="1" si="44"/>
        <v>0</v>
      </c>
      <c r="BB41" s="75">
        <f t="shared" ca="1" si="16"/>
        <v>0</v>
      </c>
      <c r="BC41" s="209">
        <f t="shared" si="17"/>
        <v>0</v>
      </c>
      <c r="BD41" s="72">
        <f t="shared" si="45"/>
        <v>0</v>
      </c>
      <c r="BE41" s="72">
        <f t="shared" si="46"/>
        <v>0</v>
      </c>
      <c r="BF41" s="72">
        <f t="shared" si="47"/>
        <v>0</v>
      </c>
      <c r="BG41" s="200">
        <f t="shared" ca="1" si="48"/>
        <v>0</v>
      </c>
      <c r="BH41" s="69"/>
      <c r="BI41" s="198">
        <f t="shared" si="18"/>
        <v>0</v>
      </c>
      <c r="BJ41" s="71">
        <f t="shared" si="19"/>
        <v>0</v>
      </c>
      <c r="BK41" s="72">
        <f t="shared" si="49"/>
        <v>0</v>
      </c>
      <c r="BL41" s="72">
        <f t="shared" ca="1" si="50"/>
        <v>0</v>
      </c>
      <c r="BM41" s="200">
        <f t="shared" ca="1" si="20"/>
        <v>0</v>
      </c>
      <c r="BN41" s="69"/>
      <c r="BO41" s="198">
        <f t="shared" si="21"/>
        <v>0</v>
      </c>
      <c r="BP41" s="72">
        <f t="shared" ca="1" si="22"/>
        <v>0</v>
      </c>
      <c r="BQ41" s="78">
        <f t="shared" si="51"/>
        <v>0</v>
      </c>
      <c r="BR41" s="78">
        <f t="shared" si="23"/>
        <v>0</v>
      </c>
      <c r="BS41" s="80">
        <f t="shared" ca="1" si="24"/>
        <v>0</v>
      </c>
      <c r="BT41" s="80">
        <f t="shared" ca="1" si="25"/>
        <v>0</v>
      </c>
      <c r="BU41" s="259" t="str">
        <f t="shared" ca="1" si="26"/>
        <v/>
      </c>
      <c r="BV41" s="206" t="str">
        <f t="shared" ca="1" si="27"/>
        <v/>
      </c>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row>
    <row r="42" spans="1:116">
      <c r="A42" s="5"/>
      <c r="B42" s="327">
        <f t="shared" si="28"/>
        <v>40</v>
      </c>
      <c r="C42" s="398">
        <v>6</v>
      </c>
      <c r="D42" s="688"/>
      <c r="E42" s="698"/>
      <c r="F42" s="476"/>
      <c r="G42" s="483"/>
      <c r="H42" s="466"/>
      <c r="I42" s="467"/>
      <c r="J42" s="489"/>
      <c r="K42" s="490"/>
      <c r="L42" s="491"/>
      <c r="M42" s="492"/>
      <c r="N42" s="373" t="str">
        <f t="shared" ca="1" si="1"/>
        <v/>
      </c>
      <c r="O42" s="374" t="str">
        <f t="shared" ca="1" si="2"/>
        <v/>
      </c>
      <c r="P42" s="375">
        <f t="shared" ca="1" si="3"/>
        <v>0</v>
      </c>
      <c r="Q42" s="384" t="str">
        <f t="shared" ca="1" si="4"/>
        <v/>
      </c>
      <c r="R42" s="385" t="str">
        <f t="shared" ca="1" si="5"/>
        <v/>
      </c>
      <c r="S42" s="386">
        <f t="shared" ca="1" si="6"/>
        <v>0</v>
      </c>
      <c r="T42" s="387" t="str">
        <f t="shared" ca="1" si="7"/>
        <v/>
      </c>
      <c r="U42" s="5"/>
      <c r="V42" s="6"/>
      <c r="W42" s="4"/>
      <c r="X42" s="4">
        <v>6</v>
      </c>
      <c r="Y42" s="104">
        <f t="shared" si="8"/>
        <v>40</v>
      </c>
      <c r="Z42" s="104">
        <f t="shared" si="29"/>
        <v>0</v>
      </c>
      <c r="AA42" s="4"/>
      <c r="AB42" s="53">
        <f t="shared" si="52"/>
        <v>0</v>
      </c>
      <c r="AC42" s="54">
        <f>IF(SUM(AB42:AB$116)=0,0,F42&gt;0)</f>
        <v>0</v>
      </c>
      <c r="AD42" s="53">
        <f t="shared" si="53"/>
        <v>0</v>
      </c>
      <c r="AE42" s="54">
        <f>IF(SUM(AB42:AB$116)=0,0,AND(AC42=FALSE,AD42=0,SUM(AD42:AD$116)&gt;0))</f>
        <v>0</v>
      </c>
      <c r="AF42" s="54">
        <f t="shared" si="30"/>
        <v>0</v>
      </c>
      <c r="AG42" s="54">
        <f t="shared" si="31"/>
        <v>0</v>
      </c>
      <c r="AH42" s="56">
        <f t="shared" si="32"/>
        <v>0</v>
      </c>
      <c r="AI42" s="56">
        <f t="shared" si="33"/>
        <v>0</v>
      </c>
      <c r="AJ42" s="54">
        <f t="shared" si="34"/>
        <v>0</v>
      </c>
      <c r="AK42" s="54" t="str">
        <f t="shared" si="35"/>
        <v/>
      </c>
      <c r="AL42" s="54">
        <f t="shared" si="36"/>
        <v>0</v>
      </c>
      <c r="AM42" s="54">
        <f t="shared" si="37"/>
        <v>0</v>
      </c>
      <c r="AN42" s="54">
        <f t="shared" si="38"/>
        <v>0</v>
      </c>
      <c r="AO42" s="54">
        <f t="shared" si="39"/>
        <v>0</v>
      </c>
      <c r="AP42" s="54">
        <f t="shared" si="40"/>
        <v>0</v>
      </c>
      <c r="AQ42" s="54">
        <f t="shared" si="41"/>
        <v>0</v>
      </c>
      <c r="AR42" s="53">
        <f t="shared" si="42"/>
        <v>0</v>
      </c>
      <c r="AS42" s="409" t="str">
        <f t="shared" si="43"/>
        <v/>
      </c>
      <c r="AT42" s="54">
        <f t="shared" si="10"/>
        <v>0</v>
      </c>
      <c r="AU42" s="54">
        <f t="shared" si="11"/>
        <v>0</v>
      </c>
      <c r="AV42" s="54">
        <f t="shared" si="12"/>
        <v>0</v>
      </c>
      <c r="AW42" s="55" t="b">
        <f t="shared" ca="1" si="13"/>
        <v>0</v>
      </c>
      <c r="AX42" s="69"/>
      <c r="AY42" s="203">
        <f t="shared" ca="1" si="14"/>
        <v>0</v>
      </c>
      <c r="AZ42" s="72">
        <f t="shared" ca="1" si="15"/>
        <v>0</v>
      </c>
      <c r="BA42" s="72">
        <f t="shared" ca="1" si="44"/>
        <v>0</v>
      </c>
      <c r="BB42" s="75">
        <f t="shared" ca="1" si="16"/>
        <v>0</v>
      </c>
      <c r="BC42" s="209">
        <f t="shared" si="17"/>
        <v>0</v>
      </c>
      <c r="BD42" s="72">
        <f t="shared" si="45"/>
        <v>0</v>
      </c>
      <c r="BE42" s="72">
        <f t="shared" si="46"/>
        <v>0</v>
      </c>
      <c r="BF42" s="72">
        <f t="shared" si="47"/>
        <v>0</v>
      </c>
      <c r="BG42" s="200">
        <f t="shared" ca="1" si="48"/>
        <v>0</v>
      </c>
      <c r="BH42" s="69"/>
      <c r="BI42" s="198">
        <f t="shared" si="18"/>
        <v>0</v>
      </c>
      <c r="BJ42" s="71">
        <f t="shared" si="19"/>
        <v>0</v>
      </c>
      <c r="BK42" s="72">
        <f t="shared" si="49"/>
        <v>0</v>
      </c>
      <c r="BL42" s="72">
        <f t="shared" ca="1" si="50"/>
        <v>0</v>
      </c>
      <c r="BM42" s="200">
        <f t="shared" ca="1" si="20"/>
        <v>0</v>
      </c>
      <c r="BN42" s="69"/>
      <c r="BO42" s="198">
        <f t="shared" si="21"/>
        <v>0</v>
      </c>
      <c r="BP42" s="72">
        <f t="shared" ca="1" si="22"/>
        <v>0</v>
      </c>
      <c r="BQ42" s="78">
        <f t="shared" si="51"/>
        <v>0</v>
      </c>
      <c r="BR42" s="78">
        <f t="shared" si="23"/>
        <v>0</v>
      </c>
      <c r="BS42" s="80">
        <f t="shared" ca="1" si="24"/>
        <v>0</v>
      </c>
      <c r="BT42" s="80">
        <f t="shared" ca="1" si="25"/>
        <v>0</v>
      </c>
      <c r="BU42" s="259" t="str">
        <f t="shared" ca="1" si="26"/>
        <v/>
      </c>
      <c r="BV42" s="206" t="str">
        <f t="shared" ca="1" si="27"/>
        <v/>
      </c>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row>
    <row r="43" spans="1:116">
      <c r="A43" s="5"/>
      <c r="B43" s="327">
        <f t="shared" si="28"/>
        <v>40</v>
      </c>
      <c r="C43" s="398">
        <v>7</v>
      </c>
      <c r="D43" s="688"/>
      <c r="E43" s="698"/>
      <c r="F43" s="476"/>
      <c r="G43" s="483"/>
      <c r="H43" s="466"/>
      <c r="I43" s="467"/>
      <c r="J43" s="489"/>
      <c r="K43" s="490"/>
      <c r="L43" s="491"/>
      <c r="M43" s="492"/>
      <c r="N43" s="373" t="str">
        <f t="shared" ca="1" si="1"/>
        <v/>
      </c>
      <c r="O43" s="374" t="str">
        <f t="shared" ca="1" si="2"/>
        <v/>
      </c>
      <c r="P43" s="375">
        <f t="shared" ca="1" si="3"/>
        <v>0</v>
      </c>
      <c r="Q43" s="384" t="str">
        <f t="shared" ca="1" si="4"/>
        <v/>
      </c>
      <c r="R43" s="385" t="str">
        <f t="shared" ca="1" si="5"/>
        <v/>
      </c>
      <c r="S43" s="386">
        <f t="shared" ca="1" si="6"/>
        <v>0</v>
      </c>
      <c r="T43" s="387" t="str">
        <f t="shared" ca="1" si="7"/>
        <v/>
      </c>
      <c r="U43" s="5"/>
      <c r="V43" s="6"/>
      <c r="W43" s="4"/>
      <c r="X43" s="4">
        <v>7</v>
      </c>
      <c r="Y43" s="104">
        <f t="shared" si="8"/>
        <v>40</v>
      </c>
      <c r="Z43" s="104">
        <f t="shared" si="29"/>
        <v>0</v>
      </c>
      <c r="AA43" s="4"/>
      <c r="AB43" s="53">
        <f t="shared" si="52"/>
        <v>0</v>
      </c>
      <c r="AC43" s="54">
        <f>IF(SUM(AB43:AB$116)=0,0,F43&gt;0)</f>
        <v>0</v>
      </c>
      <c r="AD43" s="53">
        <f t="shared" si="53"/>
        <v>0</v>
      </c>
      <c r="AE43" s="54">
        <f>IF(SUM(AB43:AB$116)=0,0,AND(AC43=FALSE,AD43=0,SUM(AD43:AD$116)&gt;0))</f>
        <v>0</v>
      </c>
      <c r="AF43" s="54">
        <f t="shared" si="30"/>
        <v>0</v>
      </c>
      <c r="AG43" s="54">
        <f t="shared" si="31"/>
        <v>0</v>
      </c>
      <c r="AH43" s="56">
        <f t="shared" si="32"/>
        <v>0</v>
      </c>
      <c r="AI43" s="56">
        <f t="shared" si="33"/>
        <v>0</v>
      </c>
      <c r="AJ43" s="54">
        <f t="shared" si="34"/>
        <v>0</v>
      </c>
      <c r="AK43" s="54" t="str">
        <f t="shared" si="35"/>
        <v/>
      </c>
      <c r="AL43" s="54">
        <f t="shared" si="36"/>
        <v>0</v>
      </c>
      <c r="AM43" s="54">
        <f t="shared" si="37"/>
        <v>0</v>
      </c>
      <c r="AN43" s="54">
        <f t="shared" si="38"/>
        <v>0</v>
      </c>
      <c r="AO43" s="54">
        <f t="shared" si="39"/>
        <v>0</v>
      </c>
      <c r="AP43" s="54">
        <f t="shared" si="40"/>
        <v>0</v>
      </c>
      <c r="AQ43" s="54">
        <f t="shared" si="41"/>
        <v>0</v>
      </c>
      <c r="AR43" s="53">
        <f t="shared" si="42"/>
        <v>0</v>
      </c>
      <c r="AS43" s="409" t="str">
        <f t="shared" si="43"/>
        <v/>
      </c>
      <c r="AT43" s="54">
        <f t="shared" si="10"/>
        <v>0</v>
      </c>
      <c r="AU43" s="54">
        <f t="shared" si="11"/>
        <v>0</v>
      </c>
      <c r="AV43" s="54">
        <f t="shared" si="12"/>
        <v>0</v>
      </c>
      <c r="AW43" s="55" t="b">
        <f t="shared" ca="1" si="13"/>
        <v>0</v>
      </c>
      <c r="AX43" s="69"/>
      <c r="AY43" s="203">
        <f t="shared" ca="1" si="14"/>
        <v>0</v>
      </c>
      <c r="AZ43" s="72">
        <f t="shared" ca="1" si="15"/>
        <v>0</v>
      </c>
      <c r="BA43" s="72">
        <f t="shared" ca="1" si="44"/>
        <v>0</v>
      </c>
      <c r="BB43" s="75">
        <f t="shared" ca="1" si="16"/>
        <v>0</v>
      </c>
      <c r="BC43" s="209">
        <f t="shared" si="17"/>
        <v>0</v>
      </c>
      <c r="BD43" s="72">
        <f t="shared" si="45"/>
        <v>0</v>
      </c>
      <c r="BE43" s="72">
        <f t="shared" si="46"/>
        <v>0</v>
      </c>
      <c r="BF43" s="72">
        <f t="shared" si="47"/>
        <v>0</v>
      </c>
      <c r="BG43" s="200">
        <f t="shared" ca="1" si="48"/>
        <v>0</v>
      </c>
      <c r="BH43" s="69"/>
      <c r="BI43" s="198">
        <f t="shared" si="18"/>
        <v>0</v>
      </c>
      <c r="BJ43" s="71">
        <f t="shared" si="19"/>
        <v>0</v>
      </c>
      <c r="BK43" s="72">
        <f t="shared" si="49"/>
        <v>0</v>
      </c>
      <c r="BL43" s="72">
        <f t="shared" ca="1" si="50"/>
        <v>0</v>
      </c>
      <c r="BM43" s="200">
        <f t="shared" ca="1" si="20"/>
        <v>0</v>
      </c>
      <c r="BN43" s="69"/>
      <c r="BO43" s="198">
        <f t="shared" si="21"/>
        <v>0</v>
      </c>
      <c r="BP43" s="72">
        <f t="shared" ca="1" si="22"/>
        <v>0</v>
      </c>
      <c r="BQ43" s="78">
        <f t="shared" si="51"/>
        <v>0</v>
      </c>
      <c r="BR43" s="78">
        <f t="shared" si="23"/>
        <v>0</v>
      </c>
      <c r="BS43" s="80">
        <f t="shared" ca="1" si="24"/>
        <v>0</v>
      </c>
      <c r="BT43" s="80">
        <f t="shared" ca="1" si="25"/>
        <v>0</v>
      </c>
      <c r="BU43" s="259" t="str">
        <f t="shared" ca="1" si="26"/>
        <v/>
      </c>
      <c r="BV43" s="206" t="str">
        <f t="shared" ca="1" si="27"/>
        <v/>
      </c>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row>
    <row r="44" spans="1:116">
      <c r="A44" s="5"/>
      <c r="B44" s="327">
        <f t="shared" si="28"/>
        <v>40</v>
      </c>
      <c r="C44" s="398">
        <v>8</v>
      </c>
      <c r="D44" s="688"/>
      <c r="E44" s="698"/>
      <c r="F44" s="476"/>
      <c r="G44" s="483"/>
      <c r="H44" s="466"/>
      <c r="I44" s="467"/>
      <c r="J44" s="489"/>
      <c r="K44" s="490"/>
      <c r="L44" s="491"/>
      <c r="M44" s="492"/>
      <c r="N44" s="373" t="str">
        <f t="shared" ca="1" si="1"/>
        <v/>
      </c>
      <c r="O44" s="374" t="str">
        <f t="shared" ca="1" si="2"/>
        <v/>
      </c>
      <c r="P44" s="375">
        <f t="shared" ca="1" si="3"/>
        <v>0</v>
      </c>
      <c r="Q44" s="384" t="str">
        <f t="shared" ca="1" si="4"/>
        <v/>
      </c>
      <c r="R44" s="385" t="str">
        <f t="shared" ca="1" si="5"/>
        <v/>
      </c>
      <c r="S44" s="386">
        <f t="shared" ca="1" si="6"/>
        <v>0</v>
      </c>
      <c r="T44" s="387" t="str">
        <f t="shared" ca="1" si="7"/>
        <v/>
      </c>
      <c r="U44" s="5"/>
      <c r="V44" s="6"/>
      <c r="W44" s="4"/>
      <c r="X44" s="4">
        <v>8</v>
      </c>
      <c r="Y44" s="104">
        <f t="shared" si="8"/>
        <v>40</v>
      </c>
      <c r="Z44" s="104">
        <f t="shared" si="29"/>
        <v>0</v>
      </c>
      <c r="AA44" s="4"/>
      <c r="AB44" s="53">
        <f t="shared" si="52"/>
        <v>0</v>
      </c>
      <c r="AC44" s="54">
        <f>IF(SUM(AB44:AB$116)=0,0,F44&gt;0)</f>
        <v>0</v>
      </c>
      <c r="AD44" s="53">
        <f t="shared" si="53"/>
        <v>0</v>
      </c>
      <c r="AE44" s="54">
        <f>IF(SUM(AB44:AB$116)=0,0,AND(AC44=FALSE,AD44=0,SUM(AD44:AD$116)&gt;0))</f>
        <v>0</v>
      </c>
      <c r="AF44" s="54">
        <f t="shared" si="30"/>
        <v>0</v>
      </c>
      <c r="AG44" s="54">
        <f t="shared" si="31"/>
        <v>0</v>
      </c>
      <c r="AH44" s="56">
        <f t="shared" si="32"/>
        <v>0</v>
      </c>
      <c r="AI44" s="56">
        <f t="shared" si="33"/>
        <v>0</v>
      </c>
      <c r="AJ44" s="54">
        <f t="shared" si="34"/>
        <v>0</v>
      </c>
      <c r="AK44" s="54" t="str">
        <f t="shared" si="35"/>
        <v/>
      </c>
      <c r="AL44" s="54">
        <f t="shared" si="36"/>
        <v>0</v>
      </c>
      <c r="AM44" s="54">
        <f t="shared" si="37"/>
        <v>0</v>
      </c>
      <c r="AN44" s="54">
        <f t="shared" si="38"/>
        <v>0</v>
      </c>
      <c r="AO44" s="54">
        <f t="shared" si="39"/>
        <v>0</v>
      </c>
      <c r="AP44" s="54">
        <f t="shared" si="40"/>
        <v>0</v>
      </c>
      <c r="AQ44" s="54">
        <f t="shared" si="41"/>
        <v>0</v>
      </c>
      <c r="AR44" s="53">
        <f t="shared" si="42"/>
        <v>0</v>
      </c>
      <c r="AS44" s="409" t="str">
        <f t="shared" si="43"/>
        <v/>
      </c>
      <c r="AT44" s="54">
        <f t="shared" si="10"/>
        <v>0</v>
      </c>
      <c r="AU44" s="54">
        <f t="shared" si="11"/>
        <v>0</v>
      </c>
      <c r="AV44" s="54">
        <f t="shared" si="12"/>
        <v>0</v>
      </c>
      <c r="AW44" s="55" t="b">
        <f t="shared" ca="1" si="13"/>
        <v>0</v>
      </c>
      <c r="AX44" s="69"/>
      <c r="AY44" s="203">
        <f t="shared" ca="1" si="14"/>
        <v>0</v>
      </c>
      <c r="AZ44" s="72">
        <f t="shared" ca="1" si="15"/>
        <v>0</v>
      </c>
      <c r="BA44" s="72">
        <f t="shared" ca="1" si="44"/>
        <v>0</v>
      </c>
      <c r="BB44" s="75">
        <f t="shared" ca="1" si="16"/>
        <v>0</v>
      </c>
      <c r="BC44" s="209">
        <f t="shared" si="17"/>
        <v>0</v>
      </c>
      <c r="BD44" s="72">
        <f t="shared" si="45"/>
        <v>0</v>
      </c>
      <c r="BE44" s="72">
        <f t="shared" si="46"/>
        <v>0</v>
      </c>
      <c r="BF44" s="72">
        <f t="shared" si="47"/>
        <v>0</v>
      </c>
      <c r="BG44" s="200">
        <f t="shared" ca="1" si="48"/>
        <v>0</v>
      </c>
      <c r="BH44" s="69"/>
      <c r="BI44" s="198">
        <f t="shared" si="18"/>
        <v>0</v>
      </c>
      <c r="BJ44" s="71">
        <f t="shared" si="19"/>
        <v>0</v>
      </c>
      <c r="BK44" s="72">
        <f t="shared" si="49"/>
        <v>0</v>
      </c>
      <c r="BL44" s="72">
        <f t="shared" ca="1" si="50"/>
        <v>0</v>
      </c>
      <c r="BM44" s="200">
        <f t="shared" ca="1" si="20"/>
        <v>0</v>
      </c>
      <c r="BN44" s="69"/>
      <c r="BO44" s="198">
        <f t="shared" si="21"/>
        <v>0</v>
      </c>
      <c r="BP44" s="72">
        <f t="shared" ca="1" si="22"/>
        <v>0</v>
      </c>
      <c r="BQ44" s="78">
        <f t="shared" si="51"/>
        <v>0</v>
      </c>
      <c r="BR44" s="78">
        <f t="shared" si="23"/>
        <v>0</v>
      </c>
      <c r="BS44" s="80">
        <f t="shared" ca="1" si="24"/>
        <v>0</v>
      </c>
      <c r="BT44" s="80">
        <f t="shared" ca="1" si="25"/>
        <v>0</v>
      </c>
      <c r="BU44" s="259" t="str">
        <f t="shared" ca="1" si="26"/>
        <v/>
      </c>
      <c r="BV44" s="206" t="str">
        <f t="shared" ca="1" si="27"/>
        <v/>
      </c>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row>
    <row r="45" spans="1:116">
      <c r="A45" s="5"/>
      <c r="B45" s="327">
        <f t="shared" si="28"/>
        <v>40</v>
      </c>
      <c r="C45" s="398">
        <v>9</v>
      </c>
      <c r="D45" s="688"/>
      <c r="E45" s="698"/>
      <c r="F45" s="476"/>
      <c r="G45" s="483"/>
      <c r="H45" s="466"/>
      <c r="I45" s="467"/>
      <c r="J45" s="489"/>
      <c r="K45" s="490"/>
      <c r="L45" s="491"/>
      <c r="M45" s="492"/>
      <c r="N45" s="373" t="str">
        <f t="shared" ca="1" si="1"/>
        <v/>
      </c>
      <c r="O45" s="374" t="str">
        <f t="shared" ca="1" si="2"/>
        <v/>
      </c>
      <c r="P45" s="375">
        <f t="shared" ca="1" si="3"/>
        <v>0</v>
      </c>
      <c r="Q45" s="384" t="str">
        <f t="shared" ca="1" si="4"/>
        <v/>
      </c>
      <c r="R45" s="385" t="str">
        <f t="shared" ca="1" si="5"/>
        <v/>
      </c>
      <c r="S45" s="386">
        <f t="shared" ca="1" si="6"/>
        <v>0</v>
      </c>
      <c r="T45" s="387" t="str">
        <f t="shared" ca="1" si="7"/>
        <v/>
      </c>
      <c r="U45" s="5"/>
      <c r="V45" s="6"/>
      <c r="W45" s="4"/>
      <c r="X45" s="4">
        <v>9</v>
      </c>
      <c r="Y45" s="104">
        <f t="shared" si="8"/>
        <v>40</v>
      </c>
      <c r="Z45" s="104">
        <f t="shared" si="29"/>
        <v>0</v>
      </c>
      <c r="AA45" s="4"/>
      <c r="AB45" s="53">
        <f t="shared" si="52"/>
        <v>0</v>
      </c>
      <c r="AC45" s="54">
        <f>IF(SUM(AB45:AB$116)=0,0,F45&gt;0)</f>
        <v>0</v>
      </c>
      <c r="AD45" s="53">
        <f t="shared" si="53"/>
        <v>0</v>
      </c>
      <c r="AE45" s="54">
        <f>IF(SUM(AB45:AB$116)=0,0,AND(AC45=FALSE,AD45=0,SUM(AD45:AD$116)&gt;0))</f>
        <v>0</v>
      </c>
      <c r="AF45" s="54">
        <f t="shared" si="30"/>
        <v>0</v>
      </c>
      <c r="AG45" s="54">
        <f t="shared" si="31"/>
        <v>0</v>
      </c>
      <c r="AH45" s="56">
        <f t="shared" si="32"/>
        <v>0</v>
      </c>
      <c r="AI45" s="56">
        <f t="shared" si="33"/>
        <v>0</v>
      </c>
      <c r="AJ45" s="54">
        <f t="shared" si="34"/>
        <v>0</v>
      </c>
      <c r="AK45" s="54" t="str">
        <f t="shared" si="35"/>
        <v/>
      </c>
      <c r="AL45" s="54">
        <f t="shared" si="36"/>
        <v>0</v>
      </c>
      <c r="AM45" s="54">
        <f t="shared" si="37"/>
        <v>0</v>
      </c>
      <c r="AN45" s="54">
        <f t="shared" si="38"/>
        <v>0</v>
      </c>
      <c r="AO45" s="54">
        <f t="shared" si="39"/>
        <v>0</v>
      </c>
      <c r="AP45" s="54">
        <f t="shared" si="40"/>
        <v>0</v>
      </c>
      <c r="AQ45" s="54">
        <f t="shared" si="41"/>
        <v>0</v>
      </c>
      <c r="AR45" s="53">
        <f t="shared" si="42"/>
        <v>0</v>
      </c>
      <c r="AS45" s="409" t="str">
        <f t="shared" si="43"/>
        <v/>
      </c>
      <c r="AT45" s="54">
        <f t="shared" si="10"/>
        <v>0</v>
      </c>
      <c r="AU45" s="54">
        <f t="shared" si="11"/>
        <v>0</v>
      </c>
      <c r="AV45" s="54">
        <f t="shared" si="12"/>
        <v>0</v>
      </c>
      <c r="AW45" s="55" t="b">
        <f t="shared" ca="1" si="13"/>
        <v>0</v>
      </c>
      <c r="AX45" s="69"/>
      <c r="AY45" s="203">
        <f t="shared" ca="1" si="14"/>
        <v>0</v>
      </c>
      <c r="AZ45" s="72">
        <f t="shared" ca="1" si="15"/>
        <v>0</v>
      </c>
      <c r="BA45" s="72">
        <f t="shared" ca="1" si="44"/>
        <v>0</v>
      </c>
      <c r="BB45" s="75">
        <f t="shared" ca="1" si="16"/>
        <v>0</v>
      </c>
      <c r="BC45" s="209">
        <f t="shared" si="17"/>
        <v>0</v>
      </c>
      <c r="BD45" s="72">
        <f t="shared" si="45"/>
        <v>0</v>
      </c>
      <c r="BE45" s="72">
        <f t="shared" si="46"/>
        <v>0</v>
      </c>
      <c r="BF45" s="72">
        <f t="shared" si="47"/>
        <v>0</v>
      </c>
      <c r="BG45" s="200">
        <f t="shared" ca="1" si="48"/>
        <v>0</v>
      </c>
      <c r="BH45" s="69"/>
      <c r="BI45" s="198">
        <f t="shared" si="18"/>
        <v>0</v>
      </c>
      <c r="BJ45" s="71">
        <f t="shared" si="19"/>
        <v>0</v>
      </c>
      <c r="BK45" s="72">
        <f t="shared" si="49"/>
        <v>0</v>
      </c>
      <c r="BL45" s="72">
        <f t="shared" ca="1" si="50"/>
        <v>0</v>
      </c>
      <c r="BM45" s="200">
        <f t="shared" ca="1" si="20"/>
        <v>0</v>
      </c>
      <c r="BN45" s="69"/>
      <c r="BO45" s="198">
        <f t="shared" si="21"/>
        <v>0</v>
      </c>
      <c r="BP45" s="72">
        <f t="shared" ca="1" si="22"/>
        <v>0</v>
      </c>
      <c r="BQ45" s="78">
        <f t="shared" si="51"/>
        <v>0</v>
      </c>
      <c r="BR45" s="78">
        <f t="shared" si="23"/>
        <v>0</v>
      </c>
      <c r="BS45" s="80">
        <f t="shared" ca="1" si="24"/>
        <v>0</v>
      </c>
      <c r="BT45" s="80">
        <f t="shared" ca="1" si="25"/>
        <v>0</v>
      </c>
      <c r="BU45" s="259" t="str">
        <f t="shared" ca="1" si="26"/>
        <v/>
      </c>
      <c r="BV45" s="206" t="str">
        <f t="shared" ca="1" si="27"/>
        <v/>
      </c>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row>
    <row r="46" spans="1:116">
      <c r="A46" s="5"/>
      <c r="B46" s="327">
        <f t="shared" si="28"/>
        <v>40</v>
      </c>
      <c r="C46" s="398">
        <v>10</v>
      </c>
      <c r="D46" s="688"/>
      <c r="E46" s="698"/>
      <c r="F46" s="476"/>
      <c r="G46" s="483"/>
      <c r="H46" s="466"/>
      <c r="I46" s="467"/>
      <c r="J46" s="489"/>
      <c r="K46" s="490"/>
      <c r="L46" s="491"/>
      <c r="M46" s="492"/>
      <c r="N46" s="373" t="str">
        <f t="shared" ca="1" si="1"/>
        <v/>
      </c>
      <c r="O46" s="374" t="str">
        <f t="shared" ca="1" si="2"/>
        <v/>
      </c>
      <c r="P46" s="375">
        <f t="shared" ca="1" si="3"/>
        <v>0</v>
      </c>
      <c r="Q46" s="384" t="str">
        <f t="shared" ca="1" si="4"/>
        <v/>
      </c>
      <c r="R46" s="385" t="str">
        <f t="shared" ca="1" si="5"/>
        <v/>
      </c>
      <c r="S46" s="386">
        <f t="shared" ca="1" si="6"/>
        <v>0</v>
      </c>
      <c r="T46" s="387" t="str">
        <f t="shared" ca="1" si="7"/>
        <v/>
      </c>
      <c r="U46" s="5"/>
      <c r="V46" s="6"/>
      <c r="W46" s="4"/>
      <c r="X46" s="4">
        <v>10</v>
      </c>
      <c r="Y46" s="104">
        <f t="shared" si="8"/>
        <v>40</v>
      </c>
      <c r="Z46" s="104">
        <f t="shared" si="29"/>
        <v>0</v>
      </c>
      <c r="AA46" s="4"/>
      <c r="AB46" s="53">
        <f t="shared" si="52"/>
        <v>0</v>
      </c>
      <c r="AC46" s="54">
        <f>IF(SUM(AB46:AB$116)=0,0,F46&gt;0)</f>
        <v>0</v>
      </c>
      <c r="AD46" s="53">
        <f t="shared" si="53"/>
        <v>0</v>
      </c>
      <c r="AE46" s="54">
        <f>IF(SUM(AB46:AB$116)=0,0,AND(AC46=FALSE,AD46=0,SUM(AD46:AD$116)&gt;0))</f>
        <v>0</v>
      </c>
      <c r="AF46" s="54">
        <f t="shared" si="30"/>
        <v>0</v>
      </c>
      <c r="AG46" s="54">
        <f t="shared" si="31"/>
        <v>0</v>
      </c>
      <c r="AH46" s="56">
        <f t="shared" si="32"/>
        <v>0</v>
      </c>
      <c r="AI46" s="56">
        <f t="shared" si="33"/>
        <v>0</v>
      </c>
      <c r="AJ46" s="54">
        <f t="shared" si="34"/>
        <v>0</v>
      </c>
      <c r="AK46" s="54" t="str">
        <f t="shared" si="35"/>
        <v/>
      </c>
      <c r="AL46" s="54">
        <f t="shared" si="36"/>
        <v>0</v>
      </c>
      <c r="AM46" s="54">
        <f t="shared" si="37"/>
        <v>0</v>
      </c>
      <c r="AN46" s="54">
        <f t="shared" si="38"/>
        <v>0</v>
      </c>
      <c r="AO46" s="54">
        <f t="shared" si="39"/>
        <v>0</v>
      </c>
      <c r="AP46" s="54">
        <f t="shared" si="40"/>
        <v>0</v>
      </c>
      <c r="AQ46" s="54">
        <f t="shared" si="41"/>
        <v>0</v>
      </c>
      <c r="AR46" s="53">
        <f t="shared" si="42"/>
        <v>0</v>
      </c>
      <c r="AS46" s="409" t="str">
        <f t="shared" si="43"/>
        <v/>
      </c>
      <c r="AT46" s="54">
        <f t="shared" si="10"/>
        <v>0</v>
      </c>
      <c r="AU46" s="54">
        <f t="shared" si="11"/>
        <v>0</v>
      </c>
      <c r="AV46" s="54">
        <f t="shared" si="12"/>
        <v>0</v>
      </c>
      <c r="AW46" s="55" t="b">
        <f t="shared" ca="1" si="13"/>
        <v>0</v>
      </c>
      <c r="AX46" s="69"/>
      <c r="AY46" s="203">
        <f t="shared" ca="1" si="14"/>
        <v>0</v>
      </c>
      <c r="AZ46" s="72">
        <f t="shared" ca="1" si="15"/>
        <v>0</v>
      </c>
      <c r="BA46" s="72">
        <f t="shared" ca="1" si="44"/>
        <v>0</v>
      </c>
      <c r="BB46" s="75">
        <f t="shared" ca="1" si="16"/>
        <v>0</v>
      </c>
      <c r="BC46" s="209">
        <f t="shared" si="17"/>
        <v>0</v>
      </c>
      <c r="BD46" s="72">
        <f t="shared" si="45"/>
        <v>0</v>
      </c>
      <c r="BE46" s="72">
        <f t="shared" si="46"/>
        <v>0</v>
      </c>
      <c r="BF46" s="72">
        <f t="shared" si="47"/>
        <v>0</v>
      </c>
      <c r="BG46" s="200">
        <f t="shared" ca="1" si="48"/>
        <v>0</v>
      </c>
      <c r="BH46" s="69"/>
      <c r="BI46" s="198">
        <f t="shared" si="18"/>
        <v>0</v>
      </c>
      <c r="BJ46" s="71">
        <f t="shared" si="19"/>
        <v>0</v>
      </c>
      <c r="BK46" s="72">
        <f t="shared" si="49"/>
        <v>0</v>
      </c>
      <c r="BL46" s="72">
        <f t="shared" ca="1" si="50"/>
        <v>0</v>
      </c>
      <c r="BM46" s="200">
        <f t="shared" ca="1" si="20"/>
        <v>0</v>
      </c>
      <c r="BN46" s="69"/>
      <c r="BO46" s="198">
        <f t="shared" si="21"/>
        <v>0</v>
      </c>
      <c r="BP46" s="72">
        <f t="shared" ca="1" si="22"/>
        <v>0</v>
      </c>
      <c r="BQ46" s="78">
        <f t="shared" si="51"/>
        <v>0</v>
      </c>
      <c r="BR46" s="78">
        <f t="shared" si="23"/>
        <v>0</v>
      </c>
      <c r="BS46" s="80">
        <f t="shared" ca="1" si="24"/>
        <v>0</v>
      </c>
      <c r="BT46" s="80">
        <f t="shared" ca="1" si="25"/>
        <v>0</v>
      </c>
      <c r="BU46" s="259" t="str">
        <f t="shared" ca="1" si="26"/>
        <v/>
      </c>
      <c r="BV46" s="206" t="str">
        <f t="shared" ca="1" si="27"/>
        <v/>
      </c>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row>
    <row r="47" spans="1:116">
      <c r="A47" s="5"/>
      <c r="B47" s="327">
        <f t="shared" si="28"/>
        <v>40</v>
      </c>
      <c r="C47" s="398">
        <v>11</v>
      </c>
      <c r="D47" s="688"/>
      <c r="E47" s="698"/>
      <c r="F47" s="476"/>
      <c r="G47" s="483"/>
      <c r="H47" s="466"/>
      <c r="I47" s="467"/>
      <c r="J47" s="489"/>
      <c r="K47" s="490"/>
      <c r="L47" s="491"/>
      <c r="M47" s="492"/>
      <c r="N47" s="373" t="str">
        <f t="shared" ca="1" si="1"/>
        <v/>
      </c>
      <c r="O47" s="374" t="str">
        <f t="shared" ca="1" si="2"/>
        <v/>
      </c>
      <c r="P47" s="375">
        <f t="shared" ca="1" si="3"/>
        <v>0</v>
      </c>
      <c r="Q47" s="384" t="str">
        <f t="shared" ca="1" si="4"/>
        <v/>
      </c>
      <c r="R47" s="385" t="str">
        <f t="shared" ca="1" si="5"/>
        <v/>
      </c>
      <c r="S47" s="386">
        <f t="shared" ca="1" si="6"/>
        <v>0</v>
      </c>
      <c r="T47" s="387" t="str">
        <f t="shared" ca="1" si="7"/>
        <v/>
      </c>
      <c r="U47" s="5"/>
      <c r="V47" s="6"/>
      <c r="W47" s="4"/>
      <c r="X47" s="4">
        <v>11</v>
      </c>
      <c r="Y47" s="104">
        <f t="shared" si="8"/>
        <v>40</v>
      </c>
      <c r="Z47" s="104">
        <f t="shared" si="29"/>
        <v>0</v>
      </c>
      <c r="AA47" s="4"/>
      <c r="AB47" s="53">
        <f t="shared" si="52"/>
        <v>0</v>
      </c>
      <c r="AC47" s="54">
        <f>IF(SUM(AB47:AB$116)=0,0,F47&gt;0)</f>
        <v>0</v>
      </c>
      <c r="AD47" s="53">
        <f t="shared" si="53"/>
        <v>0</v>
      </c>
      <c r="AE47" s="54">
        <f>IF(SUM(AB47:AB$116)=0,0,AND(AC47=FALSE,AD47=0,SUM(AD47:AD$116)&gt;0))</f>
        <v>0</v>
      </c>
      <c r="AF47" s="54">
        <f t="shared" si="30"/>
        <v>0</v>
      </c>
      <c r="AG47" s="54">
        <f t="shared" si="31"/>
        <v>0</v>
      </c>
      <c r="AH47" s="56">
        <f t="shared" si="32"/>
        <v>0</v>
      </c>
      <c r="AI47" s="56">
        <f t="shared" si="33"/>
        <v>0</v>
      </c>
      <c r="AJ47" s="54">
        <f t="shared" si="34"/>
        <v>0</v>
      </c>
      <c r="AK47" s="54" t="str">
        <f t="shared" si="35"/>
        <v/>
      </c>
      <c r="AL47" s="54">
        <f t="shared" si="36"/>
        <v>0</v>
      </c>
      <c r="AM47" s="54">
        <f t="shared" si="37"/>
        <v>0</v>
      </c>
      <c r="AN47" s="54">
        <f t="shared" si="38"/>
        <v>0</v>
      </c>
      <c r="AO47" s="54">
        <f t="shared" si="39"/>
        <v>0</v>
      </c>
      <c r="AP47" s="54">
        <f t="shared" si="40"/>
        <v>0</v>
      </c>
      <c r="AQ47" s="54">
        <f t="shared" si="41"/>
        <v>0</v>
      </c>
      <c r="AR47" s="53">
        <f t="shared" si="42"/>
        <v>0</v>
      </c>
      <c r="AS47" s="409" t="str">
        <f t="shared" si="43"/>
        <v/>
      </c>
      <c r="AT47" s="54">
        <f t="shared" si="10"/>
        <v>0</v>
      </c>
      <c r="AU47" s="54">
        <f t="shared" si="11"/>
        <v>0</v>
      </c>
      <c r="AV47" s="54">
        <f t="shared" si="12"/>
        <v>0</v>
      </c>
      <c r="AW47" s="55" t="b">
        <f t="shared" ca="1" si="13"/>
        <v>0</v>
      </c>
      <c r="AX47" s="69"/>
      <c r="AY47" s="203">
        <f t="shared" ca="1" si="14"/>
        <v>0</v>
      </c>
      <c r="AZ47" s="72">
        <f t="shared" ca="1" si="15"/>
        <v>0</v>
      </c>
      <c r="BA47" s="72">
        <f t="shared" ca="1" si="44"/>
        <v>0</v>
      </c>
      <c r="BB47" s="75">
        <f t="shared" ca="1" si="16"/>
        <v>0</v>
      </c>
      <c r="BC47" s="209">
        <f t="shared" si="17"/>
        <v>0</v>
      </c>
      <c r="BD47" s="72">
        <f t="shared" si="45"/>
        <v>0</v>
      </c>
      <c r="BE47" s="72">
        <f t="shared" si="46"/>
        <v>0</v>
      </c>
      <c r="BF47" s="72">
        <f t="shared" si="47"/>
        <v>0</v>
      </c>
      <c r="BG47" s="200">
        <f t="shared" ca="1" si="48"/>
        <v>0</v>
      </c>
      <c r="BH47" s="69"/>
      <c r="BI47" s="198">
        <f t="shared" si="18"/>
        <v>0</v>
      </c>
      <c r="BJ47" s="71">
        <f t="shared" si="19"/>
        <v>0</v>
      </c>
      <c r="BK47" s="72">
        <f t="shared" si="49"/>
        <v>0</v>
      </c>
      <c r="BL47" s="72">
        <f t="shared" ca="1" si="50"/>
        <v>0</v>
      </c>
      <c r="BM47" s="200">
        <f t="shared" ca="1" si="20"/>
        <v>0</v>
      </c>
      <c r="BN47" s="69"/>
      <c r="BO47" s="198">
        <f t="shared" si="21"/>
        <v>0</v>
      </c>
      <c r="BP47" s="72">
        <f t="shared" ca="1" si="22"/>
        <v>0</v>
      </c>
      <c r="BQ47" s="78">
        <f t="shared" si="51"/>
        <v>0</v>
      </c>
      <c r="BR47" s="78">
        <f t="shared" si="23"/>
        <v>0</v>
      </c>
      <c r="BS47" s="80">
        <f t="shared" ca="1" si="24"/>
        <v>0</v>
      </c>
      <c r="BT47" s="80">
        <f t="shared" ca="1" si="25"/>
        <v>0</v>
      </c>
      <c r="BU47" s="259" t="str">
        <f t="shared" ca="1" si="26"/>
        <v/>
      </c>
      <c r="BV47" s="206" t="str">
        <f t="shared" ca="1" si="27"/>
        <v/>
      </c>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row>
    <row r="48" spans="1:116" ht="12.75" customHeight="1">
      <c r="A48" s="5"/>
      <c r="B48" s="327">
        <f t="shared" si="28"/>
        <v>40</v>
      </c>
      <c r="C48" s="398">
        <v>12</v>
      </c>
      <c r="D48" s="688"/>
      <c r="E48" s="689"/>
      <c r="F48" s="476"/>
      <c r="G48" s="483"/>
      <c r="H48" s="466"/>
      <c r="I48" s="467"/>
      <c r="J48" s="489"/>
      <c r="K48" s="490"/>
      <c r="L48" s="491"/>
      <c r="M48" s="492"/>
      <c r="N48" s="373" t="str">
        <f t="shared" ca="1" si="1"/>
        <v/>
      </c>
      <c r="O48" s="374" t="str">
        <f t="shared" ca="1" si="2"/>
        <v/>
      </c>
      <c r="P48" s="375">
        <f t="shared" ca="1" si="3"/>
        <v>0</v>
      </c>
      <c r="Q48" s="384" t="str">
        <f t="shared" ca="1" si="4"/>
        <v/>
      </c>
      <c r="R48" s="385" t="str">
        <f t="shared" ca="1" si="5"/>
        <v/>
      </c>
      <c r="S48" s="386">
        <f t="shared" ca="1" si="6"/>
        <v>0</v>
      </c>
      <c r="T48" s="387" t="str">
        <f t="shared" ca="1" si="7"/>
        <v/>
      </c>
      <c r="U48" s="5"/>
      <c r="V48" s="6"/>
      <c r="W48" s="4"/>
      <c r="X48" s="4">
        <v>12</v>
      </c>
      <c r="Y48" s="104">
        <f t="shared" si="8"/>
        <v>40</v>
      </c>
      <c r="Z48" s="104">
        <f t="shared" si="29"/>
        <v>0</v>
      </c>
      <c r="AA48" s="4"/>
      <c r="AB48" s="53">
        <f t="shared" si="52"/>
        <v>0</v>
      </c>
      <c r="AC48" s="54">
        <f>IF(SUM(AB48:AB$116)=0,0,F48&gt;0)</f>
        <v>0</v>
      </c>
      <c r="AD48" s="53">
        <f t="shared" si="53"/>
        <v>0</v>
      </c>
      <c r="AE48" s="54">
        <f>IF(SUM(AB48:AB$116)=0,0,AND(AC48=FALSE,AD48=0,SUM(AD48:AD$116)&gt;0))</f>
        <v>0</v>
      </c>
      <c r="AF48" s="54">
        <f t="shared" si="30"/>
        <v>0</v>
      </c>
      <c r="AG48" s="54">
        <f t="shared" si="31"/>
        <v>0</v>
      </c>
      <c r="AH48" s="56">
        <f t="shared" si="32"/>
        <v>0</v>
      </c>
      <c r="AI48" s="56">
        <f t="shared" si="33"/>
        <v>0</v>
      </c>
      <c r="AJ48" s="54">
        <f t="shared" si="34"/>
        <v>0</v>
      </c>
      <c r="AK48" s="54" t="str">
        <f t="shared" si="35"/>
        <v/>
      </c>
      <c r="AL48" s="54">
        <f t="shared" si="36"/>
        <v>0</v>
      </c>
      <c r="AM48" s="54">
        <f t="shared" si="37"/>
        <v>0</v>
      </c>
      <c r="AN48" s="54">
        <f t="shared" si="38"/>
        <v>0</v>
      </c>
      <c r="AO48" s="54">
        <f t="shared" si="39"/>
        <v>0</v>
      </c>
      <c r="AP48" s="54">
        <f t="shared" si="40"/>
        <v>0</v>
      </c>
      <c r="AQ48" s="54">
        <f t="shared" si="41"/>
        <v>0</v>
      </c>
      <c r="AR48" s="53">
        <f t="shared" si="42"/>
        <v>0</v>
      </c>
      <c r="AS48" s="409" t="str">
        <f t="shared" si="43"/>
        <v/>
      </c>
      <c r="AT48" s="54">
        <f t="shared" si="10"/>
        <v>0</v>
      </c>
      <c r="AU48" s="54">
        <f t="shared" si="11"/>
        <v>0</v>
      </c>
      <c r="AV48" s="54">
        <f t="shared" si="12"/>
        <v>0</v>
      </c>
      <c r="AW48" s="55" t="b">
        <f t="shared" ca="1" si="13"/>
        <v>0</v>
      </c>
      <c r="AX48" s="69"/>
      <c r="AY48" s="203">
        <f t="shared" ca="1" si="14"/>
        <v>0</v>
      </c>
      <c r="AZ48" s="72">
        <f t="shared" ca="1" si="15"/>
        <v>0</v>
      </c>
      <c r="BA48" s="72">
        <f t="shared" ca="1" si="44"/>
        <v>0</v>
      </c>
      <c r="BB48" s="75">
        <f t="shared" ca="1" si="16"/>
        <v>0</v>
      </c>
      <c r="BC48" s="209">
        <f t="shared" si="17"/>
        <v>0</v>
      </c>
      <c r="BD48" s="72">
        <f t="shared" si="45"/>
        <v>0</v>
      </c>
      <c r="BE48" s="72">
        <f t="shared" si="46"/>
        <v>0</v>
      </c>
      <c r="BF48" s="72">
        <f t="shared" si="47"/>
        <v>0</v>
      </c>
      <c r="BG48" s="200">
        <f t="shared" ca="1" si="48"/>
        <v>0</v>
      </c>
      <c r="BH48" s="69"/>
      <c r="BI48" s="198">
        <f t="shared" si="18"/>
        <v>0</v>
      </c>
      <c r="BJ48" s="71">
        <f t="shared" si="19"/>
        <v>0</v>
      </c>
      <c r="BK48" s="72">
        <f t="shared" si="49"/>
        <v>0</v>
      </c>
      <c r="BL48" s="72">
        <f t="shared" ca="1" si="50"/>
        <v>0</v>
      </c>
      <c r="BM48" s="200">
        <f t="shared" ca="1" si="20"/>
        <v>0</v>
      </c>
      <c r="BN48" s="69"/>
      <c r="BO48" s="198">
        <f t="shared" si="21"/>
        <v>0</v>
      </c>
      <c r="BP48" s="72">
        <f t="shared" ca="1" si="22"/>
        <v>0</v>
      </c>
      <c r="BQ48" s="78">
        <f t="shared" si="51"/>
        <v>0</v>
      </c>
      <c r="BR48" s="78">
        <f t="shared" si="23"/>
        <v>0</v>
      </c>
      <c r="BS48" s="80">
        <f t="shared" ca="1" si="24"/>
        <v>0</v>
      </c>
      <c r="BT48" s="80">
        <f t="shared" ca="1" si="25"/>
        <v>0</v>
      </c>
      <c r="BU48" s="259" t="str">
        <f t="shared" ca="1" si="26"/>
        <v/>
      </c>
      <c r="BV48" s="206" t="str">
        <f t="shared" ca="1" si="27"/>
        <v/>
      </c>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row>
    <row r="49" spans="1:116" ht="12.75" customHeight="1">
      <c r="A49" s="5"/>
      <c r="B49" s="327">
        <f t="shared" si="28"/>
        <v>40</v>
      </c>
      <c r="C49" s="398">
        <v>13</v>
      </c>
      <c r="D49" s="688"/>
      <c r="E49" s="689"/>
      <c r="F49" s="476"/>
      <c r="G49" s="483"/>
      <c r="H49" s="466"/>
      <c r="I49" s="467"/>
      <c r="J49" s="489"/>
      <c r="K49" s="490"/>
      <c r="L49" s="491"/>
      <c r="M49" s="492"/>
      <c r="N49" s="373" t="str">
        <f t="shared" ca="1" si="1"/>
        <v/>
      </c>
      <c r="O49" s="374" t="str">
        <f t="shared" ca="1" si="2"/>
        <v/>
      </c>
      <c r="P49" s="375">
        <f t="shared" ca="1" si="3"/>
        <v>0</v>
      </c>
      <c r="Q49" s="384" t="str">
        <f t="shared" ca="1" si="4"/>
        <v/>
      </c>
      <c r="R49" s="385" t="str">
        <f t="shared" ca="1" si="5"/>
        <v/>
      </c>
      <c r="S49" s="386">
        <f t="shared" ca="1" si="6"/>
        <v>0</v>
      </c>
      <c r="T49" s="387" t="str">
        <f t="shared" ca="1" si="7"/>
        <v/>
      </c>
      <c r="U49" s="5"/>
      <c r="V49" s="6"/>
      <c r="W49" s="4"/>
      <c r="X49" s="4">
        <v>13</v>
      </c>
      <c r="Y49" s="104">
        <f t="shared" si="8"/>
        <v>40</v>
      </c>
      <c r="Z49" s="104">
        <f t="shared" si="29"/>
        <v>0</v>
      </c>
      <c r="AA49" s="4"/>
      <c r="AB49" s="53">
        <f t="shared" si="52"/>
        <v>0</v>
      </c>
      <c r="AC49" s="54">
        <f>IF(SUM(AB49:AB$116)=0,0,F49&gt;0)</f>
        <v>0</v>
      </c>
      <c r="AD49" s="53">
        <f t="shared" si="53"/>
        <v>0</v>
      </c>
      <c r="AE49" s="54">
        <f>IF(SUM(AB49:AB$116)=0,0,AND(AC49=FALSE,AD49=0,SUM(AD49:AD$116)&gt;0))</f>
        <v>0</v>
      </c>
      <c r="AF49" s="54">
        <f t="shared" si="30"/>
        <v>0</v>
      </c>
      <c r="AG49" s="54">
        <f t="shared" si="31"/>
        <v>0</v>
      </c>
      <c r="AH49" s="56">
        <f t="shared" si="32"/>
        <v>0</v>
      </c>
      <c r="AI49" s="56">
        <f t="shared" si="33"/>
        <v>0</v>
      </c>
      <c r="AJ49" s="54">
        <f t="shared" si="34"/>
        <v>0</v>
      </c>
      <c r="AK49" s="54" t="str">
        <f t="shared" si="35"/>
        <v/>
      </c>
      <c r="AL49" s="54">
        <f t="shared" si="36"/>
        <v>0</v>
      </c>
      <c r="AM49" s="54">
        <f t="shared" si="37"/>
        <v>0</v>
      </c>
      <c r="AN49" s="54">
        <f t="shared" si="38"/>
        <v>0</v>
      </c>
      <c r="AO49" s="54">
        <f t="shared" si="39"/>
        <v>0</v>
      </c>
      <c r="AP49" s="54">
        <f t="shared" si="40"/>
        <v>0</v>
      </c>
      <c r="AQ49" s="54">
        <f t="shared" si="41"/>
        <v>0</v>
      </c>
      <c r="AR49" s="53">
        <f t="shared" si="42"/>
        <v>0</v>
      </c>
      <c r="AS49" s="409" t="str">
        <f t="shared" si="43"/>
        <v/>
      </c>
      <c r="AT49" s="54">
        <f t="shared" si="10"/>
        <v>0</v>
      </c>
      <c r="AU49" s="54">
        <f t="shared" si="11"/>
        <v>0</v>
      </c>
      <c r="AV49" s="54">
        <f t="shared" si="12"/>
        <v>0</v>
      </c>
      <c r="AW49" s="55" t="b">
        <f t="shared" ca="1" si="13"/>
        <v>0</v>
      </c>
      <c r="AX49" s="69"/>
      <c r="AY49" s="203">
        <f t="shared" ca="1" si="14"/>
        <v>0</v>
      </c>
      <c r="AZ49" s="72">
        <f t="shared" ca="1" si="15"/>
        <v>0</v>
      </c>
      <c r="BA49" s="72">
        <f t="shared" ca="1" si="44"/>
        <v>0</v>
      </c>
      <c r="BB49" s="75">
        <f t="shared" ca="1" si="16"/>
        <v>0</v>
      </c>
      <c r="BC49" s="209">
        <f t="shared" si="17"/>
        <v>0</v>
      </c>
      <c r="BD49" s="72">
        <f t="shared" si="45"/>
        <v>0</v>
      </c>
      <c r="BE49" s="72">
        <f t="shared" si="46"/>
        <v>0</v>
      </c>
      <c r="BF49" s="72">
        <f t="shared" si="47"/>
        <v>0</v>
      </c>
      <c r="BG49" s="200">
        <f t="shared" ca="1" si="48"/>
        <v>0</v>
      </c>
      <c r="BH49" s="69"/>
      <c r="BI49" s="198">
        <f t="shared" si="18"/>
        <v>0</v>
      </c>
      <c r="BJ49" s="71">
        <f t="shared" si="19"/>
        <v>0</v>
      </c>
      <c r="BK49" s="72">
        <f t="shared" si="49"/>
        <v>0</v>
      </c>
      <c r="BL49" s="72">
        <f t="shared" ca="1" si="50"/>
        <v>0</v>
      </c>
      <c r="BM49" s="200">
        <f t="shared" ca="1" si="20"/>
        <v>0</v>
      </c>
      <c r="BN49" s="69"/>
      <c r="BO49" s="198">
        <f t="shared" si="21"/>
        <v>0</v>
      </c>
      <c r="BP49" s="72">
        <f t="shared" ca="1" si="22"/>
        <v>0</v>
      </c>
      <c r="BQ49" s="78">
        <f t="shared" si="51"/>
        <v>0</v>
      </c>
      <c r="BR49" s="78">
        <f t="shared" si="23"/>
        <v>0</v>
      </c>
      <c r="BS49" s="80">
        <f t="shared" ca="1" si="24"/>
        <v>0</v>
      </c>
      <c r="BT49" s="80">
        <f t="shared" ca="1" si="25"/>
        <v>0</v>
      </c>
      <c r="BU49" s="259" t="str">
        <f t="shared" ca="1" si="26"/>
        <v/>
      </c>
      <c r="BV49" s="206" t="str">
        <f t="shared" ca="1" si="27"/>
        <v/>
      </c>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row>
    <row r="50" spans="1:116" ht="12.75" customHeight="1">
      <c r="A50" s="5"/>
      <c r="B50" s="327">
        <f t="shared" si="28"/>
        <v>40</v>
      </c>
      <c r="C50" s="398">
        <v>14</v>
      </c>
      <c r="D50" s="688"/>
      <c r="E50" s="689"/>
      <c r="F50" s="476"/>
      <c r="G50" s="483"/>
      <c r="H50" s="466"/>
      <c r="I50" s="467"/>
      <c r="J50" s="489"/>
      <c r="K50" s="490"/>
      <c r="L50" s="491"/>
      <c r="M50" s="492"/>
      <c r="N50" s="373" t="str">
        <f t="shared" ca="1" si="1"/>
        <v/>
      </c>
      <c r="O50" s="374" t="str">
        <f t="shared" ca="1" si="2"/>
        <v/>
      </c>
      <c r="P50" s="375">
        <f t="shared" ca="1" si="3"/>
        <v>0</v>
      </c>
      <c r="Q50" s="384" t="str">
        <f t="shared" ca="1" si="4"/>
        <v/>
      </c>
      <c r="R50" s="385" t="str">
        <f t="shared" ca="1" si="5"/>
        <v/>
      </c>
      <c r="S50" s="386">
        <f t="shared" ca="1" si="6"/>
        <v>0</v>
      </c>
      <c r="T50" s="387" t="str">
        <f t="shared" ca="1" si="7"/>
        <v/>
      </c>
      <c r="U50" s="5"/>
      <c r="V50" s="6"/>
      <c r="W50" s="4"/>
      <c r="X50" s="4">
        <v>14</v>
      </c>
      <c r="Y50" s="104">
        <f t="shared" si="8"/>
        <v>40</v>
      </c>
      <c r="Z50" s="104">
        <f t="shared" si="29"/>
        <v>0</v>
      </c>
      <c r="AA50" s="4"/>
      <c r="AB50" s="53">
        <f t="shared" si="52"/>
        <v>0</v>
      </c>
      <c r="AC50" s="54">
        <f>IF(SUM(AB50:AB$116)=0,0,F50&gt;0)</f>
        <v>0</v>
      </c>
      <c r="AD50" s="53">
        <f t="shared" si="53"/>
        <v>0</v>
      </c>
      <c r="AE50" s="54">
        <f>IF(SUM(AB50:AB$116)=0,0,AND(AC50=FALSE,AD50=0,SUM(AD50:AD$116)&gt;0))</f>
        <v>0</v>
      </c>
      <c r="AF50" s="54">
        <f t="shared" si="30"/>
        <v>0</v>
      </c>
      <c r="AG50" s="54">
        <f t="shared" si="31"/>
        <v>0</v>
      </c>
      <c r="AH50" s="56">
        <f t="shared" si="32"/>
        <v>0</v>
      </c>
      <c r="AI50" s="56">
        <f t="shared" si="33"/>
        <v>0</v>
      </c>
      <c r="AJ50" s="54">
        <f t="shared" si="34"/>
        <v>0</v>
      </c>
      <c r="AK50" s="54" t="str">
        <f t="shared" si="35"/>
        <v/>
      </c>
      <c r="AL50" s="54">
        <f t="shared" si="36"/>
        <v>0</v>
      </c>
      <c r="AM50" s="54">
        <f t="shared" si="37"/>
        <v>0</v>
      </c>
      <c r="AN50" s="54">
        <f t="shared" si="38"/>
        <v>0</v>
      </c>
      <c r="AO50" s="54">
        <f t="shared" si="39"/>
        <v>0</v>
      </c>
      <c r="AP50" s="54">
        <f t="shared" si="40"/>
        <v>0</v>
      </c>
      <c r="AQ50" s="54">
        <f t="shared" si="41"/>
        <v>0</v>
      </c>
      <c r="AR50" s="53">
        <f t="shared" si="42"/>
        <v>0</v>
      </c>
      <c r="AS50" s="409" t="str">
        <f t="shared" si="43"/>
        <v/>
      </c>
      <c r="AT50" s="54">
        <f t="shared" si="10"/>
        <v>0</v>
      </c>
      <c r="AU50" s="54">
        <f t="shared" si="11"/>
        <v>0</v>
      </c>
      <c r="AV50" s="54">
        <f t="shared" si="12"/>
        <v>0</v>
      </c>
      <c r="AW50" s="55" t="b">
        <f t="shared" ca="1" si="13"/>
        <v>0</v>
      </c>
      <c r="AX50" s="69"/>
      <c r="AY50" s="203">
        <f t="shared" ca="1" si="14"/>
        <v>0</v>
      </c>
      <c r="AZ50" s="72">
        <f t="shared" ca="1" si="15"/>
        <v>0</v>
      </c>
      <c r="BA50" s="72">
        <f t="shared" ca="1" si="44"/>
        <v>0</v>
      </c>
      <c r="BB50" s="75">
        <f t="shared" ca="1" si="16"/>
        <v>0</v>
      </c>
      <c r="BC50" s="209">
        <f t="shared" si="17"/>
        <v>0</v>
      </c>
      <c r="BD50" s="72">
        <f t="shared" si="45"/>
        <v>0</v>
      </c>
      <c r="BE50" s="72">
        <f t="shared" si="46"/>
        <v>0</v>
      </c>
      <c r="BF50" s="72">
        <f t="shared" si="47"/>
        <v>0</v>
      </c>
      <c r="BG50" s="200">
        <f t="shared" ca="1" si="48"/>
        <v>0</v>
      </c>
      <c r="BH50" s="69"/>
      <c r="BI50" s="198">
        <f t="shared" si="18"/>
        <v>0</v>
      </c>
      <c r="BJ50" s="71">
        <f t="shared" si="19"/>
        <v>0</v>
      </c>
      <c r="BK50" s="72">
        <f t="shared" si="49"/>
        <v>0</v>
      </c>
      <c r="BL50" s="72">
        <f t="shared" ca="1" si="50"/>
        <v>0</v>
      </c>
      <c r="BM50" s="200">
        <f t="shared" ca="1" si="20"/>
        <v>0</v>
      </c>
      <c r="BN50" s="69"/>
      <c r="BO50" s="198">
        <f t="shared" si="21"/>
        <v>0</v>
      </c>
      <c r="BP50" s="72">
        <f t="shared" ca="1" si="22"/>
        <v>0</v>
      </c>
      <c r="BQ50" s="78">
        <f t="shared" si="51"/>
        <v>0</v>
      </c>
      <c r="BR50" s="78">
        <f t="shared" si="23"/>
        <v>0</v>
      </c>
      <c r="BS50" s="80">
        <f t="shared" ca="1" si="24"/>
        <v>0</v>
      </c>
      <c r="BT50" s="80">
        <f t="shared" ca="1" si="25"/>
        <v>0</v>
      </c>
      <c r="BU50" s="259" t="str">
        <f t="shared" ca="1" si="26"/>
        <v/>
      </c>
      <c r="BV50" s="206" t="str">
        <f t="shared" ca="1" si="27"/>
        <v/>
      </c>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row>
    <row r="51" spans="1:116" ht="12.75" customHeight="1">
      <c r="A51" s="5"/>
      <c r="B51" s="327">
        <f t="shared" si="28"/>
        <v>40</v>
      </c>
      <c r="C51" s="398">
        <v>15</v>
      </c>
      <c r="D51" s="688"/>
      <c r="E51" s="689"/>
      <c r="F51" s="476"/>
      <c r="G51" s="483"/>
      <c r="H51" s="466"/>
      <c r="I51" s="467"/>
      <c r="J51" s="489"/>
      <c r="K51" s="490"/>
      <c r="L51" s="491"/>
      <c r="M51" s="492"/>
      <c r="N51" s="373" t="str">
        <f t="shared" ca="1" si="1"/>
        <v/>
      </c>
      <c r="O51" s="374" t="str">
        <f t="shared" ca="1" si="2"/>
        <v/>
      </c>
      <c r="P51" s="375">
        <f t="shared" ca="1" si="3"/>
        <v>0</v>
      </c>
      <c r="Q51" s="384" t="str">
        <f t="shared" ca="1" si="4"/>
        <v/>
      </c>
      <c r="R51" s="385" t="str">
        <f t="shared" ca="1" si="5"/>
        <v/>
      </c>
      <c r="S51" s="386">
        <f t="shared" ca="1" si="6"/>
        <v>0</v>
      </c>
      <c r="T51" s="387" t="str">
        <f t="shared" ca="1" si="7"/>
        <v/>
      </c>
      <c r="U51" s="5"/>
      <c r="V51" s="6"/>
      <c r="W51" s="4"/>
      <c r="X51" s="4">
        <v>15</v>
      </c>
      <c r="Y51" s="104">
        <f t="shared" si="8"/>
        <v>40</v>
      </c>
      <c r="Z51" s="104">
        <f t="shared" si="29"/>
        <v>0</v>
      </c>
      <c r="AA51" s="4"/>
      <c r="AB51" s="53">
        <f t="shared" si="52"/>
        <v>0</v>
      </c>
      <c r="AC51" s="54">
        <f>IF(SUM(AB51:AB$116)=0,0,F51&gt;0)</f>
        <v>0</v>
      </c>
      <c r="AD51" s="53">
        <f t="shared" si="53"/>
        <v>0</v>
      </c>
      <c r="AE51" s="54">
        <f>IF(SUM(AB51:AB$116)=0,0,AND(AC51=FALSE,AD51=0,SUM(AD51:AD$116)&gt;0))</f>
        <v>0</v>
      </c>
      <c r="AF51" s="54">
        <f t="shared" si="30"/>
        <v>0</v>
      </c>
      <c r="AG51" s="54">
        <f t="shared" si="31"/>
        <v>0</v>
      </c>
      <c r="AH51" s="56">
        <f t="shared" si="32"/>
        <v>0</v>
      </c>
      <c r="AI51" s="56">
        <f t="shared" si="33"/>
        <v>0</v>
      </c>
      <c r="AJ51" s="54">
        <f t="shared" si="34"/>
        <v>0</v>
      </c>
      <c r="AK51" s="54" t="str">
        <f t="shared" si="35"/>
        <v/>
      </c>
      <c r="AL51" s="54">
        <f t="shared" si="36"/>
        <v>0</v>
      </c>
      <c r="AM51" s="54">
        <f t="shared" si="37"/>
        <v>0</v>
      </c>
      <c r="AN51" s="54">
        <f t="shared" si="38"/>
        <v>0</v>
      </c>
      <c r="AO51" s="54">
        <f t="shared" si="39"/>
        <v>0</v>
      </c>
      <c r="AP51" s="54">
        <f t="shared" si="40"/>
        <v>0</v>
      </c>
      <c r="AQ51" s="54">
        <f t="shared" si="41"/>
        <v>0</v>
      </c>
      <c r="AR51" s="53">
        <f t="shared" si="42"/>
        <v>0</v>
      </c>
      <c r="AS51" s="409" t="str">
        <f t="shared" si="43"/>
        <v/>
      </c>
      <c r="AT51" s="54">
        <f t="shared" si="10"/>
        <v>0</v>
      </c>
      <c r="AU51" s="54">
        <f t="shared" si="11"/>
        <v>0</v>
      </c>
      <c r="AV51" s="54">
        <f t="shared" si="12"/>
        <v>0</v>
      </c>
      <c r="AW51" s="55" t="b">
        <f t="shared" ca="1" si="13"/>
        <v>0</v>
      </c>
      <c r="AX51" s="69"/>
      <c r="AY51" s="203">
        <f t="shared" ca="1" si="14"/>
        <v>0</v>
      </c>
      <c r="AZ51" s="72">
        <f t="shared" ca="1" si="15"/>
        <v>0</v>
      </c>
      <c r="BA51" s="72">
        <f t="shared" ca="1" si="44"/>
        <v>0</v>
      </c>
      <c r="BB51" s="75">
        <f t="shared" ca="1" si="16"/>
        <v>0</v>
      </c>
      <c r="BC51" s="209">
        <f t="shared" si="17"/>
        <v>0</v>
      </c>
      <c r="BD51" s="72">
        <f t="shared" si="45"/>
        <v>0</v>
      </c>
      <c r="BE51" s="72">
        <f t="shared" si="46"/>
        <v>0</v>
      </c>
      <c r="BF51" s="72">
        <f t="shared" si="47"/>
        <v>0</v>
      </c>
      <c r="BG51" s="200">
        <f t="shared" ca="1" si="48"/>
        <v>0</v>
      </c>
      <c r="BH51" s="69"/>
      <c r="BI51" s="198">
        <f t="shared" si="18"/>
        <v>0</v>
      </c>
      <c r="BJ51" s="71">
        <f t="shared" si="19"/>
        <v>0</v>
      </c>
      <c r="BK51" s="72">
        <f t="shared" si="49"/>
        <v>0</v>
      </c>
      <c r="BL51" s="72">
        <f t="shared" ca="1" si="50"/>
        <v>0</v>
      </c>
      <c r="BM51" s="200">
        <f t="shared" ca="1" si="20"/>
        <v>0</v>
      </c>
      <c r="BN51" s="69"/>
      <c r="BO51" s="198">
        <f t="shared" si="21"/>
        <v>0</v>
      </c>
      <c r="BP51" s="72">
        <f t="shared" ca="1" si="22"/>
        <v>0</v>
      </c>
      <c r="BQ51" s="78">
        <f t="shared" si="51"/>
        <v>0</v>
      </c>
      <c r="BR51" s="78">
        <f t="shared" si="23"/>
        <v>0</v>
      </c>
      <c r="BS51" s="80">
        <f t="shared" ca="1" si="24"/>
        <v>0</v>
      </c>
      <c r="BT51" s="80">
        <f t="shared" ca="1" si="25"/>
        <v>0</v>
      </c>
      <c r="BU51" s="259" t="str">
        <f t="shared" ca="1" si="26"/>
        <v/>
      </c>
      <c r="BV51" s="206" t="str">
        <f t="shared" ca="1" si="27"/>
        <v/>
      </c>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row>
    <row r="52" spans="1:116" ht="12.75" customHeight="1">
      <c r="A52" s="5"/>
      <c r="B52" s="327">
        <f t="shared" si="28"/>
        <v>40</v>
      </c>
      <c r="C52" s="398">
        <v>16</v>
      </c>
      <c r="D52" s="688"/>
      <c r="E52" s="689"/>
      <c r="F52" s="476"/>
      <c r="G52" s="483"/>
      <c r="H52" s="466"/>
      <c r="I52" s="467"/>
      <c r="J52" s="489"/>
      <c r="K52" s="490"/>
      <c r="L52" s="491"/>
      <c r="M52" s="492"/>
      <c r="N52" s="373" t="str">
        <f t="shared" ca="1" si="1"/>
        <v/>
      </c>
      <c r="O52" s="374" t="str">
        <f t="shared" ca="1" si="2"/>
        <v/>
      </c>
      <c r="P52" s="375">
        <f t="shared" ca="1" si="3"/>
        <v>0</v>
      </c>
      <c r="Q52" s="384" t="str">
        <f t="shared" ca="1" si="4"/>
        <v/>
      </c>
      <c r="R52" s="385" t="str">
        <f t="shared" ca="1" si="5"/>
        <v/>
      </c>
      <c r="S52" s="386">
        <f t="shared" ca="1" si="6"/>
        <v>0</v>
      </c>
      <c r="T52" s="387" t="str">
        <f t="shared" ca="1" si="7"/>
        <v/>
      </c>
      <c r="U52" s="5"/>
      <c r="V52" s="6"/>
      <c r="W52" s="4"/>
      <c r="X52" s="4">
        <v>16</v>
      </c>
      <c r="Y52" s="104">
        <f t="shared" si="8"/>
        <v>40</v>
      </c>
      <c r="Z52" s="104">
        <f t="shared" si="29"/>
        <v>0</v>
      </c>
      <c r="AA52" s="4"/>
      <c r="AB52" s="53">
        <f t="shared" si="52"/>
        <v>0</v>
      </c>
      <c r="AC52" s="54">
        <f>IF(SUM(AB52:AB$116)=0,0,F52&gt;0)</f>
        <v>0</v>
      </c>
      <c r="AD52" s="53">
        <f t="shared" si="53"/>
        <v>0</v>
      </c>
      <c r="AE52" s="54">
        <f>IF(SUM(AB52:AB$116)=0,0,AND(AC52=FALSE,AD52=0,SUM(AD52:AD$116)&gt;0))</f>
        <v>0</v>
      </c>
      <c r="AF52" s="54">
        <f t="shared" si="30"/>
        <v>0</v>
      </c>
      <c r="AG52" s="54">
        <f t="shared" si="31"/>
        <v>0</v>
      </c>
      <c r="AH52" s="56">
        <f t="shared" si="32"/>
        <v>0</v>
      </c>
      <c r="AI52" s="56">
        <f t="shared" si="33"/>
        <v>0</v>
      </c>
      <c r="AJ52" s="54">
        <f t="shared" si="34"/>
        <v>0</v>
      </c>
      <c r="AK52" s="54" t="str">
        <f t="shared" si="35"/>
        <v/>
      </c>
      <c r="AL52" s="54">
        <f t="shared" si="36"/>
        <v>0</v>
      </c>
      <c r="AM52" s="54">
        <f t="shared" si="37"/>
        <v>0</v>
      </c>
      <c r="AN52" s="54">
        <f t="shared" si="38"/>
        <v>0</v>
      </c>
      <c r="AO52" s="54">
        <f t="shared" si="39"/>
        <v>0</v>
      </c>
      <c r="AP52" s="54">
        <f t="shared" si="40"/>
        <v>0</v>
      </c>
      <c r="AQ52" s="54">
        <f t="shared" si="41"/>
        <v>0</v>
      </c>
      <c r="AR52" s="53">
        <f t="shared" si="42"/>
        <v>0</v>
      </c>
      <c r="AS52" s="409" t="str">
        <f t="shared" si="43"/>
        <v/>
      </c>
      <c r="AT52" s="54">
        <f t="shared" si="10"/>
        <v>0</v>
      </c>
      <c r="AU52" s="54">
        <f t="shared" si="11"/>
        <v>0</v>
      </c>
      <c r="AV52" s="54">
        <f t="shared" si="12"/>
        <v>0</v>
      </c>
      <c r="AW52" s="55" t="b">
        <f t="shared" ca="1" si="13"/>
        <v>0</v>
      </c>
      <c r="AX52" s="69"/>
      <c r="AY52" s="203">
        <f t="shared" ca="1" si="14"/>
        <v>0</v>
      </c>
      <c r="AZ52" s="72">
        <f t="shared" ca="1" si="15"/>
        <v>0</v>
      </c>
      <c r="BA52" s="72">
        <f t="shared" ca="1" si="44"/>
        <v>0</v>
      </c>
      <c r="BB52" s="75">
        <f t="shared" ca="1" si="16"/>
        <v>0</v>
      </c>
      <c r="BC52" s="209">
        <f t="shared" si="17"/>
        <v>0</v>
      </c>
      <c r="BD52" s="72">
        <f t="shared" si="45"/>
        <v>0</v>
      </c>
      <c r="BE52" s="72">
        <f t="shared" si="46"/>
        <v>0</v>
      </c>
      <c r="BF52" s="72">
        <f t="shared" si="47"/>
        <v>0</v>
      </c>
      <c r="BG52" s="200">
        <f t="shared" ca="1" si="48"/>
        <v>0</v>
      </c>
      <c r="BH52" s="69"/>
      <c r="BI52" s="198">
        <f t="shared" si="18"/>
        <v>0</v>
      </c>
      <c r="BJ52" s="71">
        <f t="shared" si="19"/>
        <v>0</v>
      </c>
      <c r="BK52" s="72">
        <f t="shared" si="49"/>
        <v>0</v>
      </c>
      <c r="BL52" s="72">
        <f t="shared" ca="1" si="50"/>
        <v>0</v>
      </c>
      <c r="BM52" s="200">
        <f t="shared" ca="1" si="20"/>
        <v>0</v>
      </c>
      <c r="BN52" s="69"/>
      <c r="BO52" s="198">
        <f t="shared" si="21"/>
        <v>0</v>
      </c>
      <c r="BP52" s="72">
        <f t="shared" ca="1" si="22"/>
        <v>0</v>
      </c>
      <c r="BQ52" s="78">
        <f t="shared" si="51"/>
        <v>0</v>
      </c>
      <c r="BR52" s="78">
        <f t="shared" si="23"/>
        <v>0</v>
      </c>
      <c r="BS52" s="80">
        <f t="shared" ca="1" si="24"/>
        <v>0</v>
      </c>
      <c r="BT52" s="80">
        <f t="shared" ca="1" si="25"/>
        <v>0</v>
      </c>
      <c r="BU52" s="259" t="str">
        <f t="shared" ca="1" si="26"/>
        <v/>
      </c>
      <c r="BV52" s="206" t="str">
        <f t="shared" ca="1" si="27"/>
        <v/>
      </c>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row>
    <row r="53" spans="1:116" ht="12.75" customHeight="1">
      <c r="A53" s="5"/>
      <c r="B53" s="327">
        <f t="shared" si="28"/>
        <v>40</v>
      </c>
      <c r="C53" s="398">
        <v>17</v>
      </c>
      <c r="D53" s="688"/>
      <c r="E53" s="689"/>
      <c r="F53" s="476"/>
      <c r="G53" s="483"/>
      <c r="H53" s="466"/>
      <c r="I53" s="467"/>
      <c r="J53" s="489"/>
      <c r="K53" s="490"/>
      <c r="L53" s="491"/>
      <c r="M53" s="492"/>
      <c r="N53" s="373" t="str">
        <f t="shared" ca="1" si="1"/>
        <v/>
      </c>
      <c r="O53" s="374" t="str">
        <f t="shared" ca="1" si="2"/>
        <v/>
      </c>
      <c r="P53" s="375">
        <f t="shared" ca="1" si="3"/>
        <v>0</v>
      </c>
      <c r="Q53" s="384" t="str">
        <f t="shared" ca="1" si="4"/>
        <v/>
      </c>
      <c r="R53" s="385" t="str">
        <f t="shared" ca="1" si="5"/>
        <v/>
      </c>
      <c r="S53" s="386">
        <f t="shared" ca="1" si="6"/>
        <v>0</v>
      </c>
      <c r="T53" s="387" t="str">
        <f t="shared" ca="1" si="7"/>
        <v/>
      </c>
      <c r="U53" s="5"/>
      <c r="V53" s="6"/>
      <c r="W53" s="4"/>
      <c r="X53" s="4">
        <v>17</v>
      </c>
      <c r="Y53" s="104">
        <f t="shared" si="8"/>
        <v>40</v>
      </c>
      <c r="Z53" s="104">
        <f t="shared" si="29"/>
        <v>0</v>
      </c>
      <c r="AA53" s="4"/>
      <c r="AB53" s="53">
        <f t="shared" si="52"/>
        <v>0</v>
      </c>
      <c r="AC53" s="54">
        <f>IF(SUM(AB53:AB$116)=0,0,F53&gt;0)</f>
        <v>0</v>
      </c>
      <c r="AD53" s="53">
        <f t="shared" si="53"/>
        <v>0</v>
      </c>
      <c r="AE53" s="54">
        <f>IF(SUM(AB53:AB$116)=0,0,AND(AC53=FALSE,AD53=0,SUM(AD53:AD$116)&gt;0))</f>
        <v>0</v>
      </c>
      <c r="AF53" s="54">
        <f t="shared" si="30"/>
        <v>0</v>
      </c>
      <c r="AG53" s="54">
        <f t="shared" si="31"/>
        <v>0</v>
      </c>
      <c r="AH53" s="56">
        <f t="shared" si="32"/>
        <v>0</v>
      </c>
      <c r="AI53" s="56">
        <f t="shared" si="33"/>
        <v>0</v>
      </c>
      <c r="AJ53" s="54">
        <f t="shared" si="34"/>
        <v>0</v>
      </c>
      <c r="AK53" s="54" t="str">
        <f t="shared" si="35"/>
        <v/>
      </c>
      <c r="AL53" s="54">
        <f t="shared" si="36"/>
        <v>0</v>
      </c>
      <c r="AM53" s="54">
        <f t="shared" si="37"/>
        <v>0</v>
      </c>
      <c r="AN53" s="54">
        <f t="shared" si="38"/>
        <v>0</v>
      </c>
      <c r="AO53" s="54">
        <f t="shared" si="39"/>
        <v>0</v>
      </c>
      <c r="AP53" s="54">
        <f t="shared" si="40"/>
        <v>0</v>
      </c>
      <c r="AQ53" s="54">
        <f t="shared" si="41"/>
        <v>0</v>
      </c>
      <c r="AR53" s="53">
        <f t="shared" si="42"/>
        <v>0</v>
      </c>
      <c r="AS53" s="409" t="str">
        <f t="shared" si="43"/>
        <v/>
      </c>
      <c r="AT53" s="54">
        <f t="shared" si="10"/>
        <v>0</v>
      </c>
      <c r="AU53" s="54">
        <f t="shared" si="11"/>
        <v>0</v>
      </c>
      <c r="AV53" s="54">
        <f t="shared" si="12"/>
        <v>0</v>
      </c>
      <c r="AW53" s="55" t="b">
        <f t="shared" ca="1" si="13"/>
        <v>0</v>
      </c>
      <c r="AX53" s="69"/>
      <c r="AY53" s="203">
        <f t="shared" ca="1" si="14"/>
        <v>0</v>
      </c>
      <c r="AZ53" s="72">
        <f t="shared" ca="1" si="15"/>
        <v>0</v>
      </c>
      <c r="BA53" s="72">
        <f t="shared" ca="1" si="44"/>
        <v>0</v>
      </c>
      <c r="BB53" s="75">
        <f t="shared" ca="1" si="16"/>
        <v>0</v>
      </c>
      <c r="BC53" s="209">
        <f t="shared" si="17"/>
        <v>0</v>
      </c>
      <c r="BD53" s="72">
        <f t="shared" si="45"/>
        <v>0</v>
      </c>
      <c r="BE53" s="72">
        <f t="shared" si="46"/>
        <v>0</v>
      </c>
      <c r="BF53" s="72">
        <f t="shared" si="47"/>
        <v>0</v>
      </c>
      <c r="BG53" s="200">
        <f t="shared" ca="1" si="48"/>
        <v>0</v>
      </c>
      <c r="BH53" s="69"/>
      <c r="BI53" s="198">
        <f t="shared" si="18"/>
        <v>0</v>
      </c>
      <c r="BJ53" s="71">
        <f t="shared" si="19"/>
        <v>0</v>
      </c>
      <c r="BK53" s="72">
        <f t="shared" si="49"/>
        <v>0</v>
      </c>
      <c r="BL53" s="72">
        <f t="shared" ca="1" si="50"/>
        <v>0</v>
      </c>
      <c r="BM53" s="200">
        <f t="shared" ca="1" si="20"/>
        <v>0</v>
      </c>
      <c r="BN53" s="69"/>
      <c r="BO53" s="198">
        <f t="shared" si="21"/>
        <v>0</v>
      </c>
      <c r="BP53" s="72">
        <f t="shared" ca="1" si="22"/>
        <v>0</v>
      </c>
      <c r="BQ53" s="78">
        <f t="shared" si="51"/>
        <v>0</v>
      </c>
      <c r="BR53" s="78">
        <f t="shared" si="23"/>
        <v>0</v>
      </c>
      <c r="BS53" s="80">
        <f t="shared" ca="1" si="24"/>
        <v>0</v>
      </c>
      <c r="BT53" s="80">
        <f t="shared" ca="1" si="25"/>
        <v>0</v>
      </c>
      <c r="BU53" s="259" t="str">
        <f t="shared" ca="1" si="26"/>
        <v/>
      </c>
      <c r="BV53" s="206" t="str">
        <f t="shared" ca="1" si="27"/>
        <v/>
      </c>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row>
    <row r="54" spans="1:116" ht="12.75" customHeight="1">
      <c r="A54" s="5"/>
      <c r="B54" s="327">
        <f t="shared" si="28"/>
        <v>40</v>
      </c>
      <c r="C54" s="398">
        <v>18</v>
      </c>
      <c r="D54" s="688"/>
      <c r="E54" s="689"/>
      <c r="F54" s="476"/>
      <c r="G54" s="483"/>
      <c r="H54" s="466"/>
      <c r="I54" s="467"/>
      <c r="J54" s="489"/>
      <c r="K54" s="490"/>
      <c r="L54" s="491"/>
      <c r="M54" s="492"/>
      <c r="N54" s="373" t="str">
        <f t="shared" ca="1" si="1"/>
        <v/>
      </c>
      <c r="O54" s="374" t="str">
        <f t="shared" ca="1" si="2"/>
        <v/>
      </c>
      <c r="P54" s="375">
        <f t="shared" ca="1" si="3"/>
        <v>0</v>
      </c>
      <c r="Q54" s="384" t="str">
        <f t="shared" ca="1" si="4"/>
        <v/>
      </c>
      <c r="R54" s="385" t="str">
        <f t="shared" ca="1" si="5"/>
        <v/>
      </c>
      <c r="S54" s="386">
        <f t="shared" ca="1" si="6"/>
        <v>0</v>
      </c>
      <c r="T54" s="387" t="str">
        <f t="shared" ca="1" si="7"/>
        <v/>
      </c>
      <c r="U54" s="5"/>
      <c r="V54" s="6"/>
      <c r="W54" s="4"/>
      <c r="X54" s="4">
        <v>18</v>
      </c>
      <c r="Y54" s="104">
        <f t="shared" si="8"/>
        <v>40</v>
      </c>
      <c r="Z54" s="104">
        <f t="shared" si="29"/>
        <v>0</v>
      </c>
      <c r="AA54" s="4"/>
      <c r="AB54" s="53">
        <f t="shared" si="52"/>
        <v>0</v>
      </c>
      <c r="AC54" s="54">
        <f>IF(SUM(AB54:AB$116)=0,0,F54&gt;0)</f>
        <v>0</v>
      </c>
      <c r="AD54" s="53">
        <f t="shared" si="53"/>
        <v>0</v>
      </c>
      <c r="AE54" s="54">
        <f>IF(SUM(AB54:AB$116)=0,0,AND(AC54=FALSE,AD54=0,SUM(AD54:AD$116)&gt;0))</f>
        <v>0</v>
      </c>
      <c r="AF54" s="54">
        <f t="shared" si="30"/>
        <v>0</v>
      </c>
      <c r="AG54" s="54">
        <f t="shared" si="31"/>
        <v>0</v>
      </c>
      <c r="AH54" s="56">
        <f t="shared" si="32"/>
        <v>0</v>
      </c>
      <c r="AI54" s="56">
        <f t="shared" si="33"/>
        <v>0</v>
      </c>
      <c r="AJ54" s="54">
        <f t="shared" si="34"/>
        <v>0</v>
      </c>
      <c r="AK54" s="54" t="str">
        <f t="shared" si="35"/>
        <v/>
      </c>
      <c r="AL54" s="54">
        <f t="shared" si="36"/>
        <v>0</v>
      </c>
      <c r="AM54" s="54">
        <f t="shared" si="37"/>
        <v>0</v>
      </c>
      <c r="AN54" s="54">
        <f t="shared" si="38"/>
        <v>0</v>
      </c>
      <c r="AO54" s="54">
        <f t="shared" si="39"/>
        <v>0</v>
      </c>
      <c r="AP54" s="54">
        <f t="shared" si="40"/>
        <v>0</v>
      </c>
      <c r="AQ54" s="54">
        <f t="shared" si="41"/>
        <v>0</v>
      </c>
      <c r="AR54" s="53">
        <f t="shared" si="42"/>
        <v>0</v>
      </c>
      <c r="AS54" s="409" t="str">
        <f t="shared" si="43"/>
        <v/>
      </c>
      <c r="AT54" s="54">
        <f t="shared" si="10"/>
        <v>0</v>
      </c>
      <c r="AU54" s="54">
        <f t="shared" si="11"/>
        <v>0</v>
      </c>
      <c r="AV54" s="54">
        <f t="shared" si="12"/>
        <v>0</v>
      </c>
      <c r="AW54" s="55" t="b">
        <f t="shared" ca="1" si="13"/>
        <v>0</v>
      </c>
      <c r="AX54" s="69"/>
      <c r="AY54" s="203">
        <f t="shared" ca="1" si="14"/>
        <v>0</v>
      </c>
      <c r="AZ54" s="72">
        <f t="shared" ca="1" si="15"/>
        <v>0</v>
      </c>
      <c r="BA54" s="72">
        <f t="shared" ca="1" si="44"/>
        <v>0</v>
      </c>
      <c r="BB54" s="75">
        <f t="shared" ca="1" si="16"/>
        <v>0</v>
      </c>
      <c r="BC54" s="209">
        <f t="shared" si="17"/>
        <v>0</v>
      </c>
      <c r="BD54" s="72">
        <f t="shared" si="45"/>
        <v>0</v>
      </c>
      <c r="BE54" s="72">
        <f t="shared" si="46"/>
        <v>0</v>
      </c>
      <c r="BF54" s="72">
        <f t="shared" si="47"/>
        <v>0</v>
      </c>
      <c r="BG54" s="200">
        <f t="shared" ca="1" si="48"/>
        <v>0</v>
      </c>
      <c r="BH54" s="69"/>
      <c r="BI54" s="198">
        <f t="shared" si="18"/>
        <v>0</v>
      </c>
      <c r="BJ54" s="71">
        <f t="shared" si="19"/>
        <v>0</v>
      </c>
      <c r="BK54" s="72">
        <f t="shared" si="49"/>
        <v>0</v>
      </c>
      <c r="BL54" s="72">
        <f t="shared" ca="1" si="50"/>
        <v>0</v>
      </c>
      <c r="BM54" s="200">
        <f t="shared" ca="1" si="20"/>
        <v>0</v>
      </c>
      <c r="BN54" s="69"/>
      <c r="BO54" s="198">
        <f t="shared" si="21"/>
        <v>0</v>
      </c>
      <c r="BP54" s="72">
        <f t="shared" ca="1" si="22"/>
        <v>0</v>
      </c>
      <c r="BQ54" s="78">
        <f t="shared" si="51"/>
        <v>0</v>
      </c>
      <c r="BR54" s="78">
        <f t="shared" si="23"/>
        <v>0</v>
      </c>
      <c r="BS54" s="80">
        <f t="shared" ca="1" si="24"/>
        <v>0</v>
      </c>
      <c r="BT54" s="80">
        <f t="shared" ca="1" si="25"/>
        <v>0</v>
      </c>
      <c r="BU54" s="259" t="str">
        <f t="shared" ca="1" si="26"/>
        <v/>
      </c>
      <c r="BV54" s="206" t="str">
        <f t="shared" ca="1" si="27"/>
        <v/>
      </c>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row>
    <row r="55" spans="1:116" ht="12.75" customHeight="1">
      <c r="A55" s="5"/>
      <c r="B55" s="327">
        <f t="shared" si="28"/>
        <v>40</v>
      </c>
      <c r="C55" s="398">
        <v>19</v>
      </c>
      <c r="D55" s="688"/>
      <c r="E55" s="689"/>
      <c r="F55" s="476"/>
      <c r="G55" s="483"/>
      <c r="H55" s="466"/>
      <c r="I55" s="467"/>
      <c r="J55" s="489"/>
      <c r="K55" s="490"/>
      <c r="L55" s="491"/>
      <c r="M55" s="492"/>
      <c r="N55" s="373" t="str">
        <f t="shared" ca="1" si="1"/>
        <v/>
      </c>
      <c r="O55" s="374" t="str">
        <f t="shared" ca="1" si="2"/>
        <v/>
      </c>
      <c r="P55" s="375">
        <f t="shared" ca="1" si="3"/>
        <v>0</v>
      </c>
      <c r="Q55" s="384" t="str">
        <f t="shared" ca="1" si="4"/>
        <v/>
      </c>
      <c r="R55" s="385" t="str">
        <f t="shared" ca="1" si="5"/>
        <v/>
      </c>
      <c r="S55" s="386">
        <f t="shared" ca="1" si="6"/>
        <v>0</v>
      </c>
      <c r="T55" s="387" t="str">
        <f t="shared" ca="1" si="7"/>
        <v/>
      </c>
      <c r="U55" s="5"/>
      <c r="V55" s="6"/>
      <c r="W55" s="4"/>
      <c r="X55" s="4">
        <v>19</v>
      </c>
      <c r="Y55" s="104">
        <f t="shared" si="8"/>
        <v>40</v>
      </c>
      <c r="Z55" s="104">
        <f t="shared" si="29"/>
        <v>0</v>
      </c>
      <c r="AA55" s="4"/>
      <c r="AB55" s="53">
        <f t="shared" si="52"/>
        <v>0</v>
      </c>
      <c r="AC55" s="54">
        <f>IF(SUM(AB55:AB$116)=0,0,F55&gt;0)</f>
        <v>0</v>
      </c>
      <c r="AD55" s="53">
        <f t="shared" si="53"/>
        <v>0</v>
      </c>
      <c r="AE55" s="54">
        <f>IF(SUM(AB55:AB$116)=0,0,AND(AC55=FALSE,AD55=0,SUM(AD55:AD$116)&gt;0))</f>
        <v>0</v>
      </c>
      <c r="AF55" s="54">
        <f t="shared" si="30"/>
        <v>0</v>
      </c>
      <c r="AG55" s="54">
        <f t="shared" si="31"/>
        <v>0</v>
      </c>
      <c r="AH55" s="56">
        <f t="shared" si="32"/>
        <v>0</v>
      </c>
      <c r="AI55" s="56">
        <f t="shared" si="33"/>
        <v>0</v>
      </c>
      <c r="AJ55" s="54">
        <f t="shared" si="34"/>
        <v>0</v>
      </c>
      <c r="AK55" s="54" t="str">
        <f t="shared" si="35"/>
        <v/>
      </c>
      <c r="AL55" s="54">
        <f t="shared" si="36"/>
        <v>0</v>
      </c>
      <c r="AM55" s="54">
        <f t="shared" si="37"/>
        <v>0</v>
      </c>
      <c r="AN55" s="54">
        <f t="shared" si="38"/>
        <v>0</v>
      </c>
      <c r="AO55" s="54">
        <f t="shared" si="39"/>
        <v>0</v>
      </c>
      <c r="AP55" s="54">
        <f t="shared" si="40"/>
        <v>0</v>
      </c>
      <c r="AQ55" s="54">
        <f t="shared" si="41"/>
        <v>0</v>
      </c>
      <c r="AR55" s="53">
        <f t="shared" si="42"/>
        <v>0</v>
      </c>
      <c r="AS55" s="409" t="str">
        <f t="shared" si="43"/>
        <v/>
      </c>
      <c r="AT55" s="54">
        <f t="shared" si="10"/>
        <v>0</v>
      </c>
      <c r="AU55" s="54">
        <f t="shared" si="11"/>
        <v>0</v>
      </c>
      <c r="AV55" s="54">
        <f t="shared" si="12"/>
        <v>0</v>
      </c>
      <c r="AW55" s="55" t="b">
        <f t="shared" ca="1" si="13"/>
        <v>0</v>
      </c>
      <c r="AX55" s="69"/>
      <c r="AY55" s="203">
        <f t="shared" ca="1" si="14"/>
        <v>0</v>
      </c>
      <c r="AZ55" s="72">
        <f t="shared" ca="1" si="15"/>
        <v>0</v>
      </c>
      <c r="BA55" s="72">
        <f t="shared" ca="1" si="44"/>
        <v>0</v>
      </c>
      <c r="BB55" s="75">
        <f t="shared" ca="1" si="16"/>
        <v>0</v>
      </c>
      <c r="BC55" s="209">
        <f t="shared" si="17"/>
        <v>0</v>
      </c>
      <c r="BD55" s="72">
        <f t="shared" si="45"/>
        <v>0</v>
      </c>
      <c r="BE55" s="72">
        <f t="shared" si="46"/>
        <v>0</v>
      </c>
      <c r="BF55" s="72">
        <f t="shared" si="47"/>
        <v>0</v>
      </c>
      <c r="BG55" s="200">
        <f t="shared" ca="1" si="48"/>
        <v>0</v>
      </c>
      <c r="BH55" s="69"/>
      <c r="BI55" s="198">
        <f t="shared" si="18"/>
        <v>0</v>
      </c>
      <c r="BJ55" s="71">
        <f t="shared" si="19"/>
        <v>0</v>
      </c>
      <c r="BK55" s="72">
        <f t="shared" si="49"/>
        <v>0</v>
      </c>
      <c r="BL55" s="72">
        <f t="shared" ca="1" si="50"/>
        <v>0</v>
      </c>
      <c r="BM55" s="200">
        <f t="shared" ca="1" si="20"/>
        <v>0</v>
      </c>
      <c r="BN55" s="69"/>
      <c r="BO55" s="198">
        <f t="shared" si="21"/>
        <v>0</v>
      </c>
      <c r="BP55" s="72">
        <f t="shared" ca="1" si="22"/>
        <v>0</v>
      </c>
      <c r="BQ55" s="78">
        <f t="shared" si="51"/>
        <v>0</v>
      </c>
      <c r="BR55" s="78">
        <f t="shared" si="23"/>
        <v>0</v>
      </c>
      <c r="BS55" s="80">
        <f t="shared" ca="1" si="24"/>
        <v>0</v>
      </c>
      <c r="BT55" s="80">
        <f t="shared" ca="1" si="25"/>
        <v>0</v>
      </c>
      <c r="BU55" s="259" t="str">
        <f t="shared" ca="1" si="26"/>
        <v/>
      </c>
      <c r="BV55" s="206" t="str">
        <f t="shared" ca="1" si="27"/>
        <v/>
      </c>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row>
    <row r="56" spans="1:116" ht="12.75" customHeight="1">
      <c r="A56" s="5"/>
      <c r="B56" s="327">
        <f t="shared" si="28"/>
        <v>40</v>
      </c>
      <c r="C56" s="398">
        <v>20</v>
      </c>
      <c r="D56" s="688"/>
      <c r="E56" s="689"/>
      <c r="F56" s="476"/>
      <c r="G56" s="483"/>
      <c r="H56" s="466"/>
      <c r="I56" s="467"/>
      <c r="J56" s="489"/>
      <c r="K56" s="490"/>
      <c r="L56" s="491"/>
      <c r="M56" s="492"/>
      <c r="N56" s="373" t="str">
        <f t="shared" ca="1" si="1"/>
        <v/>
      </c>
      <c r="O56" s="374" t="str">
        <f t="shared" ca="1" si="2"/>
        <v/>
      </c>
      <c r="P56" s="375">
        <f t="shared" ca="1" si="3"/>
        <v>0</v>
      </c>
      <c r="Q56" s="384" t="str">
        <f t="shared" ca="1" si="4"/>
        <v/>
      </c>
      <c r="R56" s="385" t="str">
        <f t="shared" ca="1" si="5"/>
        <v/>
      </c>
      <c r="S56" s="386">
        <f t="shared" ca="1" si="6"/>
        <v>0</v>
      </c>
      <c r="T56" s="387" t="str">
        <f t="shared" ca="1" si="7"/>
        <v/>
      </c>
      <c r="U56" s="5"/>
      <c r="V56" s="6"/>
      <c r="W56" s="4"/>
      <c r="X56" s="4">
        <v>20</v>
      </c>
      <c r="Y56" s="104">
        <f t="shared" si="8"/>
        <v>40</v>
      </c>
      <c r="Z56" s="104">
        <f t="shared" si="29"/>
        <v>0</v>
      </c>
      <c r="AA56" s="4"/>
      <c r="AB56" s="53">
        <f t="shared" si="52"/>
        <v>0</v>
      </c>
      <c r="AC56" s="54">
        <f>IF(SUM(AB56:AB$116)=0,0,F56&gt;0)</f>
        <v>0</v>
      </c>
      <c r="AD56" s="53">
        <f t="shared" si="53"/>
        <v>0</v>
      </c>
      <c r="AE56" s="54">
        <f>IF(SUM(AB56:AB$116)=0,0,AND(AC56=FALSE,AD56=0,SUM(AD56:AD$116)&gt;0))</f>
        <v>0</v>
      </c>
      <c r="AF56" s="54">
        <f t="shared" si="30"/>
        <v>0</v>
      </c>
      <c r="AG56" s="54">
        <f t="shared" si="31"/>
        <v>0</v>
      </c>
      <c r="AH56" s="56">
        <f t="shared" si="32"/>
        <v>0</v>
      </c>
      <c r="AI56" s="56">
        <f t="shared" si="33"/>
        <v>0</v>
      </c>
      <c r="AJ56" s="54">
        <f t="shared" si="34"/>
        <v>0</v>
      </c>
      <c r="AK56" s="54" t="str">
        <f t="shared" si="35"/>
        <v/>
      </c>
      <c r="AL56" s="54">
        <f t="shared" si="36"/>
        <v>0</v>
      </c>
      <c r="AM56" s="54">
        <f t="shared" si="37"/>
        <v>0</v>
      </c>
      <c r="AN56" s="54">
        <f t="shared" si="38"/>
        <v>0</v>
      </c>
      <c r="AO56" s="54">
        <f t="shared" si="39"/>
        <v>0</v>
      </c>
      <c r="AP56" s="54">
        <f t="shared" si="40"/>
        <v>0</v>
      </c>
      <c r="AQ56" s="54">
        <f t="shared" si="41"/>
        <v>0</v>
      </c>
      <c r="AR56" s="53">
        <f t="shared" si="42"/>
        <v>0</v>
      </c>
      <c r="AS56" s="409" t="str">
        <f t="shared" si="43"/>
        <v/>
      </c>
      <c r="AT56" s="54">
        <f t="shared" si="10"/>
        <v>0</v>
      </c>
      <c r="AU56" s="54">
        <f t="shared" si="11"/>
        <v>0</v>
      </c>
      <c r="AV56" s="54">
        <f t="shared" si="12"/>
        <v>0</v>
      </c>
      <c r="AW56" s="55" t="b">
        <f t="shared" ca="1" si="13"/>
        <v>0</v>
      </c>
      <c r="AX56" s="69"/>
      <c r="AY56" s="203">
        <f t="shared" ca="1" si="14"/>
        <v>0</v>
      </c>
      <c r="AZ56" s="72">
        <f t="shared" ca="1" si="15"/>
        <v>0</v>
      </c>
      <c r="BA56" s="72">
        <f t="shared" ca="1" si="44"/>
        <v>0</v>
      </c>
      <c r="BB56" s="75">
        <f t="shared" ca="1" si="16"/>
        <v>0</v>
      </c>
      <c r="BC56" s="209">
        <f t="shared" si="17"/>
        <v>0</v>
      </c>
      <c r="BD56" s="72">
        <f t="shared" si="45"/>
        <v>0</v>
      </c>
      <c r="BE56" s="72">
        <f t="shared" si="46"/>
        <v>0</v>
      </c>
      <c r="BF56" s="72">
        <f t="shared" si="47"/>
        <v>0</v>
      </c>
      <c r="BG56" s="200">
        <f t="shared" ca="1" si="48"/>
        <v>0</v>
      </c>
      <c r="BH56" s="69"/>
      <c r="BI56" s="198">
        <f t="shared" si="18"/>
        <v>0</v>
      </c>
      <c r="BJ56" s="71">
        <f t="shared" si="19"/>
        <v>0</v>
      </c>
      <c r="BK56" s="72">
        <f t="shared" si="49"/>
        <v>0</v>
      </c>
      <c r="BL56" s="72">
        <f t="shared" ca="1" si="50"/>
        <v>0</v>
      </c>
      <c r="BM56" s="200">
        <f t="shared" ca="1" si="20"/>
        <v>0</v>
      </c>
      <c r="BN56" s="69"/>
      <c r="BO56" s="198">
        <f t="shared" si="21"/>
        <v>0</v>
      </c>
      <c r="BP56" s="72">
        <f t="shared" ca="1" si="22"/>
        <v>0</v>
      </c>
      <c r="BQ56" s="78">
        <f t="shared" si="51"/>
        <v>0</v>
      </c>
      <c r="BR56" s="78">
        <f t="shared" si="23"/>
        <v>0</v>
      </c>
      <c r="BS56" s="80">
        <f t="shared" ca="1" si="24"/>
        <v>0</v>
      </c>
      <c r="BT56" s="80">
        <f t="shared" ca="1" si="25"/>
        <v>0</v>
      </c>
      <c r="BU56" s="259" t="str">
        <f t="shared" ca="1" si="26"/>
        <v/>
      </c>
      <c r="BV56" s="206" t="str">
        <f t="shared" ca="1" si="27"/>
        <v/>
      </c>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row>
    <row r="57" spans="1:116" ht="12.75" customHeight="1">
      <c r="A57" s="5"/>
      <c r="B57" s="327">
        <f t="shared" si="28"/>
        <v>40</v>
      </c>
      <c r="C57" s="398">
        <v>21</v>
      </c>
      <c r="D57" s="688"/>
      <c r="E57" s="689"/>
      <c r="F57" s="476"/>
      <c r="G57" s="483"/>
      <c r="H57" s="466"/>
      <c r="I57" s="467"/>
      <c r="J57" s="489"/>
      <c r="K57" s="490"/>
      <c r="L57" s="491"/>
      <c r="M57" s="492"/>
      <c r="N57" s="373" t="str">
        <f t="shared" ca="1" si="1"/>
        <v/>
      </c>
      <c r="O57" s="374" t="str">
        <f t="shared" ca="1" si="2"/>
        <v/>
      </c>
      <c r="P57" s="375">
        <f t="shared" ca="1" si="3"/>
        <v>0</v>
      </c>
      <c r="Q57" s="384" t="str">
        <f t="shared" ca="1" si="4"/>
        <v/>
      </c>
      <c r="R57" s="385" t="str">
        <f t="shared" ca="1" si="5"/>
        <v/>
      </c>
      <c r="S57" s="386">
        <f t="shared" ca="1" si="6"/>
        <v>0</v>
      </c>
      <c r="T57" s="387" t="str">
        <f t="shared" ca="1" si="7"/>
        <v/>
      </c>
      <c r="U57" s="5"/>
      <c r="V57" s="6"/>
      <c r="W57" s="4"/>
      <c r="X57" s="4">
        <v>21</v>
      </c>
      <c r="Y57" s="104">
        <f t="shared" si="8"/>
        <v>40</v>
      </c>
      <c r="Z57" s="104">
        <f t="shared" si="29"/>
        <v>0</v>
      </c>
      <c r="AA57" s="4"/>
      <c r="AB57" s="53">
        <f t="shared" si="52"/>
        <v>0</v>
      </c>
      <c r="AC57" s="54">
        <f>IF(SUM(AB57:AB$116)=0,0,F57&gt;0)</f>
        <v>0</v>
      </c>
      <c r="AD57" s="53">
        <f t="shared" si="53"/>
        <v>0</v>
      </c>
      <c r="AE57" s="54">
        <f>IF(SUM(AB57:AB$116)=0,0,AND(AC57=FALSE,AD57=0,SUM(AD57:AD$116)&gt;0))</f>
        <v>0</v>
      </c>
      <c r="AF57" s="54">
        <f t="shared" si="30"/>
        <v>0</v>
      </c>
      <c r="AG57" s="54">
        <f t="shared" si="31"/>
        <v>0</v>
      </c>
      <c r="AH57" s="56">
        <f t="shared" si="32"/>
        <v>0</v>
      </c>
      <c r="AI57" s="56">
        <f t="shared" si="33"/>
        <v>0</v>
      </c>
      <c r="AJ57" s="54">
        <f t="shared" si="34"/>
        <v>0</v>
      </c>
      <c r="AK57" s="54" t="str">
        <f t="shared" si="35"/>
        <v/>
      </c>
      <c r="AL57" s="54">
        <f t="shared" si="36"/>
        <v>0</v>
      </c>
      <c r="AM57" s="54">
        <f t="shared" si="37"/>
        <v>0</v>
      </c>
      <c r="AN57" s="54">
        <f t="shared" si="38"/>
        <v>0</v>
      </c>
      <c r="AO57" s="54">
        <f t="shared" si="39"/>
        <v>0</v>
      </c>
      <c r="AP57" s="54">
        <f t="shared" si="40"/>
        <v>0</v>
      </c>
      <c r="AQ57" s="54">
        <f t="shared" si="41"/>
        <v>0</v>
      </c>
      <c r="AR57" s="53">
        <f t="shared" si="42"/>
        <v>0</v>
      </c>
      <c r="AS57" s="409" t="str">
        <f t="shared" si="43"/>
        <v/>
      </c>
      <c r="AT57" s="54">
        <f t="shared" si="10"/>
        <v>0</v>
      </c>
      <c r="AU57" s="54">
        <f t="shared" si="11"/>
        <v>0</v>
      </c>
      <c r="AV57" s="54">
        <f t="shared" si="12"/>
        <v>0</v>
      </c>
      <c r="AW57" s="55" t="b">
        <f t="shared" ca="1" si="13"/>
        <v>0</v>
      </c>
      <c r="AX57" s="69"/>
      <c r="AY57" s="203">
        <f t="shared" ca="1" si="14"/>
        <v>0</v>
      </c>
      <c r="AZ57" s="72">
        <f t="shared" ca="1" si="15"/>
        <v>0</v>
      </c>
      <c r="BA57" s="72">
        <f t="shared" ca="1" si="44"/>
        <v>0</v>
      </c>
      <c r="BB57" s="75">
        <f t="shared" ca="1" si="16"/>
        <v>0</v>
      </c>
      <c r="BC57" s="209">
        <f t="shared" si="17"/>
        <v>0</v>
      </c>
      <c r="BD57" s="72">
        <f t="shared" si="45"/>
        <v>0</v>
      </c>
      <c r="BE57" s="72">
        <f t="shared" si="46"/>
        <v>0</v>
      </c>
      <c r="BF57" s="72">
        <f t="shared" si="47"/>
        <v>0</v>
      </c>
      <c r="BG57" s="200">
        <f t="shared" ca="1" si="48"/>
        <v>0</v>
      </c>
      <c r="BH57" s="69"/>
      <c r="BI57" s="198">
        <f t="shared" si="18"/>
        <v>0</v>
      </c>
      <c r="BJ57" s="71">
        <f t="shared" si="19"/>
        <v>0</v>
      </c>
      <c r="BK57" s="72">
        <f t="shared" si="49"/>
        <v>0</v>
      </c>
      <c r="BL57" s="72">
        <f t="shared" ca="1" si="50"/>
        <v>0</v>
      </c>
      <c r="BM57" s="200">
        <f t="shared" ca="1" si="20"/>
        <v>0</v>
      </c>
      <c r="BN57" s="69"/>
      <c r="BO57" s="198">
        <f t="shared" si="21"/>
        <v>0</v>
      </c>
      <c r="BP57" s="72">
        <f t="shared" ca="1" si="22"/>
        <v>0</v>
      </c>
      <c r="BQ57" s="78">
        <f t="shared" si="51"/>
        <v>0</v>
      </c>
      <c r="BR57" s="78">
        <f t="shared" si="23"/>
        <v>0</v>
      </c>
      <c r="BS57" s="80">
        <f t="shared" ca="1" si="24"/>
        <v>0</v>
      </c>
      <c r="BT57" s="80">
        <f t="shared" ca="1" si="25"/>
        <v>0</v>
      </c>
      <c r="BU57" s="259" t="str">
        <f t="shared" ca="1" si="26"/>
        <v/>
      </c>
      <c r="BV57" s="206" t="str">
        <f t="shared" ca="1" si="27"/>
        <v/>
      </c>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row>
    <row r="58" spans="1:116" ht="12.75" customHeight="1">
      <c r="A58" s="5"/>
      <c r="B58" s="327">
        <f t="shared" si="28"/>
        <v>40</v>
      </c>
      <c r="C58" s="398">
        <v>22</v>
      </c>
      <c r="D58" s="688"/>
      <c r="E58" s="689"/>
      <c r="F58" s="476"/>
      <c r="G58" s="483"/>
      <c r="H58" s="466"/>
      <c r="I58" s="467"/>
      <c r="J58" s="489"/>
      <c r="K58" s="490"/>
      <c r="L58" s="491"/>
      <c r="M58" s="492"/>
      <c r="N58" s="373" t="str">
        <f t="shared" ca="1" si="1"/>
        <v/>
      </c>
      <c r="O58" s="374" t="str">
        <f t="shared" ca="1" si="2"/>
        <v/>
      </c>
      <c r="P58" s="375">
        <f t="shared" ca="1" si="3"/>
        <v>0</v>
      </c>
      <c r="Q58" s="384" t="str">
        <f t="shared" ca="1" si="4"/>
        <v/>
      </c>
      <c r="R58" s="385" t="str">
        <f t="shared" ca="1" si="5"/>
        <v/>
      </c>
      <c r="S58" s="386">
        <f t="shared" ca="1" si="6"/>
        <v>0</v>
      </c>
      <c r="T58" s="387" t="str">
        <f t="shared" ca="1" si="7"/>
        <v/>
      </c>
      <c r="U58" s="5"/>
      <c r="V58" s="6"/>
      <c r="W58" s="4"/>
      <c r="X58" s="4">
        <v>22</v>
      </c>
      <c r="Y58" s="104">
        <f t="shared" si="8"/>
        <v>40</v>
      </c>
      <c r="Z58" s="104">
        <f t="shared" si="29"/>
        <v>0</v>
      </c>
      <c r="AA58" s="4"/>
      <c r="AB58" s="53">
        <f t="shared" si="52"/>
        <v>0</v>
      </c>
      <c r="AC58" s="54">
        <f>IF(SUM(AB58:AB$116)=0,0,F58&gt;0)</f>
        <v>0</v>
      </c>
      <c r="AD58" s="53">
        <f t="shared" si="53"/>
        <v>0</v>
      </c>
      <c r="AE58" s="54">
        <f>IF(SUM(AB58:AB$116)=0,0,AND(AC58=FALSE,AD58=0,SUM(AD58:AD$116)&gt;0))</f>
        <v>0</v>
      </c>
      <c r="AF58" s="54">
        <f t="shared" si="30"/>
        <v>0</v>
      </c>
      <c r="AG58" s="54">
        <f t="shared" si="31"/>
        <v>0</v>
      </c>
      <c r="AH58" s="56">
        <f t="shared" si="32"/>
        <v>0</v>
      </c>
      <c r="AI58" s="56">
        <f t="shared" si="33"/>
        <v>0</v>
      </c>
      <c r="AJ58" s="54">
        <f t="shared" si="34"/>
        <v>0</v>
      </c>
      <c r="AK58" s="54" t="str">
        <f t="shared" si="35"/>
        <v/>
      </c>
      <c r="AL58" s="54">
        <f t="shared" si="36"/>
        <v>0</v>
      </c>
      <c r="AM58" s="54">
        <f t="shared" si="37"/>
        <v>0</v>
      </c>
      <c r="AN58" s="54">
        <f t="shared" si="38"/>
        <v>0</v>
      </c>
      <c r="AO58" s="54">
        <f t="shared" si="39"/>
        <v>0</v>
      </c>
      <c r="AP58" s="54">
        <f t="shared" si="40"/>
        <v>0</v>
      </c>
      <c r="AQ58" s="54">
        <f t="shared" si="41"/>
        <v>0</v>
      </c>
      <c r="AR58" s="53">
        <f t="shared" si="42"/>
        <v>0</v>
      </c>
      <c r="AS58" s="409" t="str">
        <f t="shared" si="43"/>
        <v/>
      </c>
      <c r="AT58" s="54">
        <f t="shared" si="10"/>
        <v>0</v>
      </c>
      <c r="AU58" s="54">
        <f t="shared" si="11"/>
        <v>0</v>
      </c>
      <c r="AV58" s="54">
        <f t="shared" si="12"/>
        <v>0</v>
      </c>
      <c r="AW58" s="55" t="b">
        <f t="shared" ca="1" si="13"/>
        <v>0</v>
      </c>
      <c r="AX58" s="69"/>
      <c r="AY58" s="203">
        <f t="shared" ca="1" si="14"/>
        <v>0</v>
      </c>
      <c r="AZ58" s="72">
        <f t="shared" ca="1" si="15"/>
        <v>0</v>
      </c>
      <c r="BA58" s="72">
        <f t="shared" ca="1" si="44"/>
        <v>0</v>
      </c>
      <c r="BB58" s="75">
        <f t="shared" ca="1" si="16"/>
        <v>0</v>
      </c>
      <c r="BC58" s="209">
        <f t="shared" si="17"/>
        <v>0</v>
      </c>
      <c r="BD58" s="72">
        <f t="shared" si="45"/>
        <v>0</v>
      </c>
      <c r="BE58" s="72">
        <f t="shared" si="46"/>
        <v>0</v>
      </c>
      <c r="BF58" s="72">
        <f t="shared" si="47"/>
        <v>0</v>
      </c>
      <c r="BG58" s="200">
        <f t="shared" ca="1" si="48"/>
        <v>0</v>
      </c>
      <c r="BH58" s="69"/>
      <c r="BI58" s="198">
        <f t="shared" si="18"/>
        <v>0</v>
      </c>
      <c r="BJ58" s="71">
        <f t="shared" si="19"/>
        <v>0</v>
      </c>
      <c r="BK58" s="72">
        <f t="shared" si="49"/>
        <v>0</v>
      </c>
      <c r="BL58" s="72">
        <f t="shared" ca="1" si="50"/>
        <v>0</v>
      </c>
      <c r="BM58" s="200">
        <f t="shared" ca="1" si="20"/>
        <v>0</v>
      </c>
      <c r="BN58" s="69"/>
      <c r="BO58" s="198">
        <f t="shared" si="21"/>
        <v>0</v>
      </c>
      <c r="BP58" s="72">
        <f t="shared" ca="1" si="22"/>
        <v>0</v>
      </c>
      <c r="BQ58" s="78">
        <f t="shared" si="51"/>
        <v>0</v>
      </c>
      <c r="BR58" s="78">
        <f t="shared" si="23"/>
        <v>0</v>
      </c>
      <c r="BS58" s="80">
        <f t="shared" ca="1" si="24"/>
        <v>0</v>
      </c>
      <c r="BT58" s="80">
        <f t="shared" ca="1" si="25"/>
        <v>0</v>
      </c>
      <c r="BU58" s="259" t="str">
        <f t="shared" ca="1" si="26"/>
        <v/>
      </c>
      <c r="BV58" s="206" t="str">
        <f t="shared" ca="1" si="27"/>
        <v/>
      </c>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row>
    <row r="59" spans="1:116" ht="12.75" customHeight="1">
      <c r="A59" s="5"/>
      <c r="B59" s="327">
        <f t="shared" si="28"/>
        <v>40</v>
      </c>
      <c r="C59" s="398">
        <v>23</v>
      </c>
      <c r="D59" s="688"/>
      <c r="E59" s="689"/>
      <c r="F59" s="476"/>
      <c r="G59" s="483"/>
      <c r="H59" s="466"/>
      <c r="I59" s="467"/>
      <c r="J59" s="489"/>
      <c r="K59" s="490"/>
      <c r="L59" s="491"/>
      <c r="M59" s="492"/>
      <c r="N59" s="373" t="str">
        <f t="shared" ca="1" si="1"/>
        <v/>
      </c>
      <c r="O59" s="374" t="str">
        <f t="shared" ca="1" si="2"/>
        <v/>
      </c>
      <c r="P59" s="375">
        <f t="shared" ca="1" si="3"/>
        <v>0</v>
      </c>
      <c r="Q59" s="384" t="str">
        <f t="shared" ca="1" si="4"/>
        <v/>
      </c>
      <c r="R59" s="385" t="str">
        <f t="shared" ca="1" si="5"/>
        <v/>
      </c>
      <c r="S59" s="386">
        <f t="shared" ca="1" si="6"/>
        <v>0</v>
      </c>
      <c r="T59" s="387" t="str">
        <f t="shared" ca="1" si="7"/>
        <v/>
      </c>
      <c r="U59" s="5"/>
      <c r="V59" s="6"/>
      <c r="W59" s="4"/>
      <c r="X59" s="4">
        <v>23</v>
      </c>
      <c r="Y59" s="104">
        <f t="shared" si="8"/>
        <v>40</v>
      </c>
      <c r="Z59" s="104">
        <f t="shared" si="29"/>
        <v>0</v>
      </c>
      <c r="AA59" s="4"/>
      <c r="AB59" s="53">
        <f t="shared" si="52"/>
        <v>0</v>
      </c>
      <c r="AC59" s="54">
        <f>IF(SUM(AB59:AB$116)=0,0,F59&gt;0)</f>
        <v>0</v>
      </c>
      <c r="AD59" s="53">
        <f t="shared" si="53"/>
        <v>0</v>
      </c>
      <c r="AE59" s="54">
        <f>IF(SUM(AB59:AB$116)=0,0,AND(AC59=FALSE,AD59=0,SUM(AD59:AD$116)&gt;0))</f>
        <v>0</v>
      </c>
      <c r="AF59" s="54">
        <f t="shared" si="30"/>
        <v>0</v>
      </c>
      <c r="AG59" s="54">
        <f t="shared" si="31"/>
        <v>0</v>
      </c>
      <c r="AH59" s="56">
        <f t="shared" si="32"/>
        <v>0</v>
      </c>
      <c r="AI59" s="56">
        <f t="shared" si="33"/>
        <v>0</v>
      </c>
      <c r="AJ59" s="54">
        <f t="shared" si="34"/>
        <v>0</v>
      </c>
      <c r="AK59" s="54" t="str">
        <f t="shared" si="35"/>
        <v/>
      </c>
      <c r="AL59" s="54">
        <f t="shared" si="36"/>
        <v>0</v>
      </c>
      <c r="AM59" s="54">
        <f t="shared" si="37"/>
        <v>0</v>
      </c>
      <c r="AN59" s="54">
        <f t="shared" si="38"/>
        <v>0</v>
      </c>
      <c r="AO59" s="54">
        <f t="shared" si="39"/>
        <v>0</v>
      </c>
      <c r="AP59" s="54">
        <f t="shared" si="40"/>
        <v>0</v>
      </c>
      <c r="AQ59" s="54">
        <f t="shared" si="41"/>
        <v>0</v>
      </c>
      <c r="AR59" s="53">
        <f t="shared" si="42"/>
        <v>0</v>
      </c>
      <c r="AS59" s="409" t="str">
        <f t="shared" si="43"/>
        <v/>
      </c>
      <c r="AT59" s="54">
        <f t="shared" si="10"/>
        <v>0</v>
      </c>
      <c r="AU59" s="54">
        <f t="shared" si="11"/>
        <v>0</v>
      </c>
      <c r="AV59" s="54">
        <f t="shared" si="12"/>
        <v>0</v>
      </c>
      <c r="AW59" s="55" t="b">
        <f t="shared" ca="1" si="13"/>
        <v>0</v>
      </c>
      <c r="AX59" s="69"/>
      <c r="AY59" s="203">
        <f t="shared" ca="1" si="14"/>
        <v>0</v>
      </c>
      <c r="AZ59" s="72">
        <f t="shared" ca="1" si="15"/>
        <v>0</v>
      </c>
      <c r="BA59" s="72">
        <f t="shared" ca="1" si="44"/>
        <v>0</v>
      </c>
      <c r="BB59" s="75">
        <f t="shared" ca="1" si="16"/>
        <v>0</v>
      </c>
      <c r="BC59" s="209">
        <f t="shared" si="17"/>
        <v>0</v>
      </c>
      <c r="BD59" s="72">
        <f t="shared" si="45"/>
        <v>0</v>
      </c>
      <c r="BE59" s="72">
        <f t="shared" si="46"/>
        <v>0</v>
      </c>
      <c r="BF59" s="72">
        <f t="shared" si="47"/>
        <v>0</v>
      </c>
      <c r="BG59" s="200">
        <f t="shared" ca="1" si="48"/>
        <v>0</v>
      </c>
      <c r="BH59" s="69"/>
      <c r="BI59" s="198">
        <f t="shared" si="18"/>
        <v>0</v>
      </c>
      <c r="BJ59" s="71">
        <f t="shared" si="19"/>
        <v>0</v>
      </c>
      <c r="BK59" s="72">
        <f t="shared" si="49"/>
        <v>0</v>
      </c>
      <c r="BL59" s="72">
        <f t="shared" ca="1" si="50"/>
        <v>0</v>
      </c>
      <c r="BM59" s="200">
        <f t="shared" ca="1" si="20"/>
        <v>0</v>
      </c>
      <c r="BN59" s="69"/>
      <c r="BO59" s="198">
        <f t="shared" si="21"/>
        <v>0</v>
      </c>
      <c r="BP59" s="72">
        <f t="shared" ca="1" si="22"/>
        <v>0</v>
      </c>
      <c r="BQ59" s="78">
        <f t="shared" si="51"/>
        <v>0</v>
      </c>
      <c r="BR59" s="78">
        <f t="shared" si="23"/>
        <v>0</v>
      </c>
      <c r="BS59" s="80">
        <f t="shared" ca="1" si="24"/>
        <v>0</v>
      </c>
      <c r="BT59" s="80">
        <f t="shared" ca="1" si="25"/>
        <v>0</v>
      </c>
      <c r="BU59" s="259" t="str">
        <f t="shared" ca="1" si="26"/>
        <v/>
      </c>
      <c r="BV59" s="206" t="str">
        <f t="shared" ca="1" si="27"/>
        <v/>
      </c>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row>
    <row r="60" spans="1:116" ht="12.75" customHeight="1">
      <c r="A60" s="5"/>
      <c r="B60" s="327">
        <f t="shared" si="28"/>
        <v>40</v>
      </c>
      <c r="C60" s="398">
        <v>24</v>
      </c>
      <c r="D60" s="688"/>
      <c r="E60" s="689"/>
      <c r="F60" s="476"/>
      <c r="G60" s="483"/>
      <c r="H60" s="466"/>
      <c r="I60" s="467"/>
      <c r="J60" s="489"/>
      <c r="K60" s="490"/>
      <c r="L60" s="491"/>
      <c r="M60" s="492"/>
      <c r="N60" s="373" t="str">
        <f t="shared" ca="1" si="1"/>
        <v/>
      </c>
      <c r="O60" s="374" t="str">
        <f t="shared" ca="1" si="2"/>
        <v/>
      </c>
      <c r="P60" s="375">
        <f t="shared" ca="1" si="3"/>
        <v>0</v>
      </c>
      <c r="Q60" s="384" t="str">
        <f t="shared" ca="1" si="4"/>
        <v/>
      </c>
      <c r="R60" s="385" t="str">
        <f t="shared" ca="1" si="5"/>
        <v/>
      </c>
      <c r="S60" s="386">
        <f t="shared" ca="1" si="6"/>
        <v>0</v>
      </c>
      <c r="T60" s="387" t="str">
        <f t="shared" ca="1" si="7"/>
        <v/>
      </c>
      <c r="U60" s="5"/>
      <c r="V60" s="6"/>
      <c r="W60" s="4"/>
      <c r="X60" s="4">
        <v>24</v>
      </c>
      <c r="Y60" s="104">
        <f t="shared" si="8"/>
        <v>40</v>
      </c>
      <c r="Z60" s="104">
        <f t="shared" si="29"/>
        <v>0</v>
      </c>
      <c r="AA60" s="4"/>
      <c r="AB60" s="53">
        <f t="shared" si="52"/>
        <v>0</v>
      </c>
      <c r="AC60" s="54">
        <f>IF(SUM(AB60:AB$116)=0,0,F60&gt;0)</f>
        <v>0</v>
      </c>
      <c r="AD60" s="53">
        <f t="shared" si="53"/>
        <v>0</v>
      </c>
      <c r="AE60" s="54">
        <f>IF(SUM(AB60:AB$116)=0,0,AND(AC60=FALSE,AD60=0,SUM(AD60:AD$116)&gt;0))</f>
        <v>0</v>
      </c>
      <c r="AF60" s="54">
        <f t="shared" si="30"/>
        <v>0</v>
      </c>
      <c r="AG60" s="54">
        <f t="shared" si="31"/>
        <v>0</v>
      </c>
      <c r="AH60" s="56">
        <f t="shared" si="32"/>
        <v>0</v>
      </c>
      <c r="AI60" s="56">
        <f t="shared" si="33"/>
        <v>0</v>
      </c>
      <c r="AJ60" s="54">
        <f t="shared" si="34"/>
        <v>0</v>
      </c>
      <c r="AK60" s="54" t="str">
        <f t="shared" si="35"/>
        <v/>
      </c>
      <c r="AL60" s="54">
        <f t="shared" si="36"/>
        <v>0</v>
      </c>
      <c r="AM60" s="54">
        <f t="shared" si="37"/>
        <v>0</v>
      </c>
      <c r="AN60" s="54">
        <f t="shared" si="38"/>
        <v>0</v>
      </c>
      <c r="AO60" s="54">
        <f t="shared" si="39"/>
        <v>0</v>
      </c>
      <c r="AP60" s="54">
        <f t="shared" si="40"/>
        <v>0</v>
      </c>
      <c r="AQ60" s="54">
        <f t="shared" si="41"/>
        <v>0</v>
      </c>
      <c r="AR60" s="53">
        <f t="shared" si="42"/>
        <v>0</v>
      </c>
      <c r="AS60" s="409" t="str">
        <f t="shared" si="43"/>
        <v/>
      </c>
      <c r="AT60" s="54">
        <f t="shared" si="10"/>
        <v>0</v>
      </c>
      <c r="AU60" s="54">
        <f t="shared" si="11"/>
        <v>0</v>
      </c>
      <c r="AV60" s="54">
        <f t="shared" si="12"/>
        <v>0</v>
      </c>
      <c r="AW60" s="55" t="b">
        <f t="shared" ca="1" si="13"/>
        <v>0</v>
      </c>
      <c r="AX60" s="69"/>
      <c r="AY60" s="203">
        <f t="shared" ca="1" si="14"/>
        <v>0</v>
      </c>
      <c r="AZ60" s="72">
        <f t="shared" ca="1" si="15"/>
        <v>0</v>
      </c>
      <c r="BA60" s="72">
        <f t="shared" ca="1" si="44"/>
        <v>0</v>
      </c>
      <c r="BB60" s="75">
        <f t="shared" ca="1" si="16"/>
        <v>0</v>
      </c>
      <c r="BC60" s="209">
        <f t="shared" si="17"/>
        <v>0</v>
      </c>
      <c r="BD60" s="72">
        <f t="shared" si="45"/>
        <v>0</v>
      </c>
      <c r="BE60" s="72">
        <f t="shared" si="46"/>
        <v>0</v>
      </c>
      <c r="BF60" s="72">
        <f t="shared" si="47"/>
        <v>0</v>
      </c>
      <c r="BG60" s="200">
        <f t="shared" ca="1" si="48"/>
        <v>0</v>
      </c>
      <c r="BH60" s="69"/>
      <c r="BI60" s="198">
        <f t="shared" si="18"/>
        <v>0</v>
      </c>
      <c r="BJ60" s="71">
        <f t="shared" si="19"/>
        <v>0</v>
      </c>
      <c r="BK60" s="72">
        <f t="shared" si="49"/>
        <v>0</v>
      </c>
      <c r="BL60" s="72">
        <f t="shared" ca="1" si="50"/>
        <v>0</v>
      </c>
      <c r="BM60" s="200">
        <f t="shared" ca="1" si="20"/>
        <v>0</v>
      </c>
      <c r="BN60" s="69"/>
      <c r="BO60" s="198">
        <f t="shared" si="21"/>
        <v>0</v>
      </c>
      <c r="BP60" s="72">
        <f t="shared" ca="1" si="22"/>
        <v>0</v>
      </c>
      <c r="BQ60" s="78">
        <f t="shared" si="51"/>
        <v>0</v>
      </c>
      <c r="BR60" s="78">
        <f t="shared" si="23"/>
        <v>0</v>
      </c>
      <c r="BS60" s="80">
        <f t="shared" ca="1" si="24"/>
        <v>0</v>
      </c>
      <c r="BT60" s="80">
        <f t="shared" ca="1" si="25"/>
        <v>0</v>
      </c>
      <c r="BU60" s="259" t="str">
        <f t="shared" ca="1" si="26"/>
        <v/>
      </c>
      <c r="BV60" s="206" t="str">
        <f t="shared" ca="1" si="27"/>
        <v/>
      </c>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row>
    <row r="61" spans="1:116" ht="12.75" customHeight="1">
      <c r="A61" s="5"/>
      <c r="B61" s="327">
        <f t="shared" si="28"/>
        <v>40</v>
      </c>
      <c r="C61" s="398">
        <v>25</v>
      </c>
      <c r="D61" s="688"/>
      <c r="E61" s="689"/>
      <c r="F61" s="476"/>
      <c r="G61" s="483"/>
      <c r="H61" s="466"/>
      <c r="I61" s="467"/>
      <c r="J61" s="489"/>
      <c r="K61" s="490"/>
      <c r="L61" s="491"/>
      <c r="M61" s="492"/>
      <c r="N61" s="373" t="str">
        <f t="shared" ca="1" si="1"/>
        <v/>
      </c>
      <c r="O61" s="374" t="str">
        <f t="shared" ca="1" si="2"/>
        <v/>
      </c>
      <c r="P61" s="375">
        <f t="shared" ca="1" si="3"/>
        <v>0</v>
      </c>
      <c r="Q61" s="384" t="str">
        <f t="shared" ca="1" si="4"/>
        <v/>
      </c>
      <c r="R61" s="385" t="str">
        <f t="shared" ca="1" si="5"/>
        <v/>
      </c>
      <c r="S61" s="386">
        <f t="shared" ca="1" si="6"/>
        <v>0</v>
      </c>
      <c r="T61" s="387" t="str">
        <f t="shared" ca="1" si="7"/>
        <v/>
      </c>
      <c r="U61" s="5"/>
      <c r="V61" s="6"/>
      <c r="W61" s="4"/>
      <c r="X61" s="4">
        <v>25</v>
      </c>
      <c r="Y61" s="104">
        <f t="shared" si="8"/>
        <v>40</v>
      </c>
      <c r="Z61" s="104">
        <f t="shared" si="29"/>
        <v>0</v>
      </c>
      <c r="AA61" s="4"/>
      <c r="AB61" s="53">
        <f t="shared" si="52"/>
        <v>0</v>
      </c>
      <c r="AC61" s="54">
        <f>IF(SUM(AB61:AB$116)=0,0,F61&gt;0)</f>
        <v>0</v>
      </c>
      <c r="AD61" s="53">
        <f t="shared" si="53"/>
        <v>0</v>
      </c>
      <c r="AE61" s="54">
        <f>IF(SUM(AB61:AB$116)=0,0,AND(AC61=FALSE,AD61=0,SUM(AD61:AD$116)&gt;0))</f>
        <v>0</v>
      </c>
      <c r="AF61" s="54">
        <f t="shared" si="30"/>
        <v>0</v>
      </c>
      <c r="AG61" s="54">
        <f t="shared" si="31"/>
        <v>0</v>
      </c>
      <c r="AH61" s="56">
        <f t="shared" si="32"/>
        <v>0</v>
      </c>
      <c r="AI61" s="56">
        <f t="shared" si="33"/>
        <v>0</v>
      </c>
      <c r="AJ61" s="54">
        <f t="shared" si="34"/>
        <v>0</v>
      </c>
      <c r="AK61" s="54" t="str">
        <f t="shared" si="35"/>
        <v/>
      </c>
      <c r="AL61" s="54">
        <f t="shared" si="36"/>
        <v>0</v>
      </c>
      <c r="AM61" s="54">
        <f t="shared" si="37"/>
        <v>0</v>
      </c>
      <c r="AN61" s="54">
        <f t="shared" si="38"/>
        <v>0</v>
      </c>
      <c r="AO61" s="54">
        <f t="shared" si="39"/>
        <v>0</v>
      </c>
      <c r="AP61" s="54">
        <f t="shared" si="40"/>
        <v>0</v>
      </c>
      <c r="AQ61" s="54">
        <f t="shared" si="41"/>
        <v>0</v>
      </c>
      <c r="AR61" s="53">
        <f t="shared" si="42"/>
        <v>0</v>
      </c>
      <c r="AS61" s="409" t="str">
        <f t="shared" si="43"/>
        <v/>
      </c>
      <c r="AT61" s="54">
        <f t="shared" si="10"/>
        <v>0</v>
      </c>
      <c r="AU61" s="54">
        <f t="shared" si="11"/>
        <v>0</v>
      </c>
      <c r="AV61" s="54">
        <f t="shared" si="12"/>
        <v>0</v>
      </c>
      <c r="AW61" s="55" t="b">
        <f t="shared" ca="1" si="13"/>
        <v>0</v>
      </c>
      <c r="AX61" s="69"/>
      <c r="AY61" s="203">
        <f t="shared" ca="1" si="14"/>
        <v>0</v>
      </c>
      <c r="AZ61" s="72">
        <f t="shared" ca="1" si="15"/>
        <v>0</v>
      </c>
      <c r="BA61" s="72">
        <f t="shared" ca="1" si="44"/>
        <v>0</v>
      </c>
      <c r="BB61" s="75">
        <f t="shared" ca="1" si="16"/>
        <v>0</v>
      </c>
      <c r="BC61" s="209">
        <f t="shared" si="17"/>
        <v>0</v>
      </c>
      <c r="BD61" s="72">
        <f t="shared" si="45"/>
        <v>0</v>
      </c>
      <c r="BE61" s="72">
        <f t="shared" si="46"/>
        <v>0</v>
      </c>
      <c r="BF61" s="72">
        <f t="shared" si="47"/>
        <v>0</v>
      </c>
      <c r="BG61" s="200">
        <f t="shared" ca="1" si="48"/>
        <v>0</v>
      </c>
      <c r="BH61" s="69"/>
      <c r="BI61" s="198">
        <f t="shared" si="18"/>
        <v>0</v>
      </c>
      <c r="BJ61" s="71">
        <f t="shared" si="19"/>
        <v>0</v>
      </c>
      <c r="BK61" s="72">
        <f t="shared" si="49"/>
        <v>0</v>
      </c>
      <c r="BL61" s="72">
        <f t="shared" ca="1" si="50"/>
        <v>0</v>
      </c>
      <c r="BM61" s="200">
        <f t="shared" ca="1" si="20"/>
        <v>0</v>
      </c>
      <c r="BN61" s="69"/>
      <c r="BO61" s="198">
        <f t="shared" si="21"/>
        <v>0</v>
      </c>
      <c r="BP61" s="72">
        <f t="shared" ca="1" si="22"/>
        <v>0</v>
      </c>
      <c r="BQ61" s="78">
        <f t="shared" si="51"/>
        <v>0</v>
      </c>
      <c r="BR61" s="78">
        <f t="shared" si="23"/>
        <v>0</v>
      </c>
      <c r="BS61" s="80">
        <f t="shared" ca="1" si="24"/>
        <v>0</v>
      </c>
      <c r="BT61" s="80">
        <f t="shared" ca="1" si="25"/>
        <v>0</v>
      </c>
      <c r="BU61" s="259" t="str">
        <f t="shared" ca="1" si="26"/>
        <v/>
      </c>
      <c r="BV61" s="206" t="str">
        <f t="shared" ca="1" si="27"/>
        <v/>
      </c>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row>
    <row r="62" spans="1:116" ht="12.75" customHeight="1">
      <c r="A62" s="5"/>
      <c r="B62" s="327">
        <f t="shared" si="28"/>
        <v>40</v>
      </c>
      <c r="C62" s="398">
        <v>26</v>
      </c>
      <c r="D62" s="688"/>
      <c r="E62" s="689"/>
      <c r="F62" s="476"/>
      <c r="G62" s="483"/>
      <c r="H62" s="466"/>
      <c r="I62" s="467"/>
      <c r="J62" s="489"/>
      <c r="K62" s="490"/>
      <c r="L62" s="491"/>
      <c r="M62" s="492"/>
      <c r="N62" s="373" t="str">
        <f t="shared" ca="1" si="1"/>
        <v/>
      </c>
      <c r="O62" s="374" t="str">
        <f t="shared" ca="1" si="2"/>
        <v/>
      </c>
      <c r="P62" s="375">
        <f t="shared" ca="1" si="3"/>
        <v>0</v>
      </c>
      <c r="Q62" s="384" t="str">
        <f t="shared" ca="1" si="4"/>
        <v/>
      </c>
      <c r="R62" s="385" t="str">
        <f t="shared" ca="1" si="5"/>
        <v/>
      </c>
      <c r="S62" s="386">
        <f t="shared" ca="1" si="6"/>
        <v>0</v>
      </c>
      <c r="T62" s="387" t="str">
        <f t="shared" ca="1" si="7"/>
        <v/>
      </c>
      <c r="U62" s="5"/>
      <c r="V62" s="6"/>
      <c r="W62" s="4"/>
      <c r="X62" s="4">
        <v>26</v>
      </c>
      <c r="Y62" s="104">
        <f t="shared" si="8"/>
        <v>40</v>
      </c>
      <c r="Z62" s="104">
        <f t="shared" si="29"/>
        <v>0</v>
      </c>
      <c r="AA62" s="4"/>
      <c r="AB62" s="53">
        <f t="shared" si="52"/>
        <v>0</v>
      </c>
      <c r="AC62" s="54">
        <f>IF(SUM(AB62:AB$116)=0,0,F62&gt;0)</f>
        <v>0</v>
      </c>
      <c r="AD62" s="53">
        <f t="shared" si="53"/>
        <v>0</v>
      </c>
      <c r="AE62" s="54">
        <f>IF(SUM(AB62:AB$116)=0,0,AND(AC62=FALSE,AD62=0,SUM(AD62:AD$116)&gt;0))</f>
        <v>0</v>
      </c>
      <c r="AF62" s="54">
        <f t="shared" si="30"/>
        <v>0</v>
      </c>
      <c r="AG62" s="54">
        <f t="shared" si="31"/>
        <v>0</v>
      </c>
      <c r="AH62" s="56">
        <f t="shared" si="32"/>
        <v>0</v>
      </c>
      <c r="AI62" s="56">
        <f t="shared" si="33"/>
        <v>0</v>
      </c>
      <c r="AJ62" s="54">
        <f t="shared" si="34"/>
        <v>0</v>
      </c>
      <c r="AK62" s="54" t="str">
        <f t="shared" si="35"/>
        <v/>
      </c>
      <c r="AL62" s="54">
        <f t="shared" si="36"/>
        <v>0</v>
      </c>
      <c r="AM62" s="54">
        <f t="shared" si="37"/>
        <v>0</v>
      </c>
      <c r="AN62" s="54">
        <f t="shared" si="38"/>
        <v>0</v>
      </c>
      <c r="AO62" s="54">
        <f t="shared" si="39"/>
        <v>0</v>
      </c>
      <c r="AP62" s="54">
        <f t="shared" si="40"/>
        <v>0</v>
      </c>
      <c r="AQ62" s="54">
        <f t="shared" si="41"/>
        <v>0</v>
      </c>
      <c r="AR62" s="53">
        <f t="shared" si="42"/>
        <v>0</v>
      </c>
      <c r="AS62" s="409" t="str">
        <f t="shared" si="43"/>
        <v/>
      </c>
      <c r="AT62" s="54">
        <f t="shared" si="10"/>
        <v>0</v>
      </c>
      <c r="AU62" s="54">
        <f t="shared" si="11"/>
        <v>0</v>
      </c>
      <c r="AV62" s="54">
        <f t="shared" si="12"/>
        <v>0</v>
      </c>
      <c r="AW62" s="55" t="b">
        <f t="shared" ca="1" si="13"/>
        <v>0</v>
      </c>
      <c r="AX62" s="69"/>
      <c r="AY62" s="203">
        <f t="shared" ca="1" si="14"/>
        <v>0</v>
      </c>
      <c r="AZ62" s="72">
        <f t="shared" ca="1" si="15"/>
        <v>0</v>
      </c>
      <c r="BA62" s="72">
        <f t="shared" ca="1" si="44"/>
        <v>0</v>
      </c>
      <c r="BB62" s="75">
        <f t="shared" ca="1" si="16"/>
        <v>0</v>
      </c>
      <c r="BC62" s="209">
        <f t="shared" si="17"/>
        <v>0</v>
      </c>
      <c r="BD62" s="72">
        <f t="shared" si="45"/>
        <v>0</v>
      </c>
      <c r="BE62" s="72">
        <f t="shared" si="46"/>
        <v>0</v>
      </c>
      <c r="BF62" s="72">
        <f t="shared" si="47"/>
        <v>0</v>
      </c>
      <c r="BG62" s="200">
        <f t="shared" ca="1" si="48"/>
        <v>0</v>
      </c>
      <c r="BH62" s="69"/>
      <c r="BI62" s="198">
        <f t="shared" si="18"/>
        <v>0</v>
      </c>
      <c r="BJ62" s="71">
        <f t="shared" si="19"/>
        <v>0</v>
      </c>
      <c r="BK62" s="72">
        <f t="shared" si="49"/>
        <v>0</v>
      </c>
      <c r="BL62" s="72">
        <f t="shared" ca="1" si="50"/>
        <v>0</v>
      </c>
      <c r="BM62" s="200">
        <f t="shared" ca="1" si="20"/>
        <v>0</v>
      </c>
      <c r="BN62" s="69"/>
      <c r="BO62" s="198">
        <f t="shared" si="21"/>
        <v>0</v>
      </c>
      <c r="BP62" s="72">
        <f t="shared" ca="1" si="22"/>
        <v>0</v>
      </c>
      <c r="BQ62" s="78">
        <f t="shared" si="51"/>
        <v>0</v>
      </c>
      <c r="BR62" s="78">
        <f t="shared" si="23"/>
        <v>0</v>
      </c>
      <c r="BS62" s="80">
        <f t="shared" ca="1" si="24"/>
        <v>0</v>
      </c>
      <c r="BT62" s="80">
        <f t="shared" ca="1" si="25"/>
        <v>0</v>
      </c>
      <c r="BU62" s="259" t="str">
        <f t="shared" ca="1" si="26"/>
        <v/>
      </c>
      <c r="BV62" s="206" t="str">
        <f t="shared" ca="1" si="27"/>
        <v/>
      </c>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row>
    <row r="63" spans="1:116" ht="12.75" customHeight="1">
      <c r="A63" s="5"/>
      <c r="B63" s="327">
        <f t="shared" si="28"/>
        <v>40</v>
      </c>
      <c r="C63" s="398">
        <v>27</v>
      </c>
      <c r="D63" s="688"/>
      <c r="E63" s="689"/>
      <c r="F63" s="476"/>
      <c r="G63" s="483"/>
      <c r="H63" s="466"/>
      <c r="I63" s="467"/>
      <c r="J63" s="489"/>
      <c r="K63" s="490"/>
      <c r="L63" s="491"/>
      <c r="M63" s="492"/>
      <c r="N63" s="373" t="str">
        <f t="shared" ca="1" si="1"/>
        <v/>
      </c>
      <c r="O63" s="374" t="str">
        <f t="shared" ca="1" si="2"/>
        <v/>
      </c>
      <c r="P63" s="375">
        <f t="shared" ca="1" si="3"/>
        <v>0</v>
      </c>
      <c r="Q63" s="384" t="str">
        <f t="shared" ca="1" si="4"/>
        <v/>
      </c>
      <c r="R63" s="385" t="str">
        <f t="shared" ca="1" si="5"/>
        <v/>
      </c>
      <c r="S63" s="386">
        <f t="shared" ca="1" si="6"/>
        <v>0</v>
      </c>
      <c r="T63" s="387" t="str">
        <f t="shared" ca="1" si="7"/>
        <v/>
      </c>
      <c r="U63" s="5"/>
      <c r="V63" s="6"/>
      <c r="W63" s="4"/>
      <c r="X63" s="4">
        <v>27</v>
      </c>
      <c r="Y63" s="104">
        <f t="shared" si="8"/>
        <v>40</v>
      </c>
      <c r="Z63" s="104">
        <f t="shared" si="29"/>
        <v>0</v>
      </c>
      <c r="AA63" s="4"/>
      <c r="AB63" s="53">
        <f t="shared" si="52"/>
        <v>0</v>
      </c>
      <c r="AC63" s="54">
        <f>IF(SUM(AB63:AB$116)=0,0,F63&gt;0)</f>
        <v>0</v>
      </c>
      <c r="AD63" s="53">
        <f t="shared" si="53"/>
        <v>0</v>
      </c>
      <c r="AE63" s="54">
        <f>IF(SUM(AB63:AB$116)=0,0,AND(AC63=FALSE,AD63=0,SUM(AD63:AD$116)&gt;0))</f>
        <v>0</v>
      </c>
      <c r="AF63" s="54">
        <f t="shared" si="30"/>
        <v>0</v>
      </c>
      <c r="AG63" s="54">
        <f t="shared" si="31"/>
        <v>0</v>
      </c>
      <c r="AH63" s="56">
        <f t="shared" si="32"/>
        <v>0</v>
      </c>
      <c r="AI63" s="56">
        <f t="shared" si="33"/>
        <v>0</v>
      </c>
      <c r="AJ63" s="54">
        <f t="shared" si="34"/>
        <v>0</v>
      </c>
      <c r="AK63" s="54" t="str">
        <f t="shared" si="35"/>
        <v/>
      </c>
      <c r="AL63" s="54">
        <f t="shared" si="36"/>
        <v>0</v>
      </c>
      <c r="AM63" s="54">
        <f t="shared" si="37"/>
        <v>0</v>
      </c>
      <c r="AN63" s="54">
        <f t="shared" si="38"/>
        <v>0</v>
      </c>
      <c r="AO63" s="54">
        <f t="shared" si="39"/>
        <v>0</v>
      </c>
      <c r="AP63" s="54">
        <f t="shared" si="40"/>
        <v>0</v>
      </c>
      <c r="AQ63" s="54">
        <f t="shared" si="41"/>
        <v>0</v>
      </c>
      <c r="AR63" s="53">
        <f t="shared" si="42"/>
        <v>0</v>
      </c>
      <c r="AS63" s="409" t="str">
        <f t="shared" si="43"/>
        <v/>
      </c>
      <c r="AT63" s="54">
        <f t="shared" si="10"/>
        <v>0</v>
      </c>
      <c r="AU63" s="54">
        <f t="shared" si="11"/>
        <v>0</v>
      </c>
      <c r="AV63" s="54">
        <f t="shared" si="12"/>
        <v>0</v>
      </c>
      <c r="AW63" s="55" t="b">
        <f t="shared" ca="1" si="13"/>
        <v>0</v>
      </c>
      <c r="AX63" s="69"/>
      <c r="AY63" s="203">
        <f t="shared" ca="1" si="14"/>
        <v>0</v>
      </c>
      <c r="AZ63" s="72">
        <f t="shared" ca="1" si="15"/>
        <v>0</v>
      </c>
      <c r="BA63" s="72">
        <f t="shared" ca="1" si="44"/>
        <v>0</v>
      </c>
      <c r="BB63" s="75">
        <f t="shared" ca="1" si="16"/>
        <v>0</v>
      </c>
      <c r="BC63" s="209">
        <f t="shared" si="17"/>
        <v>0</v>
      </c>
      <c r="BD63" s="72">
        <f t="shared" si="45"/>
        <v>0</v>
      </c>
      <c r="BE63" s="72">
        <f t="shared" si="46"/>
        <v>0</v>
      </c>
      <c r="BF63" s="72">
        <f t="shared" si="47"/>
        <v>0</v>
      </c>
      <c r="BG63" s="200">
        <f t="shared" ca="1" si="48"/>
        <v>0</v>
      </c>
      <c r="BH63" s="69"/>
      <c r="BI63" s="198">
        <f t="shared" si="18"/>
        <v>0</v>
      </c>
      <c r="BJ63" s="71">
        <f t="shared" si="19"/>
        <v>0</v>
      </c>
      <c r="BK63" s="72">
        <f t="shared" si="49"/>
        <v>0</v>
      </c>
      <c r="BL63" s="72">
        <f t="shared" ca="1" si="50"/>
        <v>0</v>
      </c>
      <c r="BM63" s="200">
        <f t="shared" ca="1" si="20"/>
        <v>0</v>
      </c>
      <c r="BN63" s="69"/>
      <c r="BO63" s="198">
        <f t="shared" si="21"/>
        <v>0</v>
      </c>
      <c r="BP63" s="72">
        <f t="shared" ca="1" si="22"/>
        <v>0</v>
      </c>
      <c r="BQ63" s="78">
        <f t="shared" si="51"/>
        <v>0</v>
      </c>
      <c r="BR63" s="78">
        <f t="shared" si="23"/>
        <v>0</v>
      </c>
      <c r="BS63" s="80">
        <f t="shared" ca="1" si="24"/>
        <v>0</v>
      </c>
      <c r="BT63" s="80">
        <f t="shared" ca="1" si="25"/>
        <v>0</v>
      </c>
      <c r="BU63" s="259" t="str">
        <f t="shared" ca="1" si="26"/>
        <v/>
      </c>
      <c r="BV63" s="206" t="str">
        <f t="shared" ca="1" si="27"/>
        <v/>
      </c>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row>
    <row r="64" spans="1:116" ht="12.75" customHeight="1">
      <c r="A64" s="5"/>
      <c r="B64" s="327">
        <f t="shared" si="28"/>
        <v>40</v>
      </c>
      <c r="C64" s="398">
        <v>28</v>
      </c>
      <c r="D64" s="688"/>
      <c r="E64" s="689"/>
      <c r="F64" s="476"/>
      <c r="G64" s="483"/>
      <c r="H64" s="466"/>
      <c r="I64" s="467"/>
      <c r="J64" s="489"/>
      <c r="K64" s="490"/>
      <c r="L64" s="491"/>
      <c r="M64" s="492"/>
      <c r="N64" s="373" t="str">
        <f t="shared" ca="1" si="1"/>
        <v/>
      </c>
      <c r="O64" s="374" t="str">
        <f t="shared" ca="1" si="2"/>
        <v/>
      </c>
      <c r="P64" s="375">
        <f t="shared" ca="1" si="3"/>
        <v>0</v>
      </c>
      <c r="Q64" s="384" t="str">
        <f t="shared" ca="1" si="4"/>
        <v/>
      </c>
      <c r="R64" s="385" t="str">
        <f t="shared" ca="1" si="5"/>
        <v/>
      </c>
      <c r="S64" s="386">
        <f t="shared" ca="1" si="6"/>
        <v>0</v>
      </c>
      <c r="T64" s="387" t="str">
        <f t="shared" ca="1" si="7"/>
        <v/>
      </c>
      <c r="U64" s="5"/>
      <c r="V64" s="6"/>
      <c r="W64" s="4"/>
      <c r="X64" s="4">
        <v>28</v>
      </c>
      <c r="Y64" s="104">
        <f t="shared" si="8"/>
        <v>40</v>
      </c>
      <c r="Z64" s="104">
        <f t="shared" si="29"/>
        <v>0</v>
      </c>
      <c r="AA64" s="4"/>
      <c r="AB64" s="53">
        <f t="shared" si="52"/>
        <v>0</v>
      </c>
      <c r="AC64" s="54">
        <f>IF(SUM(AB64:AB$116)=0,0,F64&gt;0)</f>
        <v>0</v>
      </c>
      <c r="AD64" s="53">
        <f t="shared" si="53"/>
        <v>0</v>
      </c>
      <c r="AE64" s="54">
        <f>IF(SUM(AB64:AB$116)=0,0,AND(AC64=FALSE,AD64=0,SUM(AD64:AD$116)&gt;0))</f>
        <v>0</v>
      </c>
      <c r="AF64" s="54">
        <f t="shared" si="30"/>
        <v>0</v>
      </c>
      <c r="AG64" s="54">
        <f t="shared" si="31"/>
        <v>0</v>
      </c>
      <c r="AH64" s="56">
        <f t="shared" si="32"/>
        <v>0</v>
      </c>
      <c r="AI64" s="56">
        <f t="shared" si="33"/>
        <v>0</v>
      </c>
      <c r="AJ64" s="54">
        <f t="shared" si="34"/>
        <v>0</v>
      </c>
      <c r="AK64" s="54" t="str">
        <f t="shared" si="35"/>
        <v/>
      </c>
      <c r="AL64" s="54">
        <f t="shared" si="36"/>
        <v>0</v>
      </c>
      <c r="AM64" s="54">
        <f t="shared" si="37"/>
        <v>0</v>
      </c>
      <c r="AN64" s="54">
        <f t="shared" si="38"/>
        <v>0</v>
      </c>
      <c r="AO64" s="54">
        <f t="shared" si="39"/>
        <v>0</v>
      </c>
      <c r="AP64" s="54">
        <f t="shared" si="40"/>
        <v>0</v>
      </c>
      <c r="AQ64" s="54">
        <f t="shared" si="41"/>
        <v>0</v>
      </c>
      <c r="AR64" s="53">
        <f t="shared" si="42"/>
        <v>0</v>
      </c>
      <c r="AS64" s="409" t="str">
        <f t="shared" si="43"/>
        <v/>
      </c>
      <c r="AT64" s="54">
        <f t="shared" si="10"/>
        <v>0</v>
      </c>
      <c r="AU64" s="54">
        <f t="shared" si="11"/>
        <v>0</v>
      </c>
      <c r="AV64" s="54">
        <f t="shared" si="12"/>
        <v>0</v>
      </c>
      <c r="AW64" s="55" t="b">
        <f t="shared" ca="1" si="13"/>
        <v>0</v>
      </c>
      <c r="AX64" s="69"/>
      <c r="AY64" s="203">
        <f t="shared" ca="1" si="14"/>
        <v>0</v>
      </c>
      <c r="AZ64" s="72">
        <f t="shared" ca="1" si="15"/>
        <v>0</v>
      </c>
      <c r="BA64" s="72">
        <f t="shared" ca="1" si="44"/>
        <v>0</v>
      </c>
      <c r="BB64" s="75">
        <f t="shared" ca="1" si="16"/>
        <v>0</v>
      </c>
      <c r="BC64" s="209">
        <f t="shared" si="17"/>
        <v>0</v>
      </c>
      <c r="BD64" s="72">
        <f t="shared" si="45"/>
        <v>0</v>
      </c>
      <c r="BE64" s="72">
        <f t="shared" si="46"/>
        <v>0</v>
      </c>
      <c r="BF64" s="72">
        <f t="shared" si="47"/>
        <v>0</v>
      </c>
      <c r="BG64" s="200">
        <f t="shared" ca="1" si="48"/>
        <v>0</v>
      </c>
      <c r="BH64" s="69"/>
      <c r="BI64" s="198">
        <f t="shared" si="18"/>
        <v>0</v>
      </c>
      <c r="BJ64" s="71">
        <f t="shared" si="19"/>
        <v>0</v>
      </c>
      <c r="BK64" s="72">
        <f t="shared" si="49"/>
        <v>0</v>
      </c>
      <c r="BL64" s="72">
        <f t="shared" ca="1" si="50"/>
        <v>0</v>
      </c>
      <c r="BM64" s="200">
        <f t="shared" ca="1" si="20"/>
        <v>0</v>
      </c>
      <c r="BN64" s="69"/>
      <c r="BO64" s="198">
        <f t="shared" si="21"/>
        <v>0</v>
      </c>
      <c r="BP64" s="72">
        <f t="shared" ca="1" si="22"/>
        <v>0</v>
      </c>
      <c r="BQ64" s="78">
        <f t="shared" si="51"/>
        <v>0</v>
      </c>
      <c r="BR64" s="78">
        <f t="shared" si="23"/>
        <v>0</v>
      </c>
      <c r="BS64" s="80">
        <f t="shared" ca="1" si="24"/>
        <v>0</v>
      </c>
      <c r="BT64" s="80">
        <f t="shared" ca="1" si="25"/>
        <v>0</v>
      </c>
      <c r="BU64" s="259" t="str">
        <f t="shared" ca="1" si="26"/>
        <v/>
      </c>
      <c r="BV64" s="206" t="str">
        <f t="shared" ca="1" si="27"/>
        <v/>
      </c>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row>
    <row r="65" spans="1:116" ht="12.75" customHeight="1">
      <c r="A65" s="5"/>
      <c r="B65" s="327">
        <f t="shared" si="28"/>
        <v>40</v>
      </c>
      <c r="C65" s="398">
        <v>29</v>
      </c>
      <c r="D65" s="688"/>
      <c r="E65" s="689"/>
      <c r="F65" s="476"/>
      <c r="G65" s="483"/>
      <c r="H65" s="466"/>
      <c r="I65" s="467"/>
      <c r="J65" s="489"/>
      <c r="K65" s="490"/>
      <c r="L65" s="491"/>
      <c r="M65" s="492"/>
      <c r="N65" s="373" t="str">
        <f t="shared" ca="1" si="1"/>
        <v/>
      </c>
      <c r="O65" s="374" t="str">
        <f t="shared" ca="1" si="2"/>
        <v/>
      </c>
      <c r="P65" s="375">
        <f t="shared" ca="1" si="3"/>
        <v>0</v>
      </c>
      <c r="Q65" s="384" t="str">
        <f t="shared" ca="1" si="4"/>
        <v/>
      </c>
      <c r="R65" s="385" t="str">
        <f t="shared" ca="1" si="5"/>
        <v/>
      </c>
      <c r="S65" s="386">
        <f t="shared" ca="1" si="6"/>
        <v>0</v>
      </c>
      <c r="T65" s="387" t="str">
        <f t="shared" ca="1" si="7"/>
        <v/>
      </c>
      <c r="U65" s="5"/>
      <c r="V65" s="6"/>
      <c r="W65" s="4"/>
      <c r="X65" s="4">
        <v>29</v>
      </c>
      <c r="Y65" s="104">
        <f t="shared" si="8"/>
        <v>40</v>
      </c>
      <c r="Z65" s="104">
        <f t="shared" si="29"/>
        <v>0</v>
      </c>
      <c r="AA65" s="4"/>
      <c r="AB65" s="53">
        <f t="shared" si="52"/>
        <v>0</v>
      </c>
      <c r="AC65" s="54">
        <f>IF(SUM(AB65:AB$116)=0,0,F65&gt;0)</f>
        <v>0</v>
      </c>
      <c r="AD65" s="53">
        <f t="shared" si="53"/>
        <v>0</v>
      </c>
      <c r="AE65" s="54">
        <f>IF(SUM(AB65:AB$116)=0,0,AND(AC65=FALSE,AD65=0,SUM(AD65:AD$116)&gt;0))</f>
        <v>0</v>
      </c>
      <c r="AF65" s="54">
        <f t="shared" si="30"/>
        <v>0</v>
      </c>
      <c r="AG65" s="54">
        <f t="shared" si="31"/>
        <v>0</v>
      </c>
      <c r="AH65" s="56">
        <f t="shared" si="32"/>
        <v>0</v>
      </c>
      <c r="AI65" s="56">
        <f t="shared" si="33"/>
        <v>0</v>
      </c>
      <c r="AJ65" s="54">
        <f t="shared" si="34"/>
        <v>0</v>
      </c>
      <c r="AK65" s="54" t="str">
        <f t="shared" si="35"/>
        <v/>
      </c>
      <c r="AL65" s="54">
        <f t="shared" si="36"/>
        <v>0</v>
      </c>
      <c r="AM65" s="54">
        <f t="shared" si="37"/>
        <v>0</v>
      </c>
      <c r="AN65" s="54">
        <f t="shared" si="38"/>
        <v>0</v>
      </c>
      <c r="AO65" s="54">
        <f t="shared" si="39"/>
        <v>0</v>
      </c>
      <c r="AP65" s="54">
        <f t="shared" si="40"/>
        <v>0</v>
      </c>
      <c r="AQ65" s="54">
        <f t="shared" si="41"/>
        <v>0</v>
      </c>
      <c r="AR65" s="53">
        <f t="shared" si="42"/>
        <v>0</v>
      </c>
      <c r="AS65" s="409" t="str">
        <f t="shared" si="43"/>
        <v/>
      </c>
      <c r="AT65" s="54">
        <f t="shared" si="10"/>
        <v>0</v>
      </c>
      <c r="AU65" s="54">
        <f t="shared" si="11"/>
        <v>0</v>
      </c>
      <c r="AV65" s="54">
        <f t="shared" si="12"/>
        <v>0</v>
      </c>
      <c r="AW65" s="55" t="b">
        <f t="shared" ca="1" si="13"/>
        <v>0</v>
      </c>
      <c r="AX65" s="69"/>
      <c r="AY65" s="203">
        <f t="shared" ca="1" si="14"/>
        <v>0</v>
      </c>
      <c r="AZ65" s="72">
        <f t="shared" ca="1" si="15"/>
        <v>0</v>
      </c>
      <c r="BA65" s="72">
        <f t="shared" ca="1" si="44"/>
        <v>0</v>
      </c>
      <c r="BB65" s="75">
        <f t="shared" ca="1" si="16"/>
        <v>0</v>
      </c>
      <c r="BC65" s="209">
        <f t="shared" si="17"/>
        <v>0</v>
      </c>
      <c r="BD65" s="72">
        <f t="shared" si="45"/>
        <v>0</v>
      </c>
      <c r="BE65" s="72">
        <f t="shared" si="46"/>
        <v>0</v>
      </c>
      <c r="BF65" s="72">
        <f t="shared" si="47"/>
        <v>0</v>
      </c>
      <c r="BG65" s="200">
        <f t="shared" ca="1" si="48"/>
        <v>0</v>
      </c>
      <c r="BH65" s="69"/>
      <c r="BI65" s="198">
        <f t="shared" si="18"/>
        <v>0</v>
      </c>
      <c r="BJ65" s="71">
        <f t="shared" si="19"/>
        <v>0</v>
      </c>
      <c r="BK65" s="72">
        <f t="shared" si="49"/>
        <v>0</v>
      </c>
      <c r="BL65" s="72">
        <f t="shared" ca="1" si="50"/>
        <v>0</v>
      </c>
      <c r="BM65" s="200">
        <f t="shared" ca="1" si="20"/>
        <v>0</v>
      </c>
      <c r="BN65" s="69"/>
      <c r="BO65" s="198">
        <f t="shared" si="21"/>
        <v>0</v>
      </c>
      <c r="BP65" s="72">
        <f t="shared" ca="1" si="22"/>
        <v>0</v>
      </c>
      <c r="BQ65" s="78">
        <f t="shared" si="51"/>
        <v>0</v>
      </c>
      <c r="BR65" s="78">
        <f t="shared" si="23"/>
        <v>0</v>
      </c>
      <c r="BS65" s="80">
        <f t="shared" ca="1" si="24"/>
        <v>0</v>
      </c>
      <c r="BT65" s="80">
        <f t="shared" ca="1" si="25"/>
        <v>0</v>
      </c>
      <c r="BU65" s="259" t="str">
        <f t="shared" ca="1" si="26"/>
        <v/>
      </c>
      <c r="BV65" s="206" t="str">
        <f t="shared" ca="1" si="27"/>
        <v/>
      </c>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row>
    <row r="66" spans="1:116" ht="12.75" customHeight="1">
      <c r="A66" s="5"/>
      <c r="B66" s="327">
        <f t="shared" si="28"/>
        <v>40</v>
      </c>
      <c r="C66" s="398">
        <v>30</v>
      </c>
      <c r="D66" s="688"/>
      <c r="E66" s="689"/>
      <c r="F66" s="476"/>
      <c r="G66" s="483"/>
      <c r="H66" s="466"/>
      <c r="I66" s="467"/>
      <c r="J66" s="489"/>
      <c r="K66" s="490"/>
      <c r="L66" s="491"/>
      <c r="M66" s="492"/>
      <c r="N66" s="373" t="str">
        <f t="shared" ca="1" si="1"/>
        <v/>
      </c>
      <c r="O66" s="374" t="str">
        <f t="shared" ca="1" si="2"/>
        <v/>
      </c>
      <c r="P66" s="375">
        <f t="shared" ca="1" si="3"/>
        <v>0</v>
      </c>
      <c r="Q66" s="384" t="str">
        <f t="shared" ca="1" si="4"/>
        <v/>
      </c>
      <c r="R66" s="385" t="str">
        <f t="shared" ca="1" si="5"/>
        <v/>
      </c>
      <c r="S66" s="386">
        <f t="shared" ca="1" si="6"/>
        <v>0</v>
      </c>
      <c r="T66" s="387" t="str">
        <f t="shared" ca="1" si="7"/>
        <v/>
      </c>
      <c r="U66" s="5"/>
      <c r="V66" s="6"/>
      <c r="W66" s="4"/>
      <c r="X66" s="4">
        <v>30</v>
      </c>
      <c r="Y66" s="104">
        <f t="shared" si="8"/>
        <v>40</v>
      </c>
      <c r="Z66" s="104">
        <f t="shared" si="29"/>
        <v>0</v>
      </c>
      <c r="AA66" s="4"/>
      <c r="AB66" s="53">
        <f t="shared" si="52"/>
        <v>0</v>
      </c>
      <c r="AC66" s="54">
        <f>IF(SUM(AB66:AB$116)=0,0,F66&gt;0)</f>
        <v>0</v>
      </c>
      <c r="AD66" s="53">
        <f t="shared" si="53"/>
        <v>0</v>
      </c>
      <c r="AE66" s="54">
        <f>IF(SUM(AB66:AB$116)=0,0,AND(AC66=FALSE,AD66=0,SUM(AD66:AD$116)&gt;0))</f>
        <v>0</v>
      </c>
      <c r="AF66" s="54">
        <f t="shared" si="30"/>
        <v>0</v>
      </c>
      <c r="AG66" s="54">
        <f t="shared" si="31"/>
        <v>0</v>
      </c>
      <c r="AH66" s="56">
        <f t="shared" si="32"/>
        <v>0</v>
      </c>
      <c r="AI66" s="56">
        <f t="shared" si="33"/>
        <v>0</v>
      </c>
      <c r="AJ66" s="54">
        <f t="shared" si="34"/>
        <v>0</v>
      </c>
      <c r="AK66" s="54" t="str">
        <f t="shared" si="35"/>
        <v/>
      </c>
      <c r="AL66" s="54">
        <f t="shared" si="36"/>
        <v>0</v>
      </c>
      <c r="AM66" s="54">
        <f t="shared" si="37"/>
        <v>0</v>
      </c>
      <c r="AN66" s="54">
        <f t="shared" si="38"/>
        <v>0</v>
      </c>
      <c r="AO66" s="54">
        <f t="shared" si="39"/>
        <v>0</v>
      </c>
      <c r="AP66" s="54">
        <f t="shared" si="40"/>
        <v>0</v>
      </c>
      <c r="AQ66" s="54">
        <f t="shared" si="41"/>
        <v>0</v>
      </c>
      <c r="AR66" s="53">
        <f t="shared" si="42"/>
        <v>0</v>
      </c>
      <c r="AS66" s="409" t="str">
        <f t="shared" si="43"/>
        <v/>
      </c>
      <c r="AT66" s="54">
        <f t="shared" si="10"/>
        <v>0</v>
      </c>
      <c r="AU66" s="54">
        <f t="shared" si="11"/>
        <v>0</v>
      </c>
      <c r="AV66" s="54">
        <f t="shared" si="12"/>
        <v>0</v>
      </c>
      <c r="AW66" s="55" t="b">
        <f t="shared" ca="1" si="13"/>
        <v>0</v>
      </c>
      <c r="AX66" s="69"/>
      <c r="AY66" s="203">
        <f t="shared" ca="1" si="14"/>
        <v>0</v>
      </c>
      <c r="AZ66" s="72">
        <f t="shared" ca="1" si="15"/>
        <v>0</v>
      </c>
      <c r="BA66" s="72">
        <f t="shared" ca="1" si="44"/>
        <v>0</v>
      </c>
      <c r="BB66" s="75">
        <f t="shared" ca="1" si="16"/>
        <v>0</v>
      </c>
      <c r="BC66" s="209">
        <f t="shared" si="17"/>
        <v>0</v>
      </c>
      <c r="BD66" s="72">
        <f t="shared" si="45"/>
        <v>0</v>
      </c>
      <c r="BE66" s="72">
        <f t="shared" si="46"/>
        <v>0</v>
      </c>
      <c r="BF66" s="72">
        <f t="shared" si="47"/>
        <v>0</v>
      </c>
      <c r="BG66" s="200">
        <f t="shared" ca="1" si="48"/>
        <v>0</v>
      </c>
      <c r="BH66" s="69"/>
      <c r="BI66" s="198">
        <f t="shared" si="18"/>
        <v>0</v>
      </c>
      <c r="BJ66" s="71">
        <f t="shared" si="19"/>
        <v>0</v>
      </c>
      <c r="BK66" s="72">
        <f t="shared" si="49"/>
        <v>0</v>
      </c>
      <c r="BL66" s="72">
        <f t="shared" ca="1" si="50"/>
        <v>0</v>
      </c>
      <c r="BM66" s="200">
        <f t="shared" ca="1" si="20"/>
        <v>0</v>
      </c>
      <c r="BN66" s="69"/>
      <c r="BO66" s="198">
        <f t="shared" si="21"/>
        <v>0</v>
      </c>
      <c r="BP66" s="72">
        <f t="shared" ca="1" si="22"/>
        <v>0</v>
      </c>
      <c r="BQ66" s="78">
        <f t="shared" si="51"/>
        <v>0</v>
      </c>
      <c r="BR66" s="78">
        <f t="shared" si="23"/>
        <v>0</v>
      </c>
      <c r="BS66" s="80">
        <f t="shared" ca="1" si="24"/>
        <v>0</v>
      </c>
      <c r="BT66" s="80">
        <f t="shared" ca="1" si="25"/>
        <v>0</v>
      </c>
      <c r="BU66" s="259" t="str">
        <f t="shared" ca="1" si="26"/>
        <v/>
      </c>
      <c r="BV66" s="206" t="str">
        <f t="shared" ca="1" si="27"/>
        <v/>
      </c>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row>
    <row r="67" spans="1:116" ht="12.75" customHeight="1">
      <c r="A67" s="5"/>
      <c r="B67" s="327">
        <f t="shared" si="28"/>
        <v>40</v>
      </c>
      <c r="C67" s="398">
        <v>31</v>
      </c>
      <c r="D67" s="688"/>
      <c r="E67" s="689"/>
      <c r="F67" s="476"/>
      <c r="G67" s="483"/>
      <c r="H67" s="466"/>
      <c r="I67" s="467"/>
      <c r="J67" s="489"/>
      <c r="K67" s="490"/>
      <c r="L67" s="491"/>
      <c r="M67" s="492"/>
      <c r="N67" s="373" t="str">
        <f t="shared" ca="1" si="1"/>
        <v/>
      </c>
      <c r="O67" s="374" t="str">
        <f t="shared" ca="1" si="2"/>
        <v/>
      </c>
      <c r="P67" s="375">
        <f t="shared" ca="1" si="3"/>
        <v>0</v>
      </c>
      <c r="Q67" s="384" t="str">
        <f t="shared" ca="1" si="4"/>
        <v/>
      </c>
      <c r="R67" s="385" t="str">
        <f t="shared" ca="1" si="5"/>
        <v/>
      </c>
      <c r="S67" s="386">
        <f t="shared" ca="1" si="6"/>
        <v>0</v>
      </c>
      <c r="T67" s="387" t="str">
        <f t="shared" ca="1" si="7"/>
        <v/>
      </c>
      <c r="U67" s="5"/>
      <c r="V67" s="6"/>
      <c r="W67" s="4"/>
      <c r="X67" s="4">
        <v>31</v>
      </c>
      <c r="Y67" s="104">
        <f t="shared" si="8"/>
        <v>40</v>
      </c>
      <c r="Z67" s="104">
        <f t="shared" si="29"/>
        <v>0</v>
      </c>
      <c r="AA67" s="4"/>
      <c r="AB67" s="53">
        <f t="shared" si="52"/>
        <v>0</v>
      </c>
      <c r="AC67" s="54">
        <f>IF(SUM(AB67:AB$116)=0,0,F67&gt;0)</f>
        <v>0</v>
      </c>
      <c r="AD67" s="53">
        <f t="shared" si="53"/>
        <v>0</v>
      </c>
      <c r="AE67" s="54">
        <f>IF(SUM(AB67:AB$116)=0,0,AND(AC67=FALSE,AD67=0,SUM(AD67:AD$116)&gt;0))</f>
        <v>0</v>
      </c>
      <c r="AF67" s="54">
        <f t="shared" si="30"/>
        <v>0</v>
      </c>
      <c r="AG67" s="54">
        <f t="shared" si="31"/>
        <v>0</v>
      </c>
      <c r="AH67" s="56">
        <f t="shared" si="32"/>
        <v>0</v>
      </c>
      <c r="AI67" s="56">
        <f t="shared" si="33"/>
        <v>0</v>
      </c>
      <c r="AJ67" s="54">
        <f t="shared" si="34"/>
        <v>0</v>
      </c>
      <c r="AK67" s="54" t="str">
        <f t="shared" si="35"/>
        <v/>
      </c>
      <c r="AL67" s="54">
        <f t="shared" si="36"/>
        <v>0</v>
      </c>
      <c r="AM67" s="54">
        <f t="shared" si="37"/>
        <v>0</v>
      </c>
      <c r="AN67" s="54">
        <f t="shared" si="38"/>
        <v>0</v>
      </c>
      <c r="AO67" s="54">
        <f t="shared" si="39"/>
        <v>0</v>
      </c>
      <c r="AP67" s="54">
        <f t="shared" si="40"/>
        <v>0</v>
      </c>
      <c r="AQ67" s="54">
        <f t="shared" si="41"/>
        <v>0</v>
      </c>
      <c r="AR67" s="53">
        <f t="shared" si="42"/>
        <v>0</v>
      </c>
      <c r="AS67" s="409" t="str">
        <f t="shared" si="43"/>
        <v/>
      </c>
      <c r="AT67" s="54">
        <f t="shared" si="10"/>
        <v>0</v>
      </c>
      <c r="AU67" s="54">
        <f t="shared" si="11"/>
        <v>0</v>
      </c>
      <c r="AV67" s="54">
        <f t="shared" si="12"/>
        <v>0</v>
      </c>
      <c r="AW67" s="55" t="b">
        <f t="shared" ca="1" si="13"/>
        <v>0</v>
      </c>
      <c r="AX67" s="69"/>
      <c r="AY67" s="203">
        <f t="shared" ca="1" si="14"/>
        <v>0</v>
      </c>
      <c r="AZ67" s="72">
        <f t="shared" ca="1" si="15"/>
        <v>0</v>
      </c>
      <c r="BA67" s="72">
        <f t="shared" ca="1" si="44"/>
        <v>0</v>
      </c>
      <c r="BB67" s="75">
        <f t="shared" ca="1" si="16"/>
        <v>0</v>
      </c>
      <c r="BC67" s="209">
        <f t="shared" si="17"/>
        <v>0</v>
      </c>
      <c r="BD67" s="72">
        <f t="shared" si="45"/>
        <v>0</v>
      </c>
      <c r="BE67" s="72">
        <f t="shared" si="46"/>
        <v>0</v>
      </c>
      <c r="BF67" s="72">
        <f t="shared" si="47"/>
        <v>0</v>
      </c>
      <c r="BG67" s="200">
        <f t="shared" ca="1" si="48"/>
        <v>0</v>
      </c>
      <c r="BH67" s="69"/>
      <c r="BI67" s="198">
        <f t="shared" si="18"/>
        <v>0</v>
      </c>
      <c r="BJ67" s="71">
        <f t="shared" si="19"/>
        <v>0</v>
      </c>
      <c r="BK67" s="72">
        <f t="shared" si="49"/>
        <v>0</v>
      </c>
      <c r="BL67" s="72">
        <f t="shared" ca="1" si="50"/>
        <v>0</v>
      </c>
      <c r="BM67" s="200">
        <f t="shared" ca="1" si="20"/>
        <v>0</v>
      </c>
      <c r="BN67" s="69"/>
      <c r="BO67" s="198">
        <f t="shared" si="21"/>
        <v>0</v>
      </c>
      <c r="BP67" s="72">
        <f t="shared" ca="1" si="22"/>
        <v>0</v>
      </c>
      <c r="BQ67" s="78">
        <f t="shared" si="51"/>
        <v>0</v>
      </c>
      <c r="BR67" s="78">
        <f t="shared" si="23"/>
        <v>0</v>
      </c>
      <c r="BS67" s="80">
        <f t="shared" ca="1" si="24"/>
        <v>0</v>
      </c>
      <c r="BT67" s="80">
        <f t="shared" ca="1" si="25"/>
        <v>0</v>
      </c>
      <c r="BU67" s="259" t="str">
        <f t="shared" ca="1" si="26"/>
        <v/>
      </c>
      <c r="BV67" s="206" t="str">
        <f t="shared" ca="1" si="27"/>
        <v/>
      </c>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row>
    <row r="68" spans="1:116" ht="12.75" customHeight="1">
      <c r="A68" s="5"/>
      <c r="B68" s="327">
        <f t="shared" si="28"/>
        <v>40</v>
      </c>
      <c r="C68" s="398">
        <v>32</v>
      </c>
      <c r="D68" s="688"/>
      <c r="E68" s="689"/>
      <c r="F68" s="476"/>
      <c r="G68" s="483"/>
      <c r="H68" s="466"/>
      <c r="I68" s="467"/>
      <c r="J68" s="489"/>
      <c r="K68" s="490"/>
      <c r="L68" s="491"/>
      <c r="M68" s="492"/>
      <c r="N68" s="373" t="str">
        <f t="shared" ca="1" si="1"/>
        <v/>
      </c>
      <c r="O68" s="374" t="str">
        <f t="shared" ca="1" si="2"/>
        <v/>
      </c>
      <c r="P68" s="375">
        <f t="shared" ca="1" si="3"/>
        <v>0</v>
      </c>
      <c r="Q68" s="384" t="str">
        <f t="shared" ca="1" si="4"/>
        <v/>
      </c>
      <c r="R68" s="385" t="str">
        <f t="shared" ca="1" si="5"/>
        <v/>
      </c>
      <c r="S68" s="386">
        <f t="shared" ca="1" si="6"/>
        <v>0</v>
      </c>
      <c r="T68" s="387" t="str">
        <f t="shared" ca="1" si="7"/>
        <v/>
      </c>
      <c r="U68" s="5"/>
      <c r="V68" s="6"/>
      <c r="W68" s="4"/>
      <c r="X68" s="4">
        <v>32</v>
      </c>
      <c r="Y68" s="104">
        <f t="shared" si="8"/>
        <v>40</v>
      </c>
      <c r="Z68" s="104">
        <f t="shared" si="29"/>
        <v>0</v>
      </c>
      <c r="AA68" s="4"/>
      <c r="AB68" s="53">
        <f t="shared" si="52"/>
        <v>0</v>
      </c>
      <c r="AC68" s="54">
        <f>IF(SUM(AB68:AB$116)=0,0,F68&gt;0)</f>
        <v>0</v>
      </c>
      <c r="AD68" s="53">
        <f t="shared" si="53"/>
        <v>0</v>
      </c>
      <c r="AE68" s="54">
        <f>IF(SUM(AB68:AB$116)=0,0,AND(AC68=FALSE,AD68=0,SUM(AD68:AD$116)&gt;0))</f>
        <v>0</v>
      </c>
      <c r="AF68" s="54">
        <f t="shared" si="30"/>
        <v>0</v>
      </c>
      <c r="AG68" s="54">
        <f t="shared" si="31"/>
        <v>0</v>
      </c>
      <c r="AH68" s="56">
        <f t="shared" si="32"/>
        <v>0</v>
      </c>
      <c r="AI68" s="56">
        <f t="shared" si="33"/>
        <v>0</v>
      </c>
      <c r="AJ68" s="54">
        <f t="shared" si="34"/>
        <v>0</v>
      </c>
      <c r="AK68" s="54" t="str">
        <f t="shared" si="35"/>
        <v/>
      </c>
      <c r="AL68" s="54">
        <f t="shared" si="36"/>
        <v>0</v>
      </c>
      <c r="AM68" s="54">
        <f t="shared" si="37"/>
        <v>0</v>
      </c>
      <c r="AN68" s="54">
        <f t="shared" si="38"/>
        <v>0</v>
      </c>
      <c r="AO68" s="54">
        <f t="shared" si="39"/>
        <v>0</v>
      </c>
      <c r="AP68" s="54">
        <f t="shared" si="40"/>
        <v>0</v>
      </c>
      <c r="AQ68" s="54">
        <f t="shared" si="41"/>
        <v>0</v>
      </c>
      <c r="AR68" s="53">
        <f t="shared" si="42"/>
        <v>0</v>
      </c>
      <c r="AS68" s="409" t="str">
        <f t="shared" si="43"/>
        <v/>
      </c>
      <c r="AT68" s="54">
        <f t="shared" si="10"/>
        <v>0</v>
      </c>
      <c r="AU68" s="54">
        <f t="shared" si="11"/>
        <v>0</v>
      </c>
      <c r="AV68" s="54">
        <f t="shared" si="12"/>
        <v>0</v>
      </c>
      <c r="AW68" s="55" t="b">
        <f t="shared" ca="1" si="13"/>
        <v>0</v>
      </c>
      <c r="AX68" s="69"/>
      <c r="AY68" s="203">
        <f t="shared" ca="1" si="14"/>
        <v>0</v>
      </c>
      <c r="AZ68" s="72">
        <f t="shared" ca="1" si="15"/>
        <v>0</v>
      </c>
      <c r="BA68" s="72">
        <f t="shared" ca="1" si="44"/>
        <v>0</v>
      </c>
      <c r="BB68" s="75">
        <f t="shared" ca="1" si="16"/>
        <v>0</v>
      </c>
      <c r="BC68" s="209">
        <f t="shared" si="17"/>
        <v>0</v>
      </c>
      <c r="BD68" s="72">
        <f t="shared" si="45"/>
        <v>0</v>
      </c>
      <c r="BE68" s="72">
        <f t="shared" si="46"/>
        <v>0</v>
      </c>
      <c r="BF68" s="72">
        <f t="shared" si="47"/>
        <v>0</v>
      </c>
      <c r="BG68" s="200">
        <f t="shared" ca="1" si="48"/>
        <v>0</v>
      </c>
      <c r="BH68" s="69"/>
      <c r="BI68" s="198">
        <f t="shared" si="18"/>
        <v>0</v>
      </c>
      <c r="BJ68" s="71">
        <f t="shared" si="19"/>
        <v>0</v>
      </c>
      <c r="BK68" s="72">
        <f t="shared" si="49"/>
        <v>0</v>
      </c>
      <c r="BL68" s="72">
        <f t="shared" ca="1" si="50"/>
        <v>0</v>
      </c>
      <c r="BM68" s="200">
        <f t="shared" ca="1" si="20"/>
        <v>0</v>
      </c>
      <c r="BN68" s="69"/>
      <c r="BO68" s="198">
        <f t="shared" si="21"/>
        <v>0</v>
      </c>
      <c r="BP68" s="72">
        <f t="shared" ca="1" si="22"/>
        <v>0</v>
      </c>
      <c r="BQ68" s="78">
        <f t="shared" si="51"/>
        <v>0</v>
      </c>
      <c r="BR68" s="78">
        <f t="shared" si="23"/>
        <v>0</v>
      </c>
      <c r="BS68" s="80">
        <f t="shared" ca="1" si="24"/>
        <v>0</v>
      </c>
      <c r="BT68" s="80">
        <f t="shared" ca="1" si="25"/>
        <v>0</v>
      </c>
      <c r="BU68" s="259" t="str">
        <f t="shared" ca="1" si="26"/>
        <v/>
      </c>
      <c r="BV68" s="206" t="str">
        <f t="shared" ca="1" si="27"/>
        <v/>
      </c>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row>
    <row r="69" spans="1:116" ht="12.75" customHeight="1">
      <c r="A69" s="5"/>
      <c r="B69" s="327">
        <f t="shared" si="28"/>
        <v>40</v>
      </c>
      <c r="C69" s="398">
        <v>33</v>
      </c>
      <c r="D69" s="688"/>
      <c r="E69" s="689"/>
      <c r="F69" s="476"/>
      <c r="G69" s="483"/>
      <c r="H69" s="466"/>
      <c r="I69" s="467"/>
      <c r="J69" s="489"/>
      <c r="K69" s="490"/>
      <c r="L69" s="491"/>
      <c r="M69" s="492"/>
      <c r="N69" s="373" t="str">
        <f t="shared" ref="N69:N100" ca="1" si="54">IF(AND(AP69=TRUE,AQ69=TRUE,InputIssues=0),IF(L69="device",2,IF(AT69=FALSE,1,0.5)*L69/M69),"")</f>
        <v/>
      </c>
      <c r="O69" s="374" t="str">
        <f t="shared" ref="O69:O100" ca="1" si="55">IF(AND(AP69=TRUE,InputIssues=0),IF(O$36=F$182,BG69,IF(O$36=G$182,BL69,BL69/BG69)),"")</f>
        <v/>
      </c>
      <c r="P69" s="375">
        <f t="shared" ref="P69:P100" ca="1" si="56">IF(InputIssues=0,MAX(G69*H69,I69),0)</f>
        <v>0</v>
      </c>
      <c r="Q69" s="384" t="str">
        <f t="shared" ca="1" si="4"/>
        <v/>
      </c>
      <c r="R69" s="385" t="str">
        <f t="shared" ref="R69:R100" ca="1" si="57">IF(AllInputsOK=FALSE,"",BU69)</f>
        <v/>
      </c>
      <c r="S69" s="386">
        <f t="shared" ca="1" si="6"/>
        <v>0</v>
      </c>
      <c r="T69" s="387" t="str">
        <f t="shared" ref="T69:T100" ca="1" si="58">IF(AllInputsOK=FALSE,"",BV69)</f>
        <v/>
      </c>
      <c r="U69" s="5"/>
      <c r="V69" s="6"/>
      <c r="W69" s="4"/>
      <c r="X69" s="4">
        <v>33</v>
      </c>
      <c r="Y69" s="104">
        <f t="shared" si="8"/>
        <v>40</v>
      </c>
      <c r="Z69" s="104">
        <f t="shared" si="29"/>
        <v>0</v>
      </c>
      <c r="AA69" s="4"/>
      <c r="AB69" s="53">
        <f t="shared" si="52"/>
        <v>0</v>
      </c>
      <c r="AC69" s="54">
        <f>IF(SUM(AB69:AB$116)=0,0,F69&gt;0)</f>
        <v>0</v>
      </c>
      <c r="AD69" s="53">
        <f t="shared" si="53"/>
        <v>0</v>
      </c>
      <c r="AE69" s="54">
        <f>IF(SUM(AB69:AB$116)=0,0,AND(AC69=FALSE,AD69=0,SUM(AD69:AD$116)&gt;0))</f>
        <v>0</v>
      </c>
      <c r="AF69" s="54">
        <f t="shared" si="30"/>
        <v>0</v>
      </c>
      <c r="AG69" s="54">
        <f t="shared" si="31"/>
        <v>0</v>
      </c>
      <c r="AH69" s="56">
        <f t="shared" si="32"/>
        <v>0</v>
      </c>
      <c r="AI69" s="56">
        <f t="shared" si="33"/>
        <v>0</v>
      </c>
      <c r="AJ69" s="54">
        <f t="shared" si="34"/>
        <v>0</v>
      </c>
      <c r="AK69" s="54" t="str">
        <f t="shared" si="35"/>
        <v/>
      </c>
      <c r="AL69" s="54">
        <f t="shared" si="36"/>
        <v>0</v>
      </c>
      <c r="AM69" s="54">
        <f t="shared" si="37"/>
        <v>0</v>
      </c>
      <c r="AN69" s="54">
        <f t="shared" si="38"/>
        <v>0</v>
      </c>
      <c r="AO69" s="54">
        <f t="shared" si="39"/>
        <v>0</v>
      </c>
      <c r="AP69" s="54">
        <f t="shared" si="40"/>
        <v>0</v>
      </c>
      <c r="AQ69" s="54">
        <f t="shared" si="41"/>
        <v>0</v>
      </c>
      <c r="AR69" s="53">
        <f t="shared" si="42"/>
        <v>0</v>
      </c>
      <c r="AS69" s="409" t="str">
        <f t="shared" si="43"/>
        <v/>
      </c>
      <c r="AT69" s="54">
        <f t="shared" ref="AT69:AT100" si="59">IF(AB69=0,0,AND(G69&gt;0,M69-G69&gt;0.5))</f>
        <v>0</v>
      </c>
      <c r="AU69" s="54">
        <f t="shared" ref="AU69:AU100" si="60">IF(AB69=0,0,AND(ISNUMBER(N69),N69&gt;2))</f>
        <v>0</v>
      </c>
      <c r="AV69" s="54">
        <f t="shared" ref="AV69:AV100" si="61">IF(AB69=0,0,AND(AC69=TRUE,COUNT(G69:I69)=3,G69*H69&lt;&gt;I69))</f>
        <v>0</v>
      </c>
      <c r="AW69" s="55" t="b">
        <f t="shared" ref="AW69:AW100" ca="1" si="62">AND(UpperInputsAlerts=0,DudTableInputs=0,COUNTIF(BS69:BT69,TRUE)&lt;&gt;0)</f>
        <v>0</v>
      </c>
      <c r="AX69" s="69"/>
      <c r="AY69" s="203">
        <f t="shared" ref="AY69:AY100" ca="1" si="63">IF(N69="",0,INDEX(Projections,MATCH(N69,Projections,1),1))</f>
        <v>0</v>
      </c>
      <c r="AZ69" s="72">
        <f t="shared" ref="AZ69:AZ100" ca="1" si="64">IF(N69="",0,IF(AY69=2,2,INDEX(Projections,MATCH(N69,Projections,1)+1,1)))</f>
        <v>0</v>
      </c>
      <c r="BA69" s="72">
        <f t="shared" ca="1" si="44"/>
        <v>0</v>
      </c>
      <c r="BB69" s="75">
        <f t="shared" ref="BB69:BB100" ca="1" si="65">IF(OR(N69="",BA69=0),0,(N69-AY69)/BA69)</f>
        <v>0</v>
      </c>
      <c r="BC69" s="209">
        <f t="shared" ref="BC69:BC100" si="66">IF(OR(AB69=0,AP69&lt;&gt;TRUE),0,F69)</f>
        <v>0</v>
      </c>
      <c r="BD69" s="72">
        <f t="shared" si="45"/>
        <v>0</v>
      </c>
      <c r="BE69" s="72">
        <f t="shared" si="46"/>
        <v>0</v>
      </c>
      <c r="BF69" s="72">
        <f t="shared" si="47"/>
        <v>0</v>
      </c>
      <c r="BG69" s="200">
        <f t="shared" ca="1" si="48"/>
        <v>0</v>
      </c>
      <c r="BH69" s="69"/>
      <c r="BI69" s="198">
        <f t="shared" si="18"/>
        <v>0</v>
      </c>
      <c r="BJ69" s="71">
        <f t="shared" si="19"/>
        <v>0</v>
      </c>
      <c r="BK69" s="72">
        <f t="shared" si="49"/>
        <v>0</v>
      </c>
      <c r="BL69" s="72">
        <f t="shared" ca="1" si="50"/>
        <v>0</v>
      </c>
      <c r="BM69" s="200">
        <f t="shared" ref="BM69:BM100" ca="1" si="67">P69*K69*BL69</f>
        <v>0</v>
      </c>
      <c r="BN69" s="69"/>
      <c r="BO69" s="198">
        <f t="shared" ref="BO69:BO100" si="68">IF(AP69=TRUE,IF(P69="",0,P69)*J69,0)</f>
        <v>0</v>
      </c>
      <c r="BP69" s="72">
        <f t="shared" ref="BP69:BP100" ca="1" si="69">K69*IF(P69="",0,P69)*BG69</f>
        <v>0</v>
      </c>
      <c r="BQ69" s="78">
        <f t="shared" si="51"/>
        <v>0</v>
      </c>
      <c r="BR69" s="78">
        <f t="shared" si="23"/>
        <v>0</v>
      </c>
      <c r="BS69" s="80">
        <f t="shared" ref="BS69:BS100" ca="1" si="70">IF(SUM(BO69:BP69)=0,0,AND(AC69=TRUE,BO$27&lt;0))</f>
        <v>0</v>
      </c>
      <c r="BT69" s="80">
        <f t="shared" ref="BT69:BT100" ca="1" si="71">IF(SUM(BO69:BP69)=0,0,AND(AC69=TRUE,BP$27&lt;0))</f>
        <v>0</v>
      </c>
      <c r="BU69" s="259" t="str">
        <f t="shared" ca="1" si="26"/>
        <v/>
      </c>
      <c r="BV69" s="206" t="str">
        <f t="shared" ca="1" si="27"/>
        <v/>
      </c>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row>
    <row r="70" spans="1:116" ht="12.75" customHeight="1">
      <c r="A70" s="5"/>
      <c r="B70" s="327">
        <f t="shared" si="28"/>
        <v>40</v>
      </c>
      <c r="C70" s="398">
        <v>34</v>
      </c>
      <c r="D70" s="688"/>
      <c r="E70" s="689"/>
      <c r="F70" s="476"/>
      <c r="G70" s="483"/>
      <c r="H70" s="466"/>
      <c r="I70" s="467"/>
      <c r="J70" s="489"/>
      <c r="K70" s="490"/>
      <c r="L70" s="491"/>
      <c r="M70" s="492"/>
      <c r="N70" s="373" t="str">
        <f t="shared" ca="1" si="54"/>
        <v/>
      </c>
      <c r="O70" s="374" t="str">
        <f t="shared" ca="1" si="55"/>
        <v/>
      </c>
      <c r="P70" s="375">
        <f t="shared" ca="1" si="56"/>
        <v>0</v>
      </c>
      <c r="Q70" s="384" t="str">
        <f t="shared" ca="1" si="4"/>
        <v/>
      </c>
      <c r="R70" s="385" t="str">
        <f t="shared" ca="1" si="57"/>
        <v/>
      </c>
      <c r="S70" s="386">
        <f t="shared" ca="1" si="6"/>
        <v>0</v>
      </c>
      <c r="T70" s="387" t="str">
        <f t="shared" ca="1" si="58"/>
        <v/>
      </c>
      <c r="U70" s="5"/>
      <c r="V70" s="6"/>
      <c r="W70" s="4"/>
      <c r="X70" s="4">
        <v>34</v>
      </c>
      <c r="Y70" s="104">
        <f t="shared" si="8"/>
        <v>40</v>
      </c>
      <c r="Z70" s="104">
        <f t="shared" si="29"/>
        <v>0</v>
      </c>
      <c r="AA70" s="4"/>
      <c r="AB70" s="53">
        <f t="shared" si="52"/>
        <v>0</v>
      </c>
      <c r="AC70" s="54">
        <f>IF(SUM(AB70:AB$116)=0,0,F70&gt;0)</f>
        <v>0</v>
      </c>
      <c r="AD70" s="53">
        <f t="shared" si="53"/>
        <v>0</v>
      </c>
      <c r="AE70" s="54">
        <f>IF(SUM(AB70:AB$116)=0,0,AND(AC70=FALSE,AD70=0,SUM(AD70:AD$116)&gt;0))</f>
        <v>0</v>
      </c>
      <c r="AF70" s="54">
        <f t="shared" si="30"/>
        <v>0</v>
      </c>
      <c r="AG70" s="54">
        <f t="shared" si="31"/>
        <v>0</v>
      </c>
      <c r="AH70" s="56">
        <f t="shared" si="32"/>
        <v>0</v>
      </c>
      <c r="AI70" s="56">
        <f t="shared" si="33"/>
        <v>0</v>
      </c>
      <c r="AJ70" s="54">
        <f t="shared" si="34"/>
        <v>0</v>
      </c>
      <c r="AK70" s="54" t="str">
        <f t="shared" si="35"/>
        <v/>
      </c>
      <c r="AL70" s="54">
        <f t="shared" si="36"/>
        <v>0</v>
      </c>
      <c r="AM70" s="54">
        <f t="shared" si="37"/>
        <v>0</v>
      </c>
      <c r="AN70" s="54">
        <f t="shared" si="38"/>
        <v>0</v>
      </c>
      <c r="AO70" s="54">
        <f t="shared" si="39"/>
        <v>0</v>
      </c>
      <c r="AP70" s="54">
        <f t="shared" si="40"/>
        <v>0</v>
      </c>
      <c r="AQ70" s="54">
        <f t="shared" si="41"/>
        <v>0</v>
      </c>
      <c r="AR70" s="53">
        <f t="shared" si="42"/>
        <v>0</v>
      </c>
      <c r="AS70" s="409" t="str">
        <f t="shared" si="43"/>
        <v/>
      </c>
      <c r="AT70" s="54">
        <f t="shared" si="59"/>
        <v>0</v>
      </c>
      <c r="AU70" s="54">
        <f t="shared" si="60"/>
        <v>0</v>
      </c>
      <c r="AV70" s="54">
        <f t="shared" si="61"/>
        <v>0</v>
      </c>
      <c r="AW70" s="55" t="b">
        <f t="shared" ca="1" si="62"/>
        <v>0</v>
      </c>
      <c r="AX70" s="69"/>
      <c r="AY70" s="203">
        <f t="shared" ca="1" si="63"/>
        <v>0</v>
      </c>
      <c r="AZ70" s="72">
        <f t="shared" ca="1" si="64"/>
        <v>0</v>
      </c>
      <c r="BA70" s="72">
        <f t="shared" ca="1" si="44"/>
        <v>0</v>
      </c>
      <c r="BB70" s="75">
        <f t="shared" ca="1" si="65"/>
        <v>0</v>
      </c>
      <c r="BC70" s="209">
        <f t="shared" si="66"/>
        <v>0</v>
      </c>
      <c r="BD70" s="72">
        <f t="shared" si="45"/>
        <v>0</v>
      </c>
      <c r="BE70" s="72">
        <f t="shared" si="46"/>
        <v>0</v>
      </c>
      <c r="BF70" s="72">
        <f t="shared" si="47"/>
        <v>0</v>
      </c>
      <c r="BG70" s="200">
        <f t="shared" ca="1" si="48"/>
        <v>0</v>
      </c>
      <c r="BH70" s="69"/>
      <c r="BI70" s="198">
        <f t="shared" si="18"/>
        <v>0</v>
      </c>
      <c r="BJ70" s="71">
        <f t="shared" si="19"/>
        <v>0</v>
      </c>
      <c r="BK70" s="72">
        <f t="shared" si="49"/>
        <v>0</v>
      </c>
      <c r="BL70" s="72">
        <f t="shared" ca="1" si="50"/>
        <v>0</v>
      </c>
      <c r="BM70" s="200">
        <f t="shared" ca="1" si="67"/>
        <v>0</v>
      </c>
      <c r="BN70" s="69"/>
      <c r="BO70" s="198">
        <f t="shared" si="68"/>
        <v>0</v>
      </c>
      <c r="BP70" s="72">
        <f t="shared" ca="1" si="69"/>
        <v>0</v>
      </c>
      <c r="BQ70" s="78">
        <f t="shared" si="51"/>
        <v>0</v>
      </c>
      <c r="BR70" s="78">
        <f t="shared" si="23"/>
        <v>0</v>
      </c>
      <c r="BS70" s="80">
        <f t="shared" ca="1" si="70"/>
        <v>0</v>
      </c>
      <c r="BT70" s="80">
        <f t="shared" ca="1" si="71"/>
        <v>0</v>
      </c>
      <c r="BU70" s="259" t="str">
        <f t="shared" ca="1" si="26"/>
        <v/>
      </c>
      <c r="BV70" s="206" t="str">
        <f t="shared" ca="1" si="27"/>
        <v/>
      </c>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row>
    <row r="71" spans="1:116" ht="12.75" customHeight="1">
      <c r="A71" s="5"/>
      <c r="B71" s="327">
        <f t="shared" si="28"/>
        <v>40</v>
      </c>
      <c r="C71" s="398">
        <v>35</v>
      </c>
      <c r="D71" s="688"/>
      <c r="E71" s="689"/>
      <c r="F71" s="476"/>
      <c r="G71" s="483"/>
      <c r="H71" s="466"/>
      <c r="I71" s="467"/>
      <c r="J71" s="489"/>
      <c r="K71" s="490"/>
      <c r="L71" s="491"/>
      <c r="M71" s="492"/>
      <c r="N71" s="373" t="str">
        <f t="shared" ca="1" si="54"/>
        <v/>
      </c>
      <c r="O71" s="374" t="str">
        <f t="shared" ca="1" si="55"/>
        <v/>
      </c>
      <c r="P71" s="375">
        <f t="shared" ca="1" si="56"/>
        <v>0</v>
      </c>
      <c r="Q71" s="384" t="str">
        <f t="shared" ca="1" si="4"/>
        <v/>
      </c>
      <c r="R71" s="385" t="str">
        <f t="shared" ca="1" si="57"/>
        <v/>
      </c>
      <c r="S71" s="386">
        <f t="shared" ca="1" si="6"/>
        <v>0</v>
      </c>
      <c r="T71" s="387" t="str">
        <f t="shared" ca="1" si="58"/>
        <v/>
      </c>
      <c r="U71" s="5"/>
      <c r="V71" s="6"/>
      <c r="W71" s="4"/>
      <c r="X71" s="4">
        <v>35</v>
      </c>
      <c r="Y71" s="104">
        <f t="shared" si="8"/>
        <v>40</v>
      </c>
      <c r="Z71" s="104">
        <f t="shared" si="29"/>
        <v>0</v>
      </c>
      <c r="AA71" s="4"/>
      <c r="AB71" s="53">
        <f t="shared" si="52"/>
        <v>0</v>
      </c>
      <c r="AC71" s="54">
        <f>IF(SUM(AB71:AB$116)=0,0,F71&gt;0)</f>
        <v>0</v>
      </c>
      <c r="AD71" s="53">
        <f t="shared" si="53"/>
        <v>0</v>
      </c>
      <c r="AE71" s="54">
        <f>IF(SUM(AB71:AB$116)=0,0,AND(AC71=FALSE,AD71=0,SUM(AD71:AD$116)&gt;0))</f>
        <v>0</v>
      </c>
      <c r="AF71" s="54">
        <f t="shared" si="30"/>
        <v>0</v>
      </c>
      <c r="AG71" s="54">
        <f t="shared" si="31"/>
        <v>0</v>
      </c>
      <c r="AH71" s="56">
        <f t="shared" si="32"/>
        <v>0</v>
      </c>
      <c r="AI71" s="56">
        <f t="shared" si="33"/>
        <v>0</v>
      </c>
      <c r="AJ71" s="54">
        <f t="shared" si="34"/>
        <v>0</v>
      </c>
      <c r="AK71" s="54" t="str">
        <f t="shared" si="35"/>
        <v/>
      </c>
      <c r="AL71" s="54">
        <f t="shared" si="36"/>
        <v>0</v>
      </c>
      <c r="AM71" s="54">
        <f t="shared" si="37"/>
        <v>0</v>
      </c>
      <c r="AN71" s="54">
        <f t="shared" si="38"/>
        <v>0</v>
      </c>
      <c r="AO71" s="54">
        <f t="shared" si="39"/>
        <v>0</v>
      </c>
      <c r="AP71" s="54">
        <f t="shared" si="40"/>
        <v>0</v>
      </c>
      <c r="AQ71" s="54">
        <f t="shared" si="41"/>
        <v>0</v>
      </c>
      <c r="AR71" s="53">
        <f t="shared" si="42"/>
        <v>0</v>
      </c>
      <c r="AS71" s="409" t="str">
        <f t="shared" si="43"/>
        <v/>
      </c>
      <c r="AT71" s="54">
        <f t="shared" si="59"/>
        <v>0</v>
      </c>
      <c r="AU71" s="54">
        <f t="shared" si="60"/>
        <v>0</v>
      </c>
      <c r="AV71" s="54">
        <f t="shared" si="61"/>
        <v>0</v>
      </c>
      <c r="AW71" s="55" t="b">
        <f t="shared" ca="1" si="62"/>
        <v>0</v>
      </c>
      <c r="AX71" s="69"/>
      <c r="AY71" s="203">
        <f t="shared" ca="1" si="63"/>
        <v>0</v>
      </c>
      <c r="AZ71" s="72">
        <f t="shared" ca="1" si="64"/>
        <v>0</v>
      </c>
      <c r="BA71" s="72">
        <f t="shared" ca="1" si="44"/>
        <v>0</v>
      </c>
      <c r="BB71" s="75">
        <f t="shared" ca="1" si="65"/>
        <v>0</v>
      </c>
      <c r="BC71" s="209">
        <f t="shared" si="66"/>
        <v>0</v>
      </c>
      <c r="BD71" s="72">
        <f t="shared" si="45"/>
        <v>0</v>
      </c>
      <c r="BE71" s="72">
        <f t="shared" si="46"/>
        <v>0</v>
      </c>
      <c r="BF71" s="72">
        <f t="shared" si="47"/>
        <v>0</v>
      </c>
      <c r="BG71" s="200">
        <f t="shared" ca="1" si="48"/>
        <v>0</v>
      </c>
      <c r="BH71" s="69"/>
      <c r="BI71" s="198">
        <f t="shared" si="18"/>
        <v>0</v>
      </c>
      <c r="BJ71" s="71">
        <f t="shared" si="19"/>
        <v>0</v>
      </c>
      <c r="BK71" s="72">
        <f t="shared" si="49"/>
        <v>0</v>
      </c>
      <c r="BL71" s="72">
        <f t="shared" ca="1" si="50"/>
        <v>0</v>
      </c>
      <c r="BM71" s="200">
        <f t="shared" ca="1" si="67"/>
        <v>0</v>
      </c>
      <c r="BN71" s="69"/>
      <c r="BO71" s="198">
        <f t="shared" si="68"/>
        <v>0</v>
      </c>
      <c r="BP71" s="72">
        <f t="shared" ca="1" si="69"/>
        <v>0</v>
      </c>
      <c r="BQ71" s="78">
        <f t="shared" si="51"/>
        <v>0</v>
      </c>
      <c r="BR71" s="78">
        <f t="shared" si="23"/>
        <v>0</v>
      </c>
      <c r="BS71" s="80">
        <f t="shared" ca="1" si="70"/>
        <v>0</v>
      </c>
      <c r="BT71" s="80">
        <f t="shared" ca="1" si="71"/>
        <v>0</v>
      </c>
      <c r="BU71" s="259" t="str">
        <f t="shared" ca="1" si="26"/>
        <v/>
      </c>
      <c r="BV71" s="206" t="str">
        <f t="shared" ca="1" si="27"/>
        <v/>
      </c>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row>
    <row r="72" spans="1:116" ht="12.75" customHeight="1">
      <c r="A72" s="5"/>
      <c r="B72" s="327">
        <f t="shared" si="28"/>
        <v>40</v>
      </c>
      <c r="C72" s="398">
        <v>36</v>
      </c>
      <c r="D72" s="688"/>
      <c r="E72" s="689"/>
      <c r="F72" s="476"/>
      <c r="G72" s="483"/>
      <c r="H72" s="466"/>
      <c r="I72" s="467"/>
      <c r="J72" s="489"/>
      <c r="K72" s="490"/>
      <c r="L72" s="491"/>
      <c r="M72" s="492"/>
      <c r="N72" s="373" t="str">
        <f t="shared" ca="1" si="54"/>
        <v/>
      </c>
      <c r="O72" s="374" t="str">
        <f t="shared" ca="1" si="55"/>
        <v/>
      </c>
      <c r="P72" s="375">
        <f t="shared" ca="1" si="56"/>
        <v>0</v>
      </c>
      <c r="Q72" s="384" t="str">
        <f t="shared" ca="1" si="4"/>
        <v/>
      </c>
      <c r="R72" s="385" t="str">
        <f t="shared" ca="1" si="57"/>
        <v/>
      </c>
      <c r="S72" s="386">
        <f t="shared" ca="1" si="6"/>
        <v>0</v>
      </c>
      <c r="T72" s="387" t="str">
        <f t="shared" ca="1" si="58"/>
        <v/>
      </c>
      <c r="U72" s="5"/>
      <c r="V72" s="6"/>
      <c r="W72" s="4"/>
      <c r="X72" s="4">
        <v>36</v>
      </c>
      <c r="Y72" s="104">
        <f t="shared" si="8"/>
        <v>40</v>
      </c>
      <c r="Z72" s="104">
        <f t="shared" si="29"/>
        <v>0</v>
      </c>
      <c r="AA72" s="4"/>
      <c r="AB72" s="53">
        <f t="shared" si="52"/>
        <v>0</v>
      </c>
      <c r="AC72" s="54">
        <f>IF(SUM(AB72:AB$116)=0,0,F72&gt;0)</f>
        <v>0</v>
      </c>
      <c r="AD72" s="53">
        <f t="shared" si="53"/>
        <v>0</v>
      </c>
      <c r="AE72" s="54">
        <f>IF(SUM(AB72:AB$116)=0,0,AND(AC72=FALSE,AD72=0,SUM(AD72:AD$116)&gt;0))</f>
        <v>0</v>
      </c>
      <c r="AF72" s="54">
        <f t="shared" si="30"/>
        <v>0</v>
      </c>
      <c r="AG72" s="54">
        <f t="shared" si="31"/>
        <v>0</v>
      </c>
      <c r="AH72" s="56">
        <f t="shared" si="32"/>
        <v>0</v>
      </c>
      <c r="AI72" s="56">
        <f t="shared" si="33"/>
        <v>0</v>
      </c>
      <c r="AJ72" s="54">
        <f t="shared" si="34"/>
        <v>0</v>
      </c>
      <c r="AK72" s="54" t="str">
        <f t="shared" si="35"/>
        <v/>
      </c>
      <c r="AL72" s="54">
        <f t="shared" si="36"/>
        <v>0</v>
      </c>
      <c r="AM72" s="54">
        <f t="shared" si="37"/>
        <v>0</v>
      </c>
      <c r="AN72" s="54">
        <f t="shared" si="38"/>
        <v>0</v>
      </c>
      <c r="AO72" s="54">
        <f t="shared" si="39"/>
        <v>0</v>
      </c>
      <c r="AP72" s="54">
        <f t="shared" si="40"/>
        <v>0</v>
      </c>
      <c r="AQ72" s="54">
        <f t="shared" si="41"/>
        <v>0</v>
      </c>
      <c r="AR72" s="53">
        <f t="shared" si="42"/>
        <v>0</v>
      </c>
      <c r="AS72" s="409" t="str">
        <f t="shared" si="43"/>
        <v/>
      </c>
      <c r="AT72" s="54">
        <f t="shared" si="59"/>
        <v>0</v>
      </c>
      <c r="AU72" s="54">
        <f t="shared" si="60"/>
        <v>0</v>
      </c>
      <c r="AV72" s="54">
        <f t="shared" si="61"/>
        <v>0</v>
      </c>
      <c r="AW72" s="55" t="b">
        <f t="shared" ca="1" si="62"/>
        <v>0</v>
      </c>
      <c r="AX72" s="69"/>
      <c r="AY72" s="203">
        <f t="shared" ca="1" si="63"/>
        <v>0</v>
      </c>
      <c r="AZ72" s="72">
        <f t="shared" ca="1" si="64"/>
        <v>0</v>
      </c>
      <c r="BA72" s="72">
        <f t="shared" ca="1" si="44"/>
        <v>0</v>
      </c>
      <c r="BB72" s="75">
        <f t="shared" ca="1" si="65"/>
        <v>0</v>
      </c>
      <c r="BC72" s="209">
        <f t="shared" si="66"/>
        <v>0</v>
      </c>
      <c r="BD72" s="72">
        <f t="shared" si="45"/>
        <v>0</v>
      </c>
      <c r="BE72" s="72">
        <f t="shared" si="46"/>
        <v>0</v>
      </c>
      <c r="BF72" s="72">
        <f t="shared" si="47"/>
        <v>0</v>
      </c>
      <c r="BG72" s="200">
        <f t="shared" ca="1" si="48"/>
        <v>0</v>
      </c>
      <c r="BH72" s="69"/>
      <c r="BI72" s="198">
        <f t="shared" si="18"/>
        <v>0</v>
      </c>
      <c r="BJ72" s="71">
        <f t="shared" si="19"/>
        <v>0</v>
      </c>
      <c r="BK72" s="72">
        <f t="shared" si="49"/>
        <v>0</v>
      </c>
      <c r="BL72" s="72">
        <f t="shared" ca="1" si="50"/>
        <v>0</v>
      </c>
      <c r="BM72" s="200">
        <f t="shared" ca="1" si="67"/>
        <v>0</v>
      </c>
      <c r="BN72" s="69"/>
      <c r="BO72" s="198">
        <f t="shared" si="68"/>
        <v>0</v>
      </c>
      <c r="BP72" s="72">
        <f t="shared" ca="1" si="69"/>
        <v>0</v>
      </c>
      <c r="BQ72" s="78">
        <f t="shared" si="51"/>
        <v>0</v>
      </c>
      <c r="BR72" s="78">
        <f t="shared" si="23"/>
        <v>0</v>
      </c>
      <c r="BS72" s="80">
        <f t="shared" ca="1" si="70"/>
        <v>0</v>
      </c>
      <c r="BT72" s="80">
        <f t="shared" ca="1" si="71"/>
        <v>0</v>
      </c>
      <c r="BU72" s="259" t="str">
        <f t="shared" ca="1" si="26"/>
        <v/>
      </c>
      <c r="BV72" s="206" t="str">
        <f t="shared" ca="1" si="27"/>
        <v/>
      </c>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row>
    <row r="73" spans="1:116" ht="12.75" customHeight="1">
      <c r="A73" s="5"/>
      <c r="B73" s="327">
        <f t="shared" si="28"/>
        <v>40</v>
      </c>
      <c r="C73" s="398">
        <v>37</v>
      </c>
      <c r="D73" s="688"/>
      <c r="E73" s="689"/>
      <c r="F73" s="476"/>
      <c r="G73" s="483"/>
      <c r="H73" s="466"/>
      <c r="I73" s="467"/>
      <c r="J73" s="489"/>
      <c r="K73" s="490"/>
      <c r="L73" s="491"/>
      <c r="M73" s="492"/>
      <c r="N73" s="373" t="str">
        <f t="shared" ca="1" si="54"/>
        <v/>
      </c>
      <c r="O73" s="374" t="str">
        <f t="shared" ca="1" si="55"/>
        <v/>
      </c>
      <c r="P73" s="375">
        <f t="shared" ca="1" si="56"/>
        <v>0</v>
      </c>
      <c r="Q73" s="384" t="str">
        <f t="shared" ca="1" si="4"/>
        <v/>
      </c>
      <c r="R73" s="385" t="str">
        <f t="shared" ca="1" si="57"/>
        <v/>
      </c>
      <c r="S73" s="386">
        <f t="shared" ca="1" si="6"/>
        <v>0</v>
      </c>
      <c r="T73" s="387" t="str">
        <f t="shared" ca="1" si="58"/>
        <v/>
      </c>
      <c r="U73" s="5"/>
      <c r="V73" s="6"/>
      <c r="W73" s="4"/>
      <c r="X73" s="4">
        <v>37</v>
      </c>
      <c r="Y73" s="104">
        <f t="shared" si="8"/>
        <v>40</v>
      </c>
      <c r="Z73" s="104">
        <f t="shared" si="29"/>
        <v>0</v>
      </c>
      <c r="AA73" s="4"/>
      <c r="AB73" s="53">
        <f t="shared" si="52"/>
        <v>0</v>
      </c>
      <c r="AC73" s="54">
        <f>IF(SUM(AB73:AB$116)=0,0,F73&gt;0)</f>
        <v>0</v>
      </c>
      <c r="AD73" s="53">
        <f t="shared" si="53"/>
        <v>0</v>
      </c>
      <c r="AE73" s="54">
        <f>IF(SUM(AB73:AB$116)=0,0,AND(AC73=FALSE,AD73=0,SUM(AD73:AD$116)&gt;0))</f>
        <v>0</v>
      </c>
      <c r="AF73" s="54">
        <f t="shared" si="30"/>
        <v>0</v>
      </c>
      <c r="AG73" s="54">
        <f t="shared" si="31"/>
        <v>0</v>
      </c>
      <c r="AH73" s="56">
        <f t="shared" si="32"/>
        <v>0</v>
      </c>
      <c r="AI73" s="56">
        <f t="shared" si="33"/>
        <v>0</v>
      </c>
      <c r="AJ73" s="54">
        <f t="shared" si="34"/>
        <v>0</v>
      </c>
      <c r="AK73" s="54" t="str">
        <f t="shared" si="35"/>
        <v/>
      </c>
      <c r="AL73" s="54">
        <f t="shared" si="36"/>
        <v>0</v>
      </c>
      <c r="AM73" s="54">
        <f t="shared" si="37"/>
        <v>0</v>
      </c>
      <c r="AN73" s="54">
        <f t="shared" si="38"/>
        <v>0</v>
      </c>
      <c r="AO73" s="54">
        <f t="shared" si="39"/>
        <v>0</v>
      </c>
      <c r="AP73" s="54">
        <f t="shared" si="40"/>
        <v>0</v>
      </c>
      <c r="AQ73" s="54">
        <f t="shared" si="41"/>
        <v>0</v>
      </c>
      <c r="AR73" s="53">
        <f t="shared" si="42"/>
        <v>0</v>
      </c>
      <c r="AS73" s="409" t="str">
        <f t="shared" si="43"/>
        <v/>
      </c>
      <c r="AT73" s="54">
        <f t="shared" si="59"/>
        <v>0</v>
      </c>
      <c r="AU73" s="54">
        <f t="shared" si="60"/>
        <v>0</v>
      </c>
      <c r="AV73" s="54">
        <f t="shared" si="61"/>
        <v>0</v>
      </c>
      <c r="AW73" s="55" t="b">
        <f t="shared" ca="1" si="62"/>
        <v>0</v>
      </c>
      <c r="AX73" s="69"/>
      <c r="AY73" s="203">
        <f t="shared" ca="1" si="63"/>
        <v>0</v>
      </c>
      <c r="AZ73" s="72">
        <f t="shared" ca="1" si="64"/>
        <v>0</v>
      </c>
      <c r="BA73" s="72">
        <f t="shared" ca="1" si="44"/>
        <v>0</v>
      </c>
      <c r="BB73" s="75">
        <f t="shared" ca="1" si="65"/>
        <v>0</v>
      </c>
      <c r="BC73" s="209">
        <f t="shared" si="66"/>
        <v>0</v>
      </c>
      <c r="BD73" s="72">
        <f t="shared" si="45"/>
        <v>0</v>
      </c>
      <c r="BE73" s="72">
        <f t="shared" si="46"/>
        <v>0</v>
      </c>
      <c r="BF73" s="72">
        <f t="shared" si="47"/>
        <v>0</v>
      </c>
      <c r="BG73" s="200">
        <f t="shared" ca="1" si="48"/>
        <v>0</v>
      </c>
      <c r="BH73" s="69"/>
      <c r="BI73" s="198">
        <f t="shared" si="18"/>
        <v>0</v>
      </c>
      <c r="BJ73" s="71">
        <f t="shared" si="19"/>
        <v>0</v>
      </c>
      <c r="BK73" s="72">
        <f t="shared" si="49"/>
        <v>0</v>
      </c>
      <c r="BL73" s="72">
        <f t="shared" ca="1" si="50"/>
        <v>0</v>
      </c>
      <c r="BM73" s="200">
        <f t="shared" ca="1" si="67"/>
        <v>0</v>
      </c>
      <c r="BN73" s="69"/>
      <c r="BO73" s="198">
        <f t="shared" si="68"/>
        <v>0</v>
      </c>
      <c r="BP73" s="72">
        <f t="shared" ca="1" si="69"/>
        <v>0</v>
      </c>
      <c r="BQ73" s="78">
        <f t="shared" si="51"/>
        <v>0</v>
      </c>
      <c r="BR73" s="78">
        <f t="shared" si="23"/>
        <v>0</v>
      </c>
      <c r="BS73" s="80">
        <f t="shared" ca="1" si="70"/>
        <v>0</v>
      </c>
      <c r="BT73" s="80">
        <f t="shared" ca="1" si="71"/>
        <v>0</v>
      </c>
      <c r="BU73" s="259" t="str">
        <f t="shared" ca="1" si="26"/>
        <v/>
      </c>
      <c r="BV73" s="206" t="str">
        <f t="shared" ca="1" si="27"/>
        <v/>
      </c>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row>
    <row r="74" spans="1:116" ht="12.75" customHeight="1">
      <c r="A74" s="5"/>
      <c r="B74" s="327">
        <f t="shared" si="28"/>
        <v>40</v>
      </c>
      <c r="C74" s="398">
        <v>38</v>
      </c>
      <c r="D74" s="688"/>
      <c r="E74" s="689"/>
      <c r="F74" s="476"/>
      <c r="G74" s="483"/>
      <c r="H74" s="466"/>
      <c r="I74" s="467"/>
      <c r="J74" s="489"/>
      <c r="K74" s="490"/>
      <c r="L74" s="491"/>
      <c r="M74" s="492"/>
      <c r="N74" s="373" t="str">
        <f t="shared" ca="1" si="54"/>
        <v/>
      </c>
      <c r="O74" s="374" t="str">
        <f t="shared" ca="1" si="55"/>
        <v/>
      </c>
      <c r="P74" s="375">
        <f t="shared" ca="1" si="56"/>
        <v>0</v>
      </c>
      <c r="Q74" s="384" t="str">
        <f t="shared" ca="1" si="4"/>
        <v/>
      </c>
      <c r="R74" s="385" t="str">
        <f t="shared" ca="1" si="57"/>
        <v/>
      </c>
      <c r="S74" s="386">
        <f t="shared" ca="1" si="6"/>
        <v>0</v>
      </c>
      <c r="T74" s="387" t="str">
        <f t="shared" ca="1" si="58"/>
        <v/>
      </c>
      <c r="U74" s="5"/>
      <c r="V74" s="6"/>
      <c r="W74" s="4"/>
      <c r="X74" s="4">
        <v>38</v>
      </c>
      <c r="Y74" s="104">
        <f t="shared" si="8"/>
        <v>40</v>
      </c>
      <c r="Z74" s="104">
        <f t="shared" si="29"/>
        <v>0</v>
      </c>
      <c r="AA74" s="4"/>
      <c r="AB74" s="53">
        <f t="shared" si="52"/>
        <v>0</v>
      </c>
      <c r="AC74" s="54">
        <f>IF(SUM(AB74:AB$116)=0,0,F74&gt;0)</f>
        <v>0</v>
      </c>
      <c r="AD74" s="53">
        <f t="shared" si="53"/>
        <v>0</v>
      </c>
      <c r="AE74" s="54">
        <f>IF(SUM(AB74:AB$116)=0,0,AND(AC74=FALSE,AD74=0,SUM(AD74:AD$116)&gt;0))</f>
        <v>0</v>
      </c>
      <c r="AF74" s="54">
        <f t="shared" si="30"/>
        <v>0</v>
      </c>
      <c r="AG74" s="54">
        <f t="shared" si="31"/>
        <v>0</v>
      </c>
      <c r="AH74" s="56">
        <f t="shared" si="32"/>
        <v>0</v>
      </c>
      <c r="AI74" s="56">
        <f t="shared" si="33"/>
        <v>0</v>
      </c>
      <c r="AJ74" s="54">
        <f t="shared" si="34"/>
        <v>0</v>
      </c>
      <c r="AK74" s="54" t="str">
        <f t="shared" si="35"/>
        <v/>
      </c>
      <c r="AL74" s="54">
        <f t="shared" si="36"/>
        <v>0</v>
      </c>
      <c r="AM74" s="54">
        <f t="shared" si="37"/>
        <v>0</v>
      </c>
      <c r="AN74" s="54">
        <f t="shared" si="38"/>
        <v>0</v>
      </c>
      <c r="AO74" s="54">
        <f t="shared" si="39"/>
        <v>0</v>
      </c>
      <c r="AP74" s="54">
        <f t="shared" si="40"/>
        <v>0</v>
      </c>
      <c r="AQ74" s="54">
        <f t="shared" si="41"/>
        <v>0</v>
      </c>
      <c r="AR74" s="53">
        <f t="shared" si="42"/>
        <v>0</v>
      </c>
      <c r="AS74" s="409" t="str">
        <f t="shared" si="43"/>
        <v/>
      </c>
      <c r="AT74" s="54">
        <f t="shared" si="59"/>
        <v>0</v>
      </c>
      <c r="AU74" s="54">
        <f t="shared" si="60"/>
        <v>0</v>
      </c>
      <c r="AV74" s="54">
        <f t="shared" si="61"/>
        <v>0</v>
      </c>
      <c r="AW74" s="55" t="b">
        <f t="shared" ca="1" si="62"/>
        <v>0</v>
      </c>
      <c r="AX74" s="69"/>
      <c r="AY74" s="203">
        <f t="shared" ca="1" si="63"/>
        <v>0</v>
      </c>
      <c r="AZ74" s="72">
        <f t="shared" ca="1" si="64"/>
        <v>0</v>
      </c>
      <c r="BA74" s="72">
        <f t="shared" ca="1" si="44"/>
        <v>0</v>
      </c>
      <c r="BB74" s="75">
        <f t="shared" ca="1" si="65"/>
        <v>0</v>
      </c>
      <c r="BC74" s="209">
        <f t="shared" si="66"/>
        <v>0</v>
      </c>
      <c r="BD74" s="72">
        <f t="shared" si="45"/>
        <v>0</v>
      </c>
      <c r="BE74" s="72">
        <f t="shared" si="46"/>
        <v>0</v>
      </c>
      <c r="BF74" s="72">
        <f t="shared" si="47"/>
        <v>0</v>
      </c>
      <c r="BG74" s="200">
        <f t="shared" ca="1" si="48"/>
        <v>0</v>
      </c>
      <c r="BH74" s="69"/>
      <c r="BI74" s="198">
        <f t="shared" si="18"/>
        <v>0</v>
      </c>
      <c r="BJ74" s="71">
        <f t="shared" si="19"/>
        <v>0</v>
      </c>
      <c r="BK74" s="72">
        <f t="shared" si="49"/>
        <v>0</v>
      </c>
      <c r="BL74" s="72">
        <f t="shared" ca="1" si="50"/>
        <v>0</v>
      </c>
      <c r="BM74" s="200">
        <f t="shared" ca="1" si="67"/>
        <v>0</v>
      </c>
      <c r="BN74" s="69"/>
      <c r="BO74" s="198">
        <f t="shared" si="68"/>
        <v>0</v>
      </c>
      <c r="BP74" s="72">
        <f t="shared" ca="1" si="69"/>
        <v>0</v>
      </c>
      <c r="BQ74" s="78">
        <f t="shared" si="51"/>
        <v>0</v>
      </c>
      <c r="BR74" s="78">
        <f t="shared" si="23"/>
        <v>0</v>
      </c>
      <c r="BS74" s="80">
        <f t="shared" ca="1" si="70"/>
        <v>0</v>
      </c>
      <c r="BT74" s="80">
        <f t="shared" ca="1" si="71"/>
        <v>0</v>
      </c>
      <c r="BU74" s="259" t="str">
        <f t="shared" ca="1" si="26"/>
        <v/>
      </c>
      <c r="BV74" s="206" t="str">
        <f t="shared" ca="1" si="27"/>
        <v/>
      </c>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row>
    <row r="75" spans="1:116" ht="12.75" customHeight="1">
      <c r="A75" s="5"/>
      <c r="B75" s="327">
        <f t="shared" si="28"/>
        <v>40</v>
      </c>
      <c r="C75" s="398">
        <v>39</v>
      </c>
      <c r="D75" s="688"/>
      <c r="E75" s="689"/>
      <c r="F75" s="476"/>
      <c r="G75" s="483"/>
      <c r="H75" s="466"/>
      <c r="I75" s="467"/>
      <c r="J75" s="489"/>
      <c r="K75" s="490"/>
      <c r="L75" s="491"/>
      <c r="M75" s="492"/>
      <c r="N75" s="373" t="str">
        <f t="shared" ca="1" si="54"/>
        <v/>
      </c>
      <c r="O75" s="374" t="str">
        <f t="shared" ca="1" si="55"/>
        <v/>
      </c>
      <c r="P75" s="375">
        <f t="shared" ca="1" si="56"/>
        <v>0</v>
      </c>
      <c r="Q75" s="384" t="str">
        <f t="shared" ca="1" si="4"/>
        <v/>
      </c>
      <c r="R75" s="385" t="str">
        <f t="shared" ca="1" si="57"/>
        <v/>
      </c>
      <c r="S75" s="386">
        <f t="shared" ca="1" si="6"/>
        <v>0</v>
      </c>
      <c r="T75" s="387" t="str">
        <f t="shared" ca="1" si="58"/>
        <v/>
      </c>
      <c r="U75" s="5"/>
      <c r="V75" s="6"/>
      <c r="W75" s="4"/>
      <c r="X75" s="4">
        <v>39</v>
      </c>
      <c r="Y75" s="104">
        <f t="shared" si="8"/>
        <v>40</v>
      </c>
      <c r="Z75" s="104">
        <f t="shared" si="29"/>
        <v>0</v>
      </c>
      <c r="AA75" s="4"/>
      <c r="AB75" s="53">
        <f t="shared" si="52"/>
        <v>0</v>
      </c>
      <c r="AC75" s="54">
        <f>IF(SUM(AB75:AB$116)=0,0,F75&gt;0)</f>
        <v>0</v>
      </c>
      <c r="AD75" s="53">
        <f t="shared" si="53"/>
        <v>0</v>
      </c>
      <c r="AE75" s="54">
        <f>IF(SUM(AB75:AB$116)=0,0,AND(AC75=FALSE,AD75=0,SUM(AD75:AD$116)&gt;0))</f>
        <v>0</v>
      </c>
      <c r="AF75" s="54">
        <f t="shared" si="30"/>
        <v>0</v>
      </c>
      <c r="AG75" s="54">
        <f t="shared" si="31"/>
        <v>0</v>
      </c>
      <c r="AH75" s="56">
        <f t="shared" si="32"/>
        <v>0</v>
      </c>
      <c r="AI75" s="56">
        <f t="shared" si="33"/>
        <v>0</v>
      </c>
      <c r="AJ75" s="54">
        <f t="shared" si="34"/>
        <v>0</v>
      </c>
      <c r="AK75" s="54" t="str">
        <f t="shared" si="35"/>
        <v/>
      </c>
      <c r="AL75" s="54">
        <f t="shared" si="36"/>
        <v>0</v>
      </c>
      <c r="AM75" s="54">
        <f t="shared" si="37"/>
        <v>0</v>
      </c>
      <c r="AN75" s="54">
        <f t="shared" si="38"/>
        <v>0</v>
      </c>
      <c r="AO75" s="54">
        <f t="shared" si="39"/>
        <v>0</v>
      </c>
      <c r="AP75" s="54">
        <f t="shared" si="40"/>
        <v>0</v>
      </c>
      <c r="AQ75" s="54">
        <f t="shared" si="41"/>
        <v>0</v>
      </c>
      <c r="AR75" s="53">
        <f t="shared" si="42"/>
        <v>0</v>
      </c>
      <c r="AS75" s="409" t="str">
        <f t="shared" si="43"/>
        <v/>
      </c>
      <c r="AT75" s="54">
        <f t="shared" si="59"/>
        <v>0</v>
      </c>
      <c r="AU75" s="54">
        <f t="shared" si="60"/>
        <v>0</v>
      </c>
      <c r="AV75" s="54">
        <f t="shared" si="61"/>
        <v>0</v>
      </c>
      <c r="AW75" s="55" t="b">
        <f t="shared" ca="1" si="62"/>
        <v>0</v>
      </c>
      <c r="AX75" s="69"/>
      <c r="AY75" s="203">
        <f t="shared" ca="1" si="63"/>
        <v>0</v>
      </c>
      <c r="AZ75" s="72">
        <f t="shared" ca="1" si="64"/>
        <v>0</v>
      </c>
      <c r="BA75" s="72">
        <f t="shared" ca="1" si="44"/>
        <v>0</v>
      </c>
      <c r="BB75" s="75">
        <f t="shared" ca="1" si="65"/>
        <v>0</v>
      </c>
      <c r="BC75" s="209">
        <f t="shared" si="66"/>
        <v>0</v>
      </c>
      <c r="BD75" s="72">
        <f t="shared" si="45"/>
        <v>0</v>
      </c>
      <c r="BE75" s="72">
        <f t="shared" si="46"/>
        <v>0</v>
      </c>
      <c r="BF75" s="72">
        <f t="shared" si="47"/>
        <v>0</v>
      </c>
      <c r="BG75" s="200">
        <f t="shared" ca="1" si="48"/>
        <v>0</v>
      </c>
      <c r="BH75" s="69"/>
      <c r="BI75" s="198">
        <f t="shared" si="18"/>
        <v>0</v>
      </c>
      <c r="BJ75" s="71">
        <f t="shared" si="19"/>
        <v>0</v>
      </c>
      <c r="BK75" s="72">
        <f t="shared" si="49"/>
        <v>0</v>
      </c>
      <c r="BL75" s="72">
        <f t="shared" ca="1" si="50"/>
        <v>0</v>
      </c>
      <c r="BM75" s="200">
        <f t="shared" ca="1" si="67"/>
        <v>0</v>
      </c>
      <c r="BN75" s="69"/>
      <c r="BO75" s="198">
        <f t="shared" si="68"/>
        <v>0</v>
      </c>
      <c r="BP75" s="72">
        <f t="shared" ca="1" si="69"/>
        <v>0</v>
      </c>
      <c r="BQ75" s="78">
        <f t="shared" si="51"/>
        <v>0</v>
      </c>
      <c r="BR75" s="78">
        <f t="shared" si="23"/>
        <v>0</v>
      </c>
      <c r="BS75" s="80">
        <f t="shared" ca="1" si="70"/>
        <v>0</v>
      </c>
      <c r="BT75" s="80">
        <f t="shared" ca="1" si="71"/>
        <v>0</v>
      </c>
      <c r="BU75" s="259" t="str">
        <f t="shared" ca="1" si="26"/>
        <v/>
      </c>
      <c r="BV75" s="206" t="str">
        <f t="shared" ca="1" si="27"/>
        <v/>
      </c>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row>
    <row r="76" spans="1:116" ht="12.75" customHeight="1" thickBot="1">
      <c r="A76" s="5"/>
      <c r="B76" s="327">
        <f t="shared" si="28"/>
        <v>40</v>
      </c>
      <c r="C76" s="398">
        <v>40</v>
      </c>
      <c r="D76" s="688"/>
      <c r="E76" s="689"/>
      <c r="F76" s="476"/>
      <c r="G76" s="483"/>
      <c r="H76" s="466"/>
      <c r="I76" s="467"/>
      <c r="J76" s="489"/>
      <c r="K76" s="490"/>
      <c r="L76" s="491"/>
      <c r="M76" s="492"/>
      <c r="N76" s="373" t="str">
        <f t="shared" ca="1" si="54"/>
        <v/>
      </c>
      <c r="O76" s="374" t="str">
        <f t="shared" ca="1" si="55"/>
        <v/>
      </c>
      <c r="P76" s="375">
        <f t="shared" ca="1" si="56"/>
        <v>0</v>
      </c>
      <c r="Q76" s="384" t="str">
        <f t="shared" ref="Q76:Q115" ca="1" si="72">IF(AllInputsOK=FALSE,"",BO76/ConductanceAccess)</f>
        <v/>
      </c>
      <c r="R76" s="385" t="str">
        <f t="shared" ca="1" si="57"/>
        <v/>
      </c>
      <c r="S76" s="386">
        <f t="shared" ref="S76:S115" ca="1" si="73">IF(AND(AllInputsOK=FALSE,BP76&gt;0),"",BP76)</f>
        <v>0</v>
      </c>
      <c r="T76" s="387" t="str">
        <f t="shared" ca="1" si="58"/>
        <v/>
      </c>
      <c r="U76" s="5"/>
      <c r="V76" s="6"/>
      <c r="W76" s="4"/>
      <c r="X76" s="4">
        <v>40</v>
      </c>
      <c r="Y76" s="104">
        <f t="shared" ref="Y76:Y116" si="74">IF(AND(RowsPreferred&lt;LastActive,LastActive&gt;=X76),LastActive,IF(RowsPreferred&gt;=X76,RowsPreferred,"-"))</f>
        <v>40</v>
      </c>
      <c r="Z76" s="104">
        <f t="shared" ref="Z76:Z116" si="75">IF(AC76=TRUE,1,0)</f>
        <v>0</v>
      </c>
      <c r="AA76" s="4"/>
      <c r="AB76" s="53">
        <f t="shared" ref="AB76:AB115" si="76">COUNTA(D76:M76)</f>
        <v>0</v>
      </c>
      <c r="AC76" s="54">
        <f>IF(SUM(AB76:AB$116)=0,0,F76&gt;0)</f>
        <v>0</v>
      </c>
      <c r="AD76" s="53">
        <f t="shared" ref="AD76:AD115" si="77">COUNTA(G76:M76)</f>
        <v>0</v>
      </c>
      <c r="AE76" s="54">
        <f>IF(SUM(AB76:AB$116)=0,0,AND(AC76=FALSE,AD76=0,SUM(AD76:AD$116)&gt;0))</f>
        <v>0</v>
      </c>
      <c r="AF76" s="54">
        <f t="shared" si="30"/>
        <v>0</v>
      </c>
      <c r="AG76" s="54">
        <f t="shared" si="31"/>
        <v>0</v>
      </c>
      <c r="AH76" s="56">
        <f t="shared" si="32"/>
        <v>0</v>
      </c>
      <c r="AI76" s="56">
        <f t="shared" si="33"/>
        <v>0</v>
      </c>
      <c r="AJ76" s="54">
        <f t="shared" si="34"/>
        <v>0</v>
      </c>
      <c r="AK76" s="54" t="str">
        <f t="shared" si="35"/>
        <v/>
      </c>
      <c r="AL76" s="54">
        <f t="shared" si="36"/>
        <v>0</v>
      </c>
      <c r="AM76" s="54">
        <f t="shared" si="37"/>
        <v>0</v>
      </c>
      <c r="AN76" s="54">
        <f t="shared" si="38"/>
        <v>0</v>
      </c>
      <c r="AO76" s="54">
        <f t="shared" si="39"/>
        <v>0</v>
      </c>
      <c r="AP76" s="54">
        <f t="shared" si="40"/>
        <v>0</v>
      </c>
      <c r="AQ76" s="54">
        <f t="shared" si="41"/>
        <v>0</v>
      </c>
      <c r="AR76" s="53">
        <f t="shared" si="42"/>
        <v>0</v>
      </c>
      <c r="AS76" s="409" t="str">
        <f t="shared" si="43"/>
        <v/>
      </c>
      <c r="AT76" s="54">
        <f t="shared" si="59"/>
        <v>0</v>
      </c>
      <c r="AU76" s="54">
        <f t="shared" si="60"/>
        <v>0</v>
      </c>
      <c r="AV76" s="54">
        <f t="shared" si="61"/>
        <v>0</v>
      </c>
      <c r="AW76" s="55" t="b">
        <f t="shared" ca="1" si="62"/>
        <v>0</v>
      </c>
      <c r="AX76" s="69"/>
      <c r="AY76" s="203">
        <f t="shared" ca="1" si="63"/>
        <v>0</v>
      </c>
      <c r="AZ76" s="72">
        <f t="shared" ca="1" si="64"/>
        <v>0</v>
      </c>
      <c r="BA76" s="72">
        <f t="shared" ref="BA76:BA115" ca="1" si="78">AZ76-AY76</f>
        <v>0</v>
      </c>
      <c r="BB76" s="75">
        <f t="shared" ca="1" si="65"/>
        <v>0</v>
      </c>
      <c r="BC76" s="209">
        <f t="shared" si="66"/>
        <v>0</v>
      </c>
      <c r="BD76" s="72">
        <f t="shared" ref="BD76:BD115" si="79">IF(AND(AP76=TRUE,Zone=0),10,IF(OR(BC76=0,BC76=FALSE),0,INDEX(ExposuresSummer,MATCH(AY76,Projections,1),MATCH(BC76,Directions,0),Zone)))</f>
        <v>0</v>
      </c>
      <c r="BE76" s="72">
        <f t="shared" ref="BE76:BE115" si="80">IF(AND(AP76=TRUE,Zone=0),10,IF(OR(BC76=0,BC76=FALSE),0,INDEX(ExposuresSummer,MATCH(AZ76,Projections,1),MATCH(BC76,Directions,0),Zone)))</f>
        <v>0</v>
      </c>
      <c r="BF76" s="72">
        <f t="shared" ref="BF76:BF115" si="81">BD76-BE76</f>
        <v>0</v>
      </c>
      <c r="BG76" s="200">
        <f t="shared" ref="BG76:BG115" ca="1" si="82">BD76-BF76*BB76</f>
        <v>0</v>
      </c>
      <c r="BH76" s="69"/>
      <c r="BI76" s="198">
        <f t="shared" si="18"/>
        <v>0</v>
      </c>
      <c r="BJ76" s="71">
        <f t="shared" si="19"/>
        <v>0</v>
      </c>
      <c r="BK76" s="72">
        <f t="shared" ref="BK76:BK115" si="83">BI76-BJ76</f>
        <v>0</v>
      </c>
      <c r="BL76" s="72">
        <f t="shared" ref="BL76:BL115" ca="1" si="84">BI76-BK76*$BB76</f>
        <v>0</v>
      </c>
      <c r="BM76" s="200">
        <f t="shared" ca="1" si="67"/>
        <v>0</v>
      </c>
      <c r="BN76" s="69"/>
      <c r="BO76" s="198">
        <f t="shared" si="68"/>
        <v>0</v>
      </c>
      <c r="BP76" s="72">
        <f t="shared" ca="1" si="69"/>
        <v>0</v>
      </c>
      <c r="BQ76" s="78">
        <f t="shared" ref="BQ76:BQ115" si="85">IF(AP76&lt;&gt;TRUE,0,BO76/BO$34)</f>
        <v>0</v>
      </c>
      <c r="BR76" s="78">
        <f t="shared" ref="BR76:BR115" si="86">IF(AP76&lt;&gt;TRUE,0,BP76/BP$26)</f>
        <v>0</v>
      </c>
      <c r="BS76" s="80">
        <f t="shared" ca="1" si="70"/>
        <v>0</v>
      </c>
      <c r="BT76" s="80">
        <f t="shared" ca="1" si="71"/>
        <v>0</v>
      </c>
      <c r="BU76" s="259" t="str">
        <f t="shared" ref="BU76:BU115" ca="1" si="87">IF(SUM(BO76:BP76)=0,"",TEXT(BQ76,IF(BQ76&lt;0.005,"0.0%","0%"))&amp;" of "&amp;TEXT(BO$28,"0%"))</f>
        <v/>
      </c>
      <c r="BV76" s="206" t="str">
        <f t="shared" ref="BV76:BV115" ca="1" si="88">IF(SUM(BO76:BP76)=0,"",TEXT(BR76,IF(BR76&lt;0.005,"0.0%","0%"))&amp;" of "&amp;TEXT(BP$28,"0%"))</f>
        <v/>
      </c>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row>
    <row r="77" spans="1:116" ht="12.75" hidden="1" customHeight="1">
      <c r="A77" s="5"/>
      <c r="B77" s="327" t="str">
        <f t="shared" si="28"/>
        <v>-</v>
      </c>
      <c r="C77" s="398">
        <v>41</v>
      </c>
      <c r="D77" s="688"/>
      <c r="E77" s="689"/>
      <c r="F77" s="476"/>
      <c r="G77" s="483"/>
      <c r="H77" s="466"/>
      <c r="I77" s="467"/>
      <c r="J77" s="489"/>
      <c r="K77" s="490"/>
      <c r="L77" s="491"/>
      <c r="M77" s="492"/>
      <c r="N77" s="373" t="str">
        <f t="shared" ca="1" si="54"/>
        <v/>
      </c>
      <c r="O77" s="374" t="str">
        <f t="shared" ca="1" si="55"/>
        <v/>
      </c>
      <c r="P77" s="375">
        <f t="shared" ca="1" si="56"/>
        <v>0</v>
      </c>
      <c r="Q77" s="384" t="str">
        <f t="shared" ca="1" si="72"/>
        <v/>
      </c>
      <c r="R77" s="385" t="str">
        <f t="shared" ca="1" si="57"/>
        <v/>
      </c>
      <c r="S77" s="386">
        <f t="shared" ca="1" si="73"/>
        <v>0</v>
      </c>
      <c r="T77" s="387" t="str">
        <f t="shared" ca="1" si="58"/>
        <v/>
      </c>
      <c r="U77" s="5"/>
      <c r="V77" s="6"/>
      <c r="W77" s="4"/>
      <c r="X77" s="4">
        <v>41</v>
      </c>
      <c r="Y77" s="104" t="str">
        <f t="shared" si="74"/>
        <v>-</v>
      </c>
      <c r="Z77" s="104">
        <f t="shared" si="75"/>
        <v>0</v>
      </c>
      <c r="AA77" s="4"/>
      <c r="AB77" s="53">
        <f t="shared" si="76"/>
        <v>0</v>
      </c>
      <c r="AC77" s="54">
        <f>IF(SUM(AB77:AB$116)=0,0,F77&gt;0)</f>
        <v>0</v>
      </c>
      <c r="AD77" s="53">
        <f t="shared" si="77"/>
        <v>0</v>
      </c>
      <c r="AE77" s="54">
        <f>IF(SUM(AB77:AB$116)=0,0,AND(AC77=FALSE,AD77=0,SUM(AD77:AD$116)&gt;0))</f>
        <v>0</v>
      </c>
      <c r="AF77" s="54">
        <f t="shared" si="30"/>
        <v>0</v>
      </c>
      <c r="AG77" s="54">
        <f t="shared" si="31"/>
        <v>0</v>
      </c>
      <c r="AH77" s="56">
        <f t="shared" si="32"/>
        <v>0</v>
      </c>
      <c r="AI77" s="56">
        <f t="shared" si="33"/>
        <v>0</v>
      </c>
      <c r="AJ77" s="54">
        <f t="shared" si="34"/>
        <v>0</v>
      </c>
      <c r="AK77" s="54" t="str">
        <f t="shared" si="35"/>
        <v/>
      </c>
      <c r="AL77" s="54">
        <f t="shared" si="36"/>
        <v>0</v>
      </c>
      <c r="AM77" s="54">
        <f t="shared" si="37"/>
        <v>0</v>
      </c>
      <c r="AN77" s="54">
        <f t="shared" si="38"/>
        <v>0</v>
      </c>
      <c r="AO77" s="54">
        <f t="shared" si="39"/>
        <v>0</v>
      </c>
      <c r="AP77" s="54">
        <f t="shared" si="40"/>
        <v>0</v>
      </c>
      <c r="AQ77" s="54">
        <f t="shared" si="41"/>
        <v>0</v>
      </c>
      <c r="AR77" s="53">
        <f t="shared" si="42"/>
        <v>0</v>
      </c>
      <c r="AS77" s="409" t="str">
        <f t="shared" si="43"/>
        <v/>
      </c>
      <c r="AT77" s="54">
        <f t="shared" si="59"/>
        <v>0</v>
      </c>
      <c r="AU77" s="54">
        <f t="shared" si="60"/>
        <v>0</v>
      </c>
      <c r="AV77" s="54">
        <f t="shared" si="61"/>
        <v>0</v>
      </c>
      <c r="AW77" s="55" t="b">
        <f t="shared" ca="1" si="62"/>
        <v>0</v>
      </c>
      <c r="AX77" s="69"/>
      <c r="AY77" s="203">
        <f t="shared" ca="1" si="63"/>
        <v>0</v>
      </c>
      <c r="AZ77" s="72">
        <f t="shared" ca="1" si="64"/>
        <v>0</v>
      </c>
      <c r="BA77" s="72">
        <f t="shared" ca="1" si="78"/>
        <v>0</v>
      </c>
      <c r="BB77" s="75">
        <f t="shared" ca="1" si="65"/>
        <v>0</v>
      </c>
      <c r="BC77" s="209">
        <f t="shared" si="66"/>
        <v>0</v>
      </c>
      <c r="BD77" s="72">
        <f t="shared" si="79"/>
        <v>0</v>
      </c>
      <c r="BE77" s="72">
        <f t="shared" si="80"/>
        <v>0</v>
      </c>
      <c r="BF77" s="72">
        <f t="shared" si="81"/>
        <v>0</v>
      </c>
      <c r="BG77" s="200">
        <f t="shared" ca="1" si="82"/>
        <v>0</v>
      </c>
      <c r="BH77" s="69"/>
      <c r="BI77" s="198">
        <f t="shared" si="18"/>
        <v>0</v>
      </c>
      <c r="BJ77" s="71">
        <f t="shared" si="19"/>
        <v>0</v>
      </c>
      <c r="BK77" s="72">
        <f t="shared" si="83"/>
        <v>0</v>
      </c>
      <c r="BL77" s="72">
        <f t="shared" ca="1" si="84"/>
        <v>0</v>
      </c>
      <c r="BM77" s="200">
        <f t="shared" ca="1" si="67"/>
        <v>0</v>
      </c>
      <c r="BN77" s="69"/>
      <c r="BO77" s="198">
        <f t="shared" si="68"/>
        <v>0</v>
      </c>
      <c r="BP77" s="72">
        <f t="shared" ca="1" si="69"/>
        <v>0</v>
      </c>
      <c r="BQ77" s="78">
        <f t="shared" si="85"/>
        <v>0</v>
      </c>
      <c r="BR77" s="78">
        <f t="shared" si="86"/>
        <v>0</v>
      </c>
      <c r="BS77" s="80">
        <f t="shared" ca="1" si="70"/>
        <v>0</v>
      </c>
      <c r="BT77" s="80">
        <f t="shared" ca="1" si="71"/>
        <v>0</v>
      </c>
      <c r="BU77" s="259" t="str">
        <f t="shared" ca="1" si="87"/>
        <v/>
      </c>
      <c r="BV77" s="206" t="str">
        <f t="shared" ca="1" si="88"/>
        <v/>
      </c>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row>
    <row r="78" spans="1:116" ht="12.75" hidden="1" customHeight="1">
      <c r="A78" s="5"/>
      <c r="B78" s="327" t="str">
        <f t="shared" si="28"/>
        <v>-</v>
      </c>
      <c r="C78" s="398">
        <v>42</v>
      </c>
      <c r="D78" s="688"/>
      <c r="E78" s="689"/>
      <c r="F78" s="476"/>
      <c r="G78" s="483"/>
      <c r="H78" s="466"/>
      <c r="I78" s="467"/>
      <c r="J78" s="489"/>
      <c r="K78" s="490"/>
      <c r="L78" s="491"/>
      <c r="M78" s="492"/>
      <c r="N78" s="373" t="str">
        <f t="shared" ca="1" si="54"/>
        <v/>
      </c>
      <c r="O78" s="374" t="str">
        <f t="shared" ca="1" si="55"/>
        <v/>
      </c>
      <c r="P78" s="375">
        <f t="shared" ca="1" si="56"/>
        <v>0</v>
      </c>
      <c r="Q78" s="384" t="str">
        <f t="shared" ca="1" si="72"/>
        <v/>
      </c>
      <c r="R78" s="385" t="str">
        <f t="shared" ca="1" si="57"/>
        <v/>
      </c>
      <c r="S78" s="386">
        <f t="shared" ca="1" si="73"/>
        <v>0</v>
      </c>
      <c r="T78" s="387" t="str">
        <f t="shared" ca="1" si="58"/>
        <v/>
      </c>
      <c r="U78" s="5"/>
      <c r="V78" s="6"/>
      <c r="W78" s="4"/>
      <c r="X78" s="4">
        <v>42</v>
      </c>
      <c r="Y78" s="104" t="str">
        <f t="shared" si="74"/>
        <v>-</v>
      </c>
      <c r="Z78" s="104">
        <f t="shared" si="75"/>
        <v>0</v>
      </c>
      <c r="AA78" s="4"/>
      <c r="AB78" s="53">
        <f t="shared" si="76"/>
        <v>0</v>
      </c>
      <c r="AC78" s="54">
        <f>IF(SUM(AB78:AB$116)=0,0,F78&gt;0)</f>
        <v>0</v>
      </c>
      <c r="AD78" s="53">
        <f t="shared" si="77"/>
        <v>0</v>
      </c>
      <c r="AE78" s="54">
        <f>IF(SUM(AB78:AB$116)=0,0,AND(AC78=FALSE,AD78=0,SUM(AD78:AD$116)&gt;0))</f>
        <v>0</v>
      </c>
      <c r="AF78" s="54">
        <f t="shared" si="30"/>
        <v>0</v>
      </c>
      <c r="AG78" s="54">
        <f t="shared" si="31"/>
        <v>0</v>
      </c>
      <c r="AH78" s="56">
        <f t="shared" si="32"/>
        <v>0</v>
      </c>
      <c r="AI78" s="56">
        <f t="shared" si="33"/>
        <v>0</v>
      </c>
      <c r="AJ78" s="54">
        <f t="shared" si="34"/>
        <v>0</v>
      </c>
      <c r="AK78" s="54" t="str">
        <f t="shared" si="35"/>
        <v/>
      </c>
      <c r="AL78" s="54">
        <f t="shared" si="36"/>
        <v>0</v>
      </c>
      <c r="AM78" s="54">
        <f t="shared" si="37"/>
        <v>0</v>
      </c>
      <c r="AN78" s="54">
        <f t="shared" si="38"/>
        <v>0</v>
      </c>
      <c r="AO78" s="54">
        <f t="shared" si="39"/>
        <v>0</v>
      </c>
      <c r="AP78" s="54">
        <f t="shared" si="40"/>
        <v>0</v>
      </c>
      <c r="AQ78" s="54">
        <f t="shared" si="41"/>
        <v>0</v>
      </c>
      <c r="AR78" s="53">
        <f t="shared" si="42"/>
        <v>0</v>
      </c>
      <c r="AS78" s="409" t="str">
        <f t="shared" si="43"/>
        <v/>
      </c>
      <c r="AT78" s="54">
        <f t="shared" si="59"/>
        <v>0</v>
      </c>
      <c r="AU78" s="54">
        <f t="shared" si="60"/>
        <v>0</v>
      </c>
      <c r="AV78" s="54">
        <f t="shared" si="61"/>
        <v>0</v>
      </c>
      <c r="AW78" s="55" t="b">
        <f t="shared" ca="1" si="62"/>
        <v>0</v>
      </c>
      <c r="AX78" s="69"/>
      <c r="AY78" s="203">
        <f t="shared" ca="1" si="63"/>
        <v>0</v>
      </c>
      <c r="AZ78" s="72">
        <f t="shared" ca="1" si="64"/>
        <v>0</v>
      </c>
      <c r="BA78" s="72">
        <f t="shared" ca="1" si="78"/>
        <v>0</v>
      </c>
      <c r="BB78" s="75">
        <f t="shared" ca="1" si="65"/>
        <v>0</v>
      </c>
      <c r="BC78" s="209">
        <f t="shared" si="66"/>
        <v>0</v>
      </c>
      <c r="BD78" s="72">
        <f t="shared" si="79"/>
        <v>0</v>
      </c>
      <c r="BE78" s="72">
        <f t="shared" si="80"/>
        <v>0</v>
      </c>
      <c r="BF78" s="72">
        <f t="shared" si="81"/>
        <v>0</v>
      </c>
      <c r="BG78" s="200">
        <f t="shared" ca="1" si="82"/>
        <v>0</v>
      </c>
      <c r="BH78" s="69"/>
      <c r="BI78" s="198">
        <f t="shared" si="18"/>
        <v>0</v>
      </c>
      <c r="BJ78" s="71">
        <f t="shared" si="19"/>
        <v>0</v>
      </c>
      <c r="BK78" s="72">
        <f t="shared" si="83"/>
        <v>0</v>
      </c>
      <c r="BL78" s="72">
        <f t="shared" ca="1" si="84"/>
        <v>0</v>
      </c>
      <c r="BM78" s="200">
        <f t="shared" ca="1" si="67"/>
        <v>0</v>
      </c>
      <c r="BN78" s="69"/>
      <c r="BO78" s="198">
        <f t="shared" si="68"/>
        <v>0</v>
      </c>
      <c r="BP78" s="72">
        <f t="shared" ca="1" si="69"/>
        <v>0</v>
      </c>
      <c r="BQ78" s="78">
        <f t="shared" si="85"/>
        <v>0</v>
      </c>
      <c r="BR78" s="78">
        <f t="shared" si="86"/>
        <v>0</v>
      </c>
      <c r="BS78" s="80">
        <f t="shared" ca="1" si="70"/>
        <v>0</v>
      </c>
      <c r="BT78" s="80">
        <f t="shared" ca="1" si="71"/>
        <v>0</v>
      </c>
      <c r="BU78" s="259" t="str">
        <f t="shared" ca="1" si="87"/>
        <v/>
      </c>
      <c r="BV78" s="206" t="str">
        <f t="shared" ca="1" si="88"/>
        <v/>
      </c>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row>
    <row r="79" spans="1:116" ht="12.75" hidden="1" customHeight="1">
      <c r="A79" s="5"/>
      <c r="B79" s="327" t="str">
        <f t="shared" si="28"/>
        <v>-</v>
      </c>
      <c r="C79" s="398">
        <v>43</v>
      </c>
      <c r="D79" s="688"/>
      <c r="E79" s="689"/>
      <c r="F79" s="476"/>
      <c r="G79" s="483"/>
      <c r="H79" s="466"/>
      <c r="I79" s="467"/>
      <c r="J79" s="489"/>
      <c r="K79" s="490"/>
      <c r="L79" s="491"/>
      <c r="M79" s="492"/>
      <c r="N79" s="373" t="str">
        <f t="shared" ca="1" si="54"/>
        <v/>
      </c>
      <c r="O79" s="374" t="str">
        <f t="shared" ca="1" si="55"/>
        <v/>
      </c>
      <c r="P79" s="375">
        <f t="shared" ca="1" si="56"/>
        <v>0</v>
      </c>
      <c r="Q79" s="384" t="str">
        <f t="shared" ca="1" si="72"/>
        <v/>
      </c>
      <c r="R79" s="385" t="str">
        <f t="shared" ca="1" si="57"/>
        <v/>
      </c>
      <c r="S79" s="386">
        <f t="shared" ca="1" si="73"/>
        <v>0</v>
      </c>
      <c r="T79" s="387" t="str">
        <f t="shared" ca="1" si="58"/>
        <v/>
      </c>
      <c r="U79" s="5"/>
      <c r="V79" s="6"/>
      <c r="W79" s="4"/>
      <c r="X79" s="4">
        <v>43</v>
      </c>
      <c r="Y79" s="104" t="str">
        <f t="shared" si="74"/>
        <v>-</v>
      </c>
      <c r="Z79" s="104">
        <f t="shared" si="75"/>
        <v>0</v>
      </c>
      <c r="AA79" s="4"/>
      <c r="AB79" s="53">
        <f t="shared" si="76"/>
        <v>0</v>
      </c>
      <c r="AC79" s="54">
        <f>IF(SUM(AB79:AB$116)=0,0,F79&gt;0)</f>
        <v>0</v>
      </c>
      <c r="AD79" s="53">
        <f t="shared" si="77"/>
        <v>0</v>
      </c>
      <c r="AE79" s="54">
        <f>IF(SUM(AB79:AB$116)=0,0,AND(AC79=FALSE,AD79=0,SUM(AD79:AD$116)&gt;0))</f>
        <v>0</v>
      </c>
      <c r="AF79" s="54">
        <f t="shared" si="30"/>
        <v>0</v>
      </c>
      <c r="AG79" s="54">
        <f t="shared" si="31"/>
        <v>0</v>
      </c>
      <c r="AH79" s="56">
        <f t="shared" si="32"/>
        <v>0</v>
      </c>
      <c r="AI79" s="56">
        <f t="shared" si="33"/>
        <v>0</v>
      </c>
      <c r="AJ79" s="54">
        <f t="shared" si="34"/>
        <v>0</v>
      </c>
      <c r="AK79" s="54" t="str">
        <f t="shared" si="35"/>
        <v/>
      </c>
      <c r="AL79" s="54">
        <f t="shared" si="36"/>
        <v>0</v>
      </c>
      <c r="AM79" s="54">
        <f t="shared" si="37"/>
        <v>0</v>
      </c>
      <c r="AN79" s="54">
        <f t="shared" si="38"/>
        <v>0</v>
      </c>
      <c r="AO79" s="54">
        <f t="shared" si="39"/>
        <v>0</v>
      </c>
      <c r="AP79" s="54">
        <f t="shared" si="40"/>
        <v>0</v>
      </c>
      <c r="AQ79" s="54">
        <f t="shared" si="41"/>
        <v>0</v>
      </c>
      <c r="AR79" s="53">
        <f t="shared" si="42"/>
        <v>0</v>
      </c>
      <c r="AS79" s="409" t="str">
        <f t="shared" si="43"/>
        <v/>
      </c>
      <c r="AT79" s="54">
        <f t="shared" si="59"/>
        <v>0</v>
      </c>
      <c r="AU79" s="54">
        <f t="shared" si="60"/>
        <v>0</v>
      </c>
      <c r="AV79" s="54">
        <f t="shared" si="61"/>
        <v>0</v>
      </c>
      <c r="AW79" s="55" t="b">
        <f t="shared" ca="1" si="62"/>
        <v>0</v>
      </c>
      <c r="AX79" s="69"/>
      <c r="AY79" s="203">
        <f t="shared" ca="1" si="63"/>
        <v>0</v>
      </c>
      <c r="AZ79" s="72">
        <f t="shared" ca="1" si="64"/>
        <v>0</v>
      </c>
      <c r="BA79" s="72">
        <f t="shared" ca="1" si="78"/>
        <v>0</v>
      </c>
      <c r="BB79" s="75">
        <f t="shared" ca="1" si="65"/>
        <v>0</v>
      </c>
      <c r="BC79" s="209">
        <f t="shared" si="66"/>
        <v>0</v>
      </c>
      <c r="BD79" s="72">
        <f t="shared" si="79"/>
        <v>0</v>
      </c>
      <c r="BE79" s="72">
        <f t="shared" si="80"/>
        <v>0</v>
      </c>
      <c r="BF79" s="72">
        <f t="shared" si="81"/>
        <v>0</v>
      </c>
      <c r="BG79" s="200">
        <f t="shared" ca="1" si="82"/>
        <v>0</v>
      </c>
      <c r="BH79" s="69"/>
      <c r="BI79" s="198">
        <f t="shared" si="18"/>
        <v>0</v>
      </c>
      <c r="BJ79" s="71">
        <f t="shared" si="19"/>
        <v>0</v>
      </c>
      <c r="BK79" s="72">
        <f t="shared" si="83"/>
        <v>0</v>
      </c>
      <c r="BL79" s="72">
        <f t="shared" ca="1" si="84"/>
        <v>0</v>
      </c>
      <c r="BM79" s="200">
        <f t="shared" ca="1" si="67"/>
        <v>0</v>
      </c>
      <c r="BN79" s="69"/>
      <c r="BO79" s="198">
        <f t="shared" si="68"/>
        <v>0</v>
      </c>
      <c r="BP79" s="72">
        <f t="shared" ca="1" si="69"/>
        <v>0</v>
      </c>
      <c r="BQ79" s="78">
        <f t="shared" si="85"/>
        <v>0</v>
      </c>
      <c r="BR79" s="78">
        <f t="shared" si="86"/>
        <v>0</v>
      </c>
      <c r="BS79" s="80">
        <f t="shared" ca="1" si="70"/>
        <v>0</v>
      </c>
      <c r="BT79" s="80">
        <f t="shared" ca="1" si="71"/>
        <v>0</v>
      </c>
      <c r="BU79" s="259" t="str">
        <f t="shared" ca="1" si="87"/>
        <v/>
      </c>
      <c r="BV79" s="206" t="str">
        <f t="shared" ca="1" si="88"/>
        <v/>
      </c>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row>
    <row r="80" spans="1:116" ht="12.75" hidden="1" customHeight="1">
      <c r="A80" s="5"/>
      <c r="B80" s="327" t="str">
        <f t="shared" si="28"/>
        <v>-</v>
      </c>
      <c r="C80" s="398">
        <v>44</v>
      </c>
      <c r="D80" s="688"/>
      <c r="E80" s="689"/>
      <c r="F80" s="476"/>
      <c r="G80" s="483"/>
      <c r="H80" s="466"/>
      <c r="I80" s="467"/>
      <c r="J80" s="489"/>
      <c r="K80" s="490"/>
      <c r="L80" s="491"/>
      <c r="M80" s="492"/>
      <c r="N80" s="373" t="str">
        <f t="shared" ca="1" si="54"/>
        <v/>
      </c>
      <c r="O80" s="374" t="str">
        <f t="shared" ca="1" si="55"/>
        <v/>
      </c>
      <c r="P80" s="375">
        <f t="shared" ca="1" si="56"/>
        <v>0</v>
      </c>
      <c r="Q80" s="384" t="str">
        <f t="shared" ca="1" si="72"/>
        <v/>
      </c>
      <c r="R80" s="385" t="str">
        <f t="shared" ca="1" si="57"/>
        <v/>
      </c>
      <c r="S80" s="386">
        <f t="shared" ca="1" si="73"/>
        <v>0</v>
      </c>
      <c r="T80" s="387" t="str">
        <f t="shared" ca="1" si="58"/>
        <v/>
      </c>
      <c r="U80" s="5"/>
      <c r="V80" s="6"/>
      <c r="W80" s="4"/>
      <c r="X80" s="4">
        <v>44</v>
      </c>
      <c r="Y80" s="104" t="str">
        <f t="shared" si="74"/>
        <v>-</v>
      </c>
      <c r="Z80" s="104">
        <f t="shared" si="75"/>
        <v>0</v>
      </c>
      <c r="AA80" s="4"/>
      <c r="AB80" s="53">
        <f t="shared" si="76"/>
        <v>0</v>
      </c>
      <c r="AC80" s="54">
        <f>IF(SUM(AB80:AB$116)=0,0,F80&gt;0)</f>
        <v>0</v>
      </c>
      <c r="AD80" s="53">
        <f t="shared" si="77"/>
        <v>0</v>
      </c>
      <c r="AE80" s="54">
        <f>IF(SUM(AB80:AB$116)=0,0,AND(AC80=FALSE,AD80=0,SUM(AD80:AD$116)&gt;0))</f>
        <v>0</v>
      </c>
      <c r="AF80" s="54">
        <f t="shared" si="30"/>
        <v>0</v>
      </c>
      <c r="AG80" s="54">
        <f t="shared" si="31"/>
        <v>0</v>
      </c>
      <c r="AH80" s="56">
        <f t="shared" si="32"/>
        <v>0</v>
      </c>
      <c r="AI80" s="56">
        <f t="shared" si="33"/>
        <v>0</v>
      </c>
      <c r="AJ80" s="54">
        <f t="shared" si="34"/>
        <v>0</v>
      </c>
      <c r="AK80" s="54" t="str">
        <f t="shared" si="35"/>
        <v/>
      </c>
      <c r="AL80" s="54">
        <f t="shared" si="36"/>
        <v>0</v>
      </c>
      <c r="AM80" s="54">
        <f t="shared" si="37"/>
        <v>0</v>
      </c>
      <c r="AN80" s="54">
        <f t="shared" si="38"/>
        <v>0</v>
      </c>
      <c r="AO80" s="54">
        <f t="shared" si="39"/>
        <v>0</v>
      </c>
      <c r="AP80" s="54">
        <f t="shared" si="40"/>
        <v>0</v>
      </c>
      <c r="AQ80" s="54">
        <f t="shared" si="41"/>
        <v>0</v>
      </c>
      <c r="AR80" s="53">
        <f t="shared" si="42"/>
        <v>0</v>
      </c>
      <c r="AS80" s="409" t="str">
        <f t="shared" si="43"/>
        <v/>
      </c>
      <c r="AT80" s="54">
        <f t="shared" si="59"/>
        <v>0</v>
      </c>
      <c r="AU80" s="54">
        <f t="shared" si="60"/>
        <v>0</v>
      </c>
      <c r="AV80" s="54">
        <f t="shared" si="61"/>
        <v>0</v>
      </c>
      <c r="AW80" s="55" t="b">
        <f t="shared" ca="1" si="62"/>
        <v>0</v>
      </c>
      <c r="AX80" s="69"/>
      <c r="AY80" s="203">
        <f t="shared" ca="1" si="63"/>
        <v>0</v>
      </c>
      <c r="AZ80" s="72">
        <f t="shared" ca="1" si="64"/>
        <v>0</v>
      </c>
      <c r="BA80" s="72">
        <f t="shared" ca="1" si="78"/>
        <v>0</v>
      </c>
      <c r="BB80" s="75">
        <f t="shared" ca="1" si="65"/>
        <v>0</v>
      </c>
      <c r="BC80" s="209">
        <f t="shared" si="66"/>
        <v>0</v>
      </c>
      <c r="BD80" s="72">
        <f t="shared" si="79"/>
        <v>0</v>
      </c>
      <c r="BE80" s="72">
        <f t="shared" si="80"/>
        <v>0</v>
      </c>
      <c r="BF80" s="72">
        <f t="shared" si="81"/>
        <v>0</v>
      </c>
      <c r="BG80" s="200">
        <f t="shared" ca="1" si="82"/>
        <v>0</v>
      </c>
      <c r="BH80" s="69"/>
      <c r="BI80" s="198">
        <f t="shared" si="18"/>
        <v>0</v>
      </c>
      <c r="BJ80" s="71">
        <f t="shared" si="19"/>
        <v>0</v>
      </c>
      <c r="BK80" s="72">
        <f t="shared" si="83"/>
        <v>0</v>
      </c>
      <c r="BL80" s="72">
        <f t="shared" ca="1" si="84"/>
        <v>0</v>
      </c>
      <c r="BM80" s="200">
        <f t="shared" ca="1" si="67"/>
        <v>0</v>
      </c>
      <c r="BN80" s="69"/>
      <c r="BO80" s="198">
        <f t="shared" si="68"/>
        <v>0</v>
      </c>
      <c r="BP80" s="72">
        <f t="shared" ca="1" si="69"/>
        <v>0</v>
      </c>
      <c r="BQ80" s="78">
        <f t="shared" si="85"/>
        <v>0</v>
      </c>
      <c r="BR80" s="78">
        <f t="shared" si="86"/>
        <v>0</v>
      </c>
      <c r="BS80" s="80">
        <f t="shared" ca="1" si="70"/>
        <v>0</v>
      </c>
      <c r="BT80" s="80">
        <f t="shared" ca="1" si="71"/>
        <v>0</v>
      </c>
      <c r="BU80" s="259" t="str">
        <f t="shared" ca="1" si="87"/>
        <v/>
      </c>
      <c r="BV80" s="206" t="str">
        <f t="shared" ca="1" si="88"/>
        <v/>
      </c>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row>
    <row r="81" spans="1:116" ht="12.75" hidden="1" customHeight="1">
      <c r="A81" s="5"/>
      <c r="B81" s="327" t="str">
        <f t="shared" si="28"/>
        <v>-</v>
      </c>
      <c r="C81" s="398">
        <v>45</v>
      </c>
      <c r="D81" s="688"/>
      <c r="E81" s="689"/>
      <c r="F81" s="476"/>
      <c r="G81" s="483"/>
      <c r="H81" s="466"/>
      <c r="I81" s="467"/>
      <c r="J81" s="489"/>
      <c r="K81" s="490"/>
      <c r="L81" s="491"/>
      <c r="M81" s="492"/>
      <c r="N81" s="373" t="str">
        <f t="shared" ca="1" si="54"/>
        <v/>
      </c>
      <c r="O81" s="374" t="str">
        <f t="shared" ca="1" si="55"/>
        <v/>
      </c>
      <c r="P81" s="375">
        <f t="shared" ca="1" si="56"/>
        <v>0</v>
      </c>
      <c r="Q81" s="384" t="str">
        <f t="shared" ca="1" si="72"/>
        <v/>
      </c>
      <c r="R81" s="385" t="str">
        <f t="shared" ca="1" si="57"/>
        <v/>
      </c>
      <c r="S81" s="386">
        <f t="shared" ca="1" si="73"/>
        <v>0</v>
      </c>
      <c r="T81" s="387" t="str">
        <f t="shared" ca="1" si="58"/>
        <v/>
      </c>
      <c r="U81" s="5"/>
      <c r="V81" s="6"/>
      <c r="W81" s="4"/>
      <c r="X81" s="4">
        <v>45</v>
      </c>
      <c r="Y81" s="104" t="str">
        <f t="shared" si="74"/>
        <v>-</v>
      </c>
      <c r="Z81" s="104">
        <f t="shared" si="75"/>
        <v>0</v>
      </c>
      <c r="AA81" s="4"/>
      <c r="AB81" s="53">
        <f t="shared" si="76"/>
        <v>0</v>
      </c>
      <c r="AC81" s="54">
        <f>IF(SUM(AB81:AB$116)=0,0,F81&gt;0)</f>
        <v>0</v>
      </c>
      <c r="AD81" s="53">
        <f t="shared" si="77"/>
        <v>0</v>
      </c>
      <c r="AE81" s="54">
        <f>IF(SUM(AB81:AB$116)=0,0,AND(AC81=FALSE,AD81=0,SUM(AD81:AD$116)&gt;0))</f>
        <v>0</v>
      </c>
      <c r="AF81" s="54">
        <f t="shared" si="30"/>
        <v>0</v>
      </c>
      <c r="AG81" s="54">
        <f t="shared" si="31"/>
        <v>0</v>
      </c>
      <c r="AH81" s="56">
        <f t="shared" si="32"/>
        <v>0</v>
      </c>
      <c r="AI81" s="56">
        <f t="shared" si="33"/>
        <v>0</v>
      </c>
      <c r="AJ81" s="54">
        <f t="shared" si="34"/>
        <v>0</v>
      </c>
      <c r="AK81" s="54" t="str">
        <f t="shared" si="35"/>
        <v/>
      </c>
      <c r="AL81" s="54">
        <f t="shared" si="36"/>
        <v>0</v>
      </c>
      <c r="AM81" s="54">
        <f t="shared" si="37"/>
        <v>0</v>
      </c>
      <c r="AN81" s="54">
        <f t="shared" si="38"/>
        <v>0</v>
      </c>
      <c r="AO81" s="54">
        <f t="shared" si="39"/>
        <v>0</v>
      </c>
      <c r="AP81" s="54">
        <f t="shared" si="40"/>
        <v>0</v>
      </c>
      <c r="AQ81" s="54">
        <f t="shared" si="41"/>
        <v>0</v>
      </c>
      <c r="AR81" s="53">
        <f t="shared" si="42"/>
        <v>0</v>
      </c>
      <c r="AS81" s="409" t="str">
        <f t="shared" si="43"/>
        <v/>
      </c>
      <c r="AT81" s="54">
        <f t="shared" si="59"/>
        <v>0</v>
      </c>
      <c r="AU81" s="54">
        <f t="shared" si="60"/>
        <v>0</v>
      </c>
      <c r="AV81" s="54">
        <f t="shared" si="61"/>
        <v>0</v>
      </c>
      <c r="AW81" s="55" t="b">
        <f t="shared" ca="1" si="62"/>
        <v>0</v>
      </c>
      <c r="AX81" s="69"/>
      <c r="AY81" s="203">
        <f t="shared" ca="1" si="63"/>
        <v>0</v>
      </c>
      <c r="AZ81" s="72">
        <f t="shared" ca="1" si="64"/>
        <v>0</v>
      </c>
      <c r="BA81" s="72">
        <f t="shared" ca="1" si="78"/>
        <v>0</v>
      </c>
      <c r="BB81" s="75">
        <f t="shared" ca="1" si="65"/>
        <v>0</v>
      </c>
      <c r="BC81" s="209">
        <f t="shared" si="66"/>
        <v>0</v>
      </c>
      <c r="BD81" s="72">
        <f t="shared" si="79"/>
        <v>0</v>
      </c>
      <c r="BE81" s="72">
        <f t="shared" si="80"/>
        <v>0</v>
      </c>
      <c r="BF81" s="72">
        <f t="shared" si="81"/>
        <v>0</v>
      </c>
      <c r="BG81" s="200">
        <f t="shared" ca="1" si="82"/>
        <v>0</v>
      </c>
      <c r="BH81" s="69"/>
      <c r="BI81" s="198">
        <f t="shared" si="18"/>
        <v>0</v>
      </c>
      <c r="BJ81" s="71">
        <f t="shared" si="19"/>
        <v>0</v>
      </c>
      <c r="BK81" s="72">
        <f t="shared" si="83"/>
        <v>0</v>
      </c>
      <c r="BL81" s="72">
        <f t="shared" ca="1" si="84"/>
        <v>0</v>
      </c>
      <c r="BM81" s="200">
        <f t="shared" ca="1" si="67"/>
        <v>0</v>
      </c>
      <c r="BN81" s="69"/>
      <c r="BO81" s="198">
        <f t="shared" si="68"/>
        <v>0</v>
      </c>
      <c r="BP81" s="72">
        <f t="shared" ca="1" si="69"/>
        <v>0</v>
      </c>
      <c r="BQ81" s="78">
        <f t="shared" si="85"/>
        <v>0</v>
      </c>
      <c r="BR81" s="78">
        <f t="shared" si="86"/>
        <v>0</v>
      </c>
      <c r="BS81" s="80">
        <f t="shared" ca="1" si="70"/>
        <v>0</v>
      </c>
      <c r="BT81" s="80">
        <f t="shared" ca="1" si="71"/>
        <v>0</v>
      </c>
      <c r="BU81" s="259" t="str">
        <f t="shared" ca="1" si="87"/>
        <v/>
      </c>
      <c r="BV81" s="206" t="str">
        <f t="shared" ca="1" si="88"/>
        <v/>
      </c>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row>
    <row r="82" spans="1:116" ht="12.75" hidden="1" customHeight="1">
      <c r="A82" s="5"/>
      <c r="B82" s="327" t="str">
        <f t="shared" si="28"/>
        <v>-</v>
      </c>
      <c r="C82" s="398">
        <v>46</v>
      </c>
      <c r="D82" s="688"/>
      <c r="E82" s="689"/>
      <c r="F82" s="476"/>
      <c r="G82" s="483"/>
      <c r="H82" s="466"/>
      <c r="I82" s="467"/>
      <c r="J82" s="489"/>
      <c r="K82" s="490"/>
      <c r="L82" s="491"/>
      <c r="M82" s="492"/>
      <c r="N82" s="373" t="str">
        <f t="shared" ca="1" si="54"/>
        <v/>
      </c>
      <c r="O82" s="374" t="str">
        <f t="shared" ca="1" si="55"/>
        <v/>
      </c>
      <c r="P82" s="375">
        <f t="shared" ca="1" si="56"/>
        <v>0</v>
      </c>
      <c r="Q82" s="384" t="str">
        <f t="shared" ca="1" si="72"/>
        <v/>
      </c>
      <c r="R82" s="385" t="str">
        <f t="shared" ca="1" si="57"/>
        <v/>
      </c>
      <c r="S82" s="386">
        <f t="shared" ca="1" si="73"/>
        <v>0</v>
      </c>
      <c r="T82" s="387" t="str">
        <f t="shared" ca="1" si="58"/>
        <v/>
      </c>
      <c r="U82" s="5"/>
      <c r="V82" s="6"/>
      <c r="W82" s="4"/>
      <c r="X82" s="4">
        <v>46</v>
      </c>
      <c r="Y82" s="104" t="str">
        <f t="shared" si="74"/>
        <v>-</v>
      </c>
      <c r="Z82" s="104">
        <f t="shared" si="75"/>
        <v>0</v>
      </c>
      <c r="AA82" s="4"/>
      <c r="AB82" s="53">
        <f t="shared" si="76"/>
        <v>0</v>
      </c>
      <c r="AC82" s="54">
        <f>IF(SUM(AB82:AB$116)=0,0,F82&gt;0)</f>
        <v>0</v>
      </c>
      <c r="AD82" s="53">
        <f t="shared" si="77"/>
        <v>0</v>
      </c>
      <c r="AE82" s="54">
        <f>IF(SUM(AB82:AB$116)=0,0,AND(AC82=FALSE,AD82=0,SUM(AD82:AD$116)&gt;0))</f>
        <v>0</v>
      </c>
      <c r="AF82" s="54">
        <f t="shared" si="30"/>
        <v>0</v>
      </c>
      <c r="AG82" s="54">
        <f t="shared" si="31"/>
        <v>0</v>
      </c>
      <c r="AH82" s="56">
        <f t="shared" si="32"/>
        <v>0</v>
      </c>
      <c r="AI82" s="56">
        <f t="shared" si="33"/>
        <v>0</v>
      </c>
      <c r="AJ82" s="54">
        <f t="shared" si="34"/>
        <v>0</v>
      </c>
      <c r="AK82" s="54" t="str">
        <f t="shared" si="35"/>
        <v/>
      </c>
      <c r="AL82" s="54">
        <f t="shared" si="36"/>
        <v>0</v>
      </c>
      <c r="AM82" s="54">
        <f t="shared" si="37"/>
        <v>0</v>
      </c>
      <c r="AN82" s="54">
        <f t="shared" si="38"/>
        <v>0</v>
      </c>
      <c r="AO82" s="54">
        <f t="shared" si="39"/>
        <v>0</v>
      </c>
      <c r="AP82" s="54">
        <f t="shared" si="40"/>
        <v>0</v>
      </c>
      <c r="AQ82" s="54">
        <f t="shared" si="41"/>
        <v>0</v>
      </c>
      <c r="AR82" s="53">
        <f t="shared" si="42"/>
        <v>0</v>
      </c>
      <c r="AS82" s="409" t="str">
        <f t="shared" si="43"/>
        <v/>
      </c>
      <c r="AT82" s="54">
        <f t="shared" si="59"/>
        <v>0</v>
      </c>
      <c r="AU82" s="54">
        <f t="shared" si="60"/>
        <v>0</v>
      </c>
      <c r="AV82" s="54">
        <f t="shared" si="61"/>
        <v>0</v>
      </c>
      <c r="AW82" s="55" t="b">
        <f t="shared" ca="1" si="62"/>
        <v>0</v>
      </c>
      <c r="AX82" s="69"/>
      <c r="AY82" s="203">
        <f t="shared" ca="1" si="63"/>
        <v>0</v>
      </c>
      <c r="AZ82" s="72">
        <f t="shared" ca="1" si="64"/>
        <v>0</v>
      </c>
      <c r="BA82" s="72">
        <f t="shared" ca="1" si="78"/>
        <v>0</v>
      </c>
      <c r="BB82" s="75">
        <f t="shared" ca="1" si="65"/>
        <v>0</v>
      </c>
      <c r="BC82" s="209">
        <f t="shared" si="66"/>
        <v>0</v>
      </c>
      <c r="BD82" s="72">
        <f t="shared" si="79"/>
        <v>0</v>
      </c>
      <c r="BE82" s="72">
        <f t="shared" si="80"/>
        <v>0</v>
      </c>
      <c r="BF82" s="72">
        <f t="shared" si="81"/>
        <v>0</v>
      </c>
      <c r="BG82" s="200">
        <f t="shared" ca="1" si="82"/>
        <v>0</v>
      </c>
      <c r="BH82" s="69"/>
      <c r="BI82" s="198">
        <f t="shared" si="18"/>
        <v>0</v>
      </c>
      <c r="BJ82" s="71">
        <f t="shared" si="19"/>
        <v>0</v>
      </c>
      <c r="BK82" s="72">
        <f t="shared" si="83"/>
        <v>0</v>
      </c>
      <c r="BL82" s="72">
        <f t="shared" ca="1" si="84"/>
        <v>0</v>
      </c>
      <c r="BM82" s="200">
        <f t="shared" ca="1" si="67"/>
        <v>0</v>
      </c>
      <c r="BN82" s="69"/>
      <c r="BO82" s="198">
        <f t="shared" si="68"/>
        <v>0</v>
      </c>
      <c r="BP82" s="72">
        <f t="shared" ca="1" si="69"/>
        <v>0</v>
      </c>
      <c r="BQ82" s="78">
        <f t="shared" si="85"/>
        <v>0</v>
      </c>
      <c r="BR82" s="78">
        <f t="shared" si="86"/>
        <v>0</v>
      </c>
      <c r="BS82" s="80">
        <f t="shared" ca="1" si="70"/>
        <v>0</v>
      </c>
      <c r="BT82" s="80">
        <f t="shared" ca="1" si="71"/>
        <v>0</v>
      </c>
      <c r="BU82" s="259" t="str">
        <f t="shared" ca="1" si="87"/>
        <v/>
      </c>
      <c r="BV82" s="206" t="str">
        <f t="shared" ca="1" si="88"/>
        <v/>
      </c>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row>
    <row r="83" spans="1:116" ht="12.75" hidden="1" customHeight="1">
      <c r="A83" s="5"/>
      <c r="B83" s="327" t="str">
        <f t="shared" si="28"/>
        <v>-</v>
      </c>
      <c r="C83" s="398">
        <v>47</v>
      </c>
      <c r="D83" s="688"/>
      <c r="E83" s="689"/>
      <c r="F83" s="476"/>
      <c r="G83" s="483"/>
      <c r="H83" s="466"/>
      <c r="I83" s="467"/>
      <c r="J83" s="489"/>
      <c r="K83" s="490"/>
      <c r="L83" s="491"/>
      <c r="M83" s="492"/>
      <c r="N83" s="373" t="str">
        <f t="shared" ca="1" si="54"/>
        <v/>
      </c>
      <c r="O83" s="374" t="str">
        <f t="shared" ca="1" si="55"/>
        <v/>
      </c>
      <c r="P83" s="375">
        <f t="shared" ca="1" si="56"/>
        <v>0</v>
      </c>
      <c r="Q83" s="384" t="str">
        <f t="shared" ca="1" si="72"/>
        <v/>
      </c>
      <c r="R83" s="385" t="str">
        <f t="shared" ca="1" si="57"/>
        <v/>
      </c>
      <c r="S83" s="386">
        <f t="shared" ca="1" si="73"/>
        <v>0</v>
      </c>
      <c r="T83" s="387" t="str">
        <f t="shared" ca="1" si="58"/>
        <v/>
      </c>
      <c r="U83" s="5"/>
      <c r="V83" s="6"/>
      <c r="W83" s="4"/>
      <c r="X83" s="4">
        <v>47</v>
      </c>
      <c r="Y83" s="104" t="str">
        <f t="shared" si="74"/>
        <v>-</v>
      </c>
      <c r="Z83" s="104">
        <f t="shared" si="75"/>
        <v>0</v>
      </c>
      <c r="AA83" s="4"/>
      <c r="AB83" s="53">
        <f t="shared" si="76"/>
        <v>0</v>
      </c>
      <c r="AC83" s="54">
        <f>IF(SUM(AB83:AB$116)=0,0,F83&gt;0)</f>
        <v>0</v>
      </c>
      <c r="AD83" s="53">
        <f t="shared" si="77"/>
        <v>0</v>
      </c>
      <c r="AE83" s="54">
        <f>IF(SUM(AB83:AB$116)=0,0,AND(AC83=FALSE,AD83=0,SUM(AD83:AD$116)&gt;0))</f>
        <v>0</v>
      </c>
      <c r="AF83" s="54">
        <f t="shared" si="30"/>
        <v>0</v>
      </c>
      <c r="AG83" s="54">
        <f t="shared" si="31"/>
        <v>0</v>
      </c>
      <c r="AH83" s="56">
        <f t="shared" si="32"/>
        <v>0</v>
      </c>
      <c r="AI83" s="56">
        <f t="shared" si="33"/>
        <v>0</v>
      </c>
      <c r="AJ83" s="54">
        <f t="shared" si="34"/>
        <v>0</v>
      </c>
      <c r="AK83" s="54" t="str">
        <f t="shared" si="35"/>
        <v/>
      </c>
      <c r="AL83" s="54">
        <f t="shared" si="36"/>
        <v>0</v>
      </c>
      <c r="AM83" s="54">
        <f t="shared" si="37"/>
        <v>0</v>
      </c>
      <c r="AN83" s="54">
        <f t="shared" si="38"/>
        <v>0</v>
      </c>
      <c r="AO83" s="54">
        <f t="shared" si="39"/>
        <v>0</v>
      </c>
      <c r="AP83" s="54">
        <f t="shared" si="40"/>
        <v>0</v>
      </c>
      <c r="AQ83" s="54">
        <f t="shared" si="41"/>
        <v>0</v>
      </c>
      <c r="AR83" s="53">
        <f t="shared" si="42"/>
        <v>0</v>
      </c>
      <c r="AS83" s="409" t="str">
        <f t="shared" si="43"/>
        <v/>
      </c>
      <c r="AT83" s="54">
        <f t="shared" si="59"/>
        <v>0</v>
      </c>
      <c r="AU83" s="54">
        <f t="shared" si="60"/>
        <v>0</v>
      </c>
      <c r="AV83" s="54">
        <f t="shared" si="61"/>
        <v>0</v>
      </c>
      <c r="AW83" s="55" t="b">
        <f t="shared" ca="1" si="62"/>
        <v>0</v>
      </c>
      <c r="AX83" s="69"/>
      <c r="AY83" s="203">
        <f t="shared" ca="1" si="63"/>
        <v>0</v>
      </c>
      <c r="AZ83" s="72">
        <f t="shared" ca="1" si="64"/>
        <v>0</v>
      </c>
      <c r="BA83" s="72">
        <f t="shared" ca="1" si="78"/>
        <v>0</v>
      </c>
      <c r="BB83" s="75">
        <f t="shared" ca="1" si="65"/>
        <v>0</v>
      </c>
      <c r="BC83" s="209">
        <f t="shared" si="66"/>
        <v>0</v>
      </c>
      <c r="BD83" s="72">
        <f t="shared" si="79"/>
        <v>0</v>
      </c>
      <c r="BE83" s="72">
        <f t="shared" si="80"/>
        <v>0</v>
      </c>
      <c r="BF83" s="72">
        <f t="shared" si="81"/>
        <v>0</v>
      </c>
      <c r="BG83" s="200">
        <f t="shared" ca="1" si="82"/>
        <v>0</v>
      </c>
      <c r="BH83" s="69"/>
      <c r="BI83" s="198">
        <f t="shared" si="18"/>
        <v>0</v>
      </c>
      <c r="BJ83" s="71">
        <f t="shared" si="19"/>
        <v>0</v>
      </c>
      <c r="BK83" s="72">
        <f t="shared" si="83"/>
        <v>0</v>
      </c>
      <c r="BL83" s="72">
        <f t="shared" ca="1" si="84"/>
        <v>0</v>
      </c>
      <c r="BM83" s="200">
        <f t="shared" ca="1" si="67"/>
        <v>0</v>
      </c>
      <c r="BN83" s="69"/>
      <c r="BO83" s="198">
        <f t="shared" si="68"/>
        <v>0</v>
      </c>
      <c r="BP83" s="72">
        <f t="shared" ca="1" si="69"/>
        <v>0</v>
      </c>
      <c r="BQ83" s="78">
        <f t="shared" si="85"/>
        <v>0</v>
      </c>
      <c r="BR83" s="78">
        <f t="shared" si="86"/>
        <v>0</v>
      </c>
      <c r="BS83" s="80">
        <f t="shared" ca="1" si="70"/>
        <v>0</v>
      </c>
      <c r="BT83" s="80">
        <f t="shared" ca="1" si="71"/>
        <v>0</v>
      </c>
      <c r="BU83" s="259" t="str">
        <f t="shared" ca="1" si="87"/>
        <v/>
      </c>
      <c r="BV83" s="206" t="str">
        <f t="shared" ca="1" si="88"/>
        <v/>
      </c>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row>
    <row r="84" spans="1:116" ht="12.75" hidden="1" customHeight="1">
      <c r="A84" s="5"/>
      <c r="B84" s="327" t="str">
        <f t="shared" si="28"/>
        <v>-</v>
      </c>
      <c r="C84" s="398">
        <v>48</v>
      </c>
      <c r="D84" s="688"/>
      <c r="E84" s="689"/>
      <c r="F84" s="476"/>
      <c r="G84" s="483"/>
      <c r="H84" s="466"/>
      <c r="I84" s="467"/>
      <c r="J84" s="489"/>
      <c r="K84" s="490"/>
      <c r="L84" s="491"/>
      <c r="M84" s="492"/>
      <c r="N84" s="373" t="str">
        <f t="shared" ca="1" si="54"/>
        <v/>
      </c>
      <c r="O84" s="374" t="str">
        <f t="shared" ca="1" si="55"/>
        <v/>
      </c>
      <c r="P84" s="375">
        <f t="shared" ca="1" si="56"/>
        <v>0</v>
      </c>
      <c r="Q84" s="384" t="str">
        <f t="shared" ca="1" si="72"/>
        <v/>
      </c>
      <c r="R84" s="385" t="str">
        <f t="shared" ca="1" si="57"/>
        <v/>
      </c>
      <c r="S84" s="386">
        <f t="shared" ca="1" si="73"/>
        <v>0</v>
      </c>
      <c r="T84" s="387" t="str">
        <f t="shared" ca="1" si="58"/>
        <v/>
      </c>
      <c r="U84" s="5"/>
      <c r="V84" s="6"/>
      <c r="W84" s="4"/>
      <c r="X84" s="4">
        <v>48</v>
      </c>
      <c r="Y84" s="104" t="str">
        <f t="shared" si="74"/>
        <v>-</v>
      </c>
      <c r="Z84" s="104">
        <f t="shared" si="75"/>
        <v>0</v>
      </c>
      <c r="AA84" s="4"/>
      <c r="AB84" s="53">
        <f t="shared" si="76"/>
        <v>0</v>
      </c>
      <c r="AC84" s="54">
        <f>IF(SUM(AB84:AB$116)=0,0,F84&gt;0)</f>
        <v>0</v>
      </c>
      <c r="AD84" s="53">
        <f t="shared" si="77"/>
        <v>0</v>
      </c>
      <c r="AE84" s="54">
        <f>IF(SUM(AB84:AB$116)=0,0,AND(AC84=FALSE,AD84=0,SUM(AD84:AD$116)&gt;0))</f>
        <v>0</v>
      </c>
      <c r="AF84" s="54">
        <f t="shared" si="30"/>
        <v>0</v>
      </c>
      <c r="AG84" s="54">
        <f t="shared" si="31"/>
        <v>0</v>
      </c>
      <c r="AH84" s="56">
        <f t="shared" si="32"/>
        <v>0</v>
      </c>
      <c r="AI84" s="56">
        <f t="shared" si="33"/>
        <v>0</v>
      </c>
      <c r="AJ84" s="54">
        <f t="shared" si="34"/>
        <v>0</v>
      </c>
      <c r="AK84" s="54" t="str">
        <f t="shared" si="35"/>
        <v/>
      </c>
      <c r="AL84" s="54">
        <f t="shared" si="36"/>
        <v>0</v>
      </c>
      <c r="AM84" s="54">
        <f t="shared" si="37"/>
        <v>0</v>
      </c>
      <c r="AN84" s="54">
        <f t="shared" si="38"/>
        <v>0</v>
      </c>
      <c r="AO84" s="54">
        <f t="shared" si="39"/>
        <v>0</v>
      </c>
      <c r="AP84" s="54">
        <f t="shared" si="40"/>
        <v>0</v>
      </c>
      <c r="AQ84" s="54">
        <f t="shared" si="41"/>
        <v>0</v>
      </c>
      <c r="AR84" s="53">
        <f t="shared" si="42"/>
        <v>0</v>
      </c>
      <c r="AS84" s="409" t="str">
        <f t="shared" si="43"/>
        <v/>
      </c>
      <c r="AT84" s="54">
        <f t="shared" si="59"/>
        <v>0</v>
      </c>
      <c r="AU84" s="54">
        <f t="shared" si="60"/>
        <v>0</v>
      </c>
      <c r="AV84" s="54">
        <f t="shared" si="61"/>
        <v>0</v>
      </c>
      <c r="AW84" s="55" t="b">
        <f t="shared" ca="1" si="62"/>
        <v>0</v>
      </c>
      <c r="AX84" s="69"/>
      <c r="AY84" s="203">
        <f t="shared" ca="1" si="63"/>
        <v>0</v>
      </c>
      <c r="AZ84" s="72">
        <f t="shared" ca="1" si="64"/>
        <v>0</v>
      </c>
      <c r="BA84" s="72">
        <f t="shared" ca="1" si="78"/>
        <v>0</v>
      </c>
      <c r="BB84" s="75">
        <f t="shared" ca="1" si="65"/>
        <v>0</v>
      </c>
      <c r="BC84" s="209">
        <f t="shared" si="66"/>
        <v>0</v>
      </c>
      <c r="BD84" s="72">
        <f t="shared" si="79"/>
        <v>0</v>
      </c>
      <c r="BE84" s="72">
        <f t="shared" si="80"/>
        <v>0</v>
      </c>
      <c r="BF84" s="72">
        <f t="shared" si="81"/>
        <v>0</v>
      </c>
      <c r="BG84" s="200">
        <f t="shared" ca="1" si="82"/>
        <v>0</v>
      </c>
      <c r="BH84" s="69"/>
      <c r="BI84" s="198">
        <f t="shared" si="18"/>
        <v>0</v>
      </c>
      <c r="BJ84" s="71">
        <f t="shared" si="19"/>
        <v>0</v>
      </c>
      <c r="BK84" s="72">
        <f t="shared" si="83"/>
        <v>0</v>
      </c>
      <c r="BL84" s="72">
        <f t="shared" ca="1" si="84"/>
        <v>0</v>
      </c>
      <c r="BM84" s="200">
        <f t="shared" ca="1" si="67"/>
        <v>0</v>
      </c>
      <c r="BN84" s="69"/>
      <c r="BO84" s="198">
        <f t="shared" si="68"/>
        <v>0</v>
      </c>
      <c r="BP84" s="72">
        <f t="shared" ca="1" si="69"/>
        <v>0</v>
      </c>
      <c r="BQ84" s="78">
        <f t="shared" si="85"/>
        <v>0</v>
      </c>
      <c r="BR84" s="78">
        <f t="shared" si="86"/>
        <v>0</v>
      </c>
      <c r="BS84" s="80">
        <f t="shared" ca="1" si="70"/>
        <v>0</v>
      </c>
      <c r="BT84" s="80">
        <f t="shared" ca="1" si="71"/>
        <v>0</v>
      </c>
      <c r="BU84" s="259" t="str">
        <f t="shared" ca="1" si="87"/>
        <v/>
      </c>
      <c r="BV84" s="206" t="str">
        <f t="shared" ca="1" si="88"/>
        <v/>
      </c>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row>
    <row r="85" spans="1:116" ht="12.75" hidden="1" customHeight="1">
      <c r="A85" s="5"/>
      <c r="B85" s="327" t="str">
        <f t="shared" si="28"/>
        <v>-</v>
      </c>
      <c r="C85" s="398">
        <v>49</v>
      </c>
      <c r="D85" s="688"/>
      <c r="E85" s="689"/>
      <c r="F85" s="476"/>
      <c r="G85" s="483"/>
      <c r="H85" s="466"/>
      <c r="I85" s="467"/>
      <c r="J85" s="489"/>
      <c r="K85" s="490"/>
      <c r="L85" s="491"/>
      <c r="M85" s="492"/>
      <c r="N85" s="373" t="str">
        <f t="shared" ca="1" si="54"/>
        <v/>
      </c>
      <c r="O85" s="374" t="str">
        <f t="shared" ca="1" si="55"/>
        <v/>
      </c>
      <c r="P85" s="375">
        <f t="shared" ca="1" si="56"/>
        <v>0</v>
      </c>
      <c r="Q85" s="384" t="str">
        <f t="shared" ca="1" si="72"/>
        <v/>
      </c>
      <c r="R85" s="385" t="str">
        <f t="shared" ca="1" si="57"/>
        <v/>
      </c>
      <c r="S85" s="386">
        <f t="shared" ca="1" si="73"/>
        <v>0</v>
      </c>
      <c r="T85" s="387" t="str">
        <f t="shared" ca="1" si="58"/>
        <v/>
      </c>
      <c r="U85" s="5"/>
      <c r="V85" s="6"/>
      <c r="W85" s="4"/>
      <c r="X85" s="4">
        <v>49</v>
      </c>
      <c r="Y85" s="104" t="str">
        <f t="shared" si="74"/>
        <v>-</v>
      </c>
      <c r="Z85" s="104">
        <f t="shared" si="75"/>
        <v>0</v>
      </c>
      <c r="AA85" s="4"/>
      <c r="AB85" s="53">
        <f t="shared" si="76"/>
        <v>0</v>
      </c>
      <c r="AC85" s="54">
        <f>IF(SUM(AB85:AB$116)=0,0,F85&gt;0)</f>
        <v>0</v>
      </c>
      <c r="AD85" s="53">
        <f t="shared" si="77"/>
        <v>0</v>
      </c>
      <c r="AE85" s="54">
        <f>IF(SUM(AB85:AB$116)=0,0,AND(AC85=FALSE,AD85=0,SUM(AD85:AD$116)&gt;0))</f>
        <v>0</v>
      </c>
      <c r="AF85" s="54">
        <f t="shared" si="30"/>
        <v>0</v>
      </c>
      <c r="AG85" s="54">
        <f t="shared" si="31"/>
        <v>0</v>
      </c>
      <c r="AH85" s="56">
        <f t="shared" si="32"/>
        <v>0</v>
      </c>
      <c r="AI85" s="56">
        <f t="shared" si="33"/>
        <v>0</v>
      </c>
      <c r="AJ85" s="54">
        <f t="shared" si="34"/>
        <v>0</v>
      </c>
      <c r="AK85" s="54" t="str">
        <f t="shared" si="35"/>
        <v/>
      </c>
      <c r="AL85" s="54">
        <f t="shared" si="36"/>
        <v>0</v>
      </c>
      <c r="AM85" s="54">
        <f t="shared" si="37"/>
        <v>0</v>
      </c>
      <c r="AN85" s="54">
        <f t="shared" si="38"/>
        <v>0</v>
      </c>
      <c r="AO85" s="54">
        <f t="shared" si="39"/>
        <v>0</v>
      </c>
      <c r="AP85" s="54">
        <f t="shared" si="40"/>
        <v>0</v>
      </c>
      <c r="AQ85" s="54">
        <f t="shared" si="41"/>
        <v>0</v>
      </c>
      <c r="AR85" s="53">
        <f t="shared" si="42"/>
        <v>0</v>
      </c>
      <c r="AS85" s="409" t="str">
        <f t="shared" si="43"/>
        <v/>
      </c>
      <c r="AT85" s="54">
        <f t="shared" si="59"/>
        <v>0</v>
      </c>
      <c r="AU85" s="54">
        <f t="shared" si="60"/>
        <v>0</v>
      </c>
      <c r="AV85" s="54">
        <f t="shared" si="61"/>
        <v>0</v>
      </c>
      <c r="AW85" s="55" t="b">
        <f t="shared" ca="1" si="62"/>
        <v>0</v>
      </c>
      <c r="AX85" s="69"/>
      <c r="AY85" s="203">
        <f t="shared" ca="1" si="63"/>
        <v>0</v>
      </c>
      <c r="AZ85" s="72">
        <f t="shared" ca="1" si="64"/>
        <v>0</v>
      </c>
      <c r="BA85" s="72">
        <f t="shared" ca="1" si="78"/>
        <v>0</v>
      </c>
      <c r="BB85" s="75">
        <f t="shared" ca="1" si="65"/>
        <v>0</v>
      </c>
      <c r="BC85" s="209">
        <f t="shared" si="66"/>
        <v>0</v>
      </c>
      <c r="BD85" s="72">
        <f t="shared" si="79"/>
        <v>0</v>
      </c>
      <c r="BE85" s="72">
        <f t="shared" si="80"/>
        <v>0</v>
      </c>
      <c r="BF85" s="72">
        <f t="shared" si="81"/>
        <v>0</v>
      </c>
      <c r="BG85" s="200">
        <f t="shared" ca="1" si="82"/>
        <v>0</v>
      </c>
      <c r="BH85" s="69"/>
      <c r="BI85" s="198">
        <f t="shared" si="18"/>
        <v>0</v>
      </c>
      <c r="BJ85" s="71">
        <f t="shared" si="19"/>
        <v>0</v>
      </c>
      <c r="BK85" s="72">
        <f t="shared" si="83"/>
        <v>0</v>
      </c>
      <c r="BL85" s="72">
        <f t="shared" ca="1" si="84"/>
        <v>0</v>
      </c>
      <c r="BM85" s="200">
        <f t="shared" ca="1" si="67"/>
        <v>0</v>
      </c>
      <c r="BN85" s="69"/>
      <c r="BO85" s="198">
        <f t="shared" si="68"/>
        <v>0</v>
      </c>
      <c r="BP85" s="72">
        <f t="shared" ca="1" si="69"/>
        <v>0</v>
      </c>
      <c r="BQ85" s="78">
        <f t="shared" si="85"/>
        <v>0</v>
      </c>
      <c r="BR85" s="78">
        <f t="shared" si="86"/>
        <v>0</v>
      </c>
      <c r="BS85" s="80">
        <f t="shared" ca="1" si="70"/>
        <v>0</v>
      </c>
      <c r="BT85" s="80">
        <f t="shared" ca="1" si="71"/>
        <v>0</v>
      </c>
      <c r="BU85" s="259" t="str">
        <f t="shared" ca="1" si="87"/>
        <v/>
      </c>
      <c r="BV85" s="206" t="str">
        <f t="shared" ca="1" si="88"/>
        <v/>
      </c>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row>
    <row r="86" spans="1:116" ht="12.75" hidden="1" customHeight="1">
      <c r="A86" s="5"/>
      <c r="B86" s="327" t="str">
        <f t="shared" si="28"/>
        <v>-</v>
      </c>
      <c r="C86" s="398">
        <v>50</v>
      </c>
      <c r="D86" s="688"/>
      <c r="E86" s="689"/>
      <c r="F86" s="476"/>
      <c r="G86" s="483"/>
      <c r="H86" s="466"/>
      <c r="I86" s="467"/>
      <c r="J86" s="489"/>
      <c r="K86" s="490"/>
      <c r="L86" s="491"/>
      <c r="M86" s="492"/>
      <c r="N86" s="373" t="str">
        <f t="shared" ca="1" si="54"/>
        <v/>
      </c>
      <c r="O86" s="374" t="str">
        <f t="shared" ca="1" si="55"/>
        <v/>
      </c>
      <c r="P86" s="375">
        <f t="shared" ca="1" si="56"/>
        <v>0</v>
      </c>
      <c r="Q86" s="384" t="str">
        <f t="shared" ca="1" si="72"/>
        <v/>
      </c>
      <c r="R86" s="385" t="str">
        <f t="shared" ca="1" si="57"/>
        <v/>
      </c>
      <c r="S86" s="386">
        <f t="shared" ca="1" si="73"/>
        <v>0</v>
      </c>
      <c r="T86" s="387" t="str">
        <f t="shared" ca="1" si="58"/>
        <v/>
      </c>
      <c r="U86" s="5"/>
      <c r="V86" s="6"/>
      <c r="W86" s="4"/>
      <c r="X86" s="4">
        <v>50</v>
      </c>
      <c r="Y86" s="104" t="str">
        <f t="shared" si="74"/>
        <v>-</v>
      </c>
      <c r="Z86" s="104">
        <f t="shared" si="75"/>
        <v>0</v>
      </c>
      <c r="AA86" s="4"/>
      <c r="AB86" s="53">
        <f t="shared" si="76"/>
        <v>0</v>
      </c>
      <c r="AC86" s="54">
        <f>IF(SUM(AB86:AB$116)=0,0,F86&gt;0)</f>
        <v>0</v>
      </c>
      <c r="AD86" s="53">
        <f t="shared" si="77"/>
        <v>0</v>
      </c>
      <c r="AE86" s="54">
        <f>IF(SUM(AB86:AB$116)=0,0,AND(AC86=FALSE,AD86=0,SUM(AD86:AD$116)&gt;0))</f>
        <v>0</v>
      </c>
      <c r="AF86" s="54">
        <f t="shared" si="30"/>
        <v>0</v>
      </c>
      <c r="AG86" s="54">
        <f t="shared" si="31"/>
        <v>0</v>
      </c>
      <c r="AH86" s="56">
        <f t="shared" si="32"/>
        <v>0</v>
      </c>
      <c r="AI86" s="56">
        <f t="shared" si="33"/>
        <v>0</v>
      </c>
      <c r="AJ86" s="54">
        <f t="shared" si="34"/>
        <v>0</v>
      </c>
      <c r="AK86" s="54" t="str">
        <f t="shared" si="35"/>
        <v/>
      </c>
      <c r="AL86" s="54">
        <f t="shared" si="36"/>
        <v>0</v>
      </c>
      <c r="AM86" s="54">
        <f t="shared" si="37"/>
        <v>0</v>
      </c>
      <c r="AN86" s="54">
        <f t="shared" si="38"/>
        <v>0</v>
      </c>
      <c r="AO86" s="54">
        <f t="shared" si="39"/>
        <v>0</v>
      </c>
      <c r="AP86" s="54">
        <f t="shared" si="40"/>
        <v>0</v>
      </c>
      <c r="AQ86" s="54">
        <f t="shared" si="41"/>
        <v>0</v>
      </c>
      <c r="AR86" s="53">
        <f t="shared" si="42"/>
        <v>0</v>
      </c>
      <c r="AS86" s="409" t="str">
        <f t="shared" si="43"/>
        <v/>
      </c>
      <c r="AT86" s="54">
        <f t="shared" si="59"/>
        <v>0</v>
      </c>
      <c r="AU86" s="54">
        <f t="shared" si="60"/>
        <v>0</v>
      </c>
      <c r="AV86" s="54">
        <f t="shared" si="61"/>
        <v>0</v>
      </c>
      <c r="AW86" s="55" t="b">
        <f t="shared" ca="1" si="62"/>
        <v>0</v>
      </c>
      <c r="AX86" s="69"/>
      <c r="AY86" s="203">
        <f t="shared" ca="1" si="63"/>
        <v>0</v>
      </c>
      <c r="AZ86" s="72">
        <f t="shared" ca="1" si="64"/>
        <v>0</v>
      </c>
      <c r="BA86" s="72">
        <f t="shared" ca="1" si="78"/>
        <v>0</v>
      </c>
      <c r="BB86" s="75">
        <f t="shared" ca="1" si="65"/>
        <v>0</v>
      </c>
      <c r="BC86" s="209">
        <f t="shared" si="66"/>
        <v>0</v>
      </c>
      <c r="BD86" s="72">
        <f t="shared" si="79"/>
        <v>0</v>
      </c>
      <c r="BE86" s="72">
        <f t="shared" si="80"/>
        <v>0</v>
      </c>
      <c r="BF86" s="72">
        <f t="shared" si="81"/>
        <v>0</v>
      </c>
      <c r="BG86" s="200">
        <f t="shared" ca="1" si="82"/>
        <v>0</v>
      </c>
      <c r="BH86" s="69"/>
      <c r="BI86" s="198">
        <f t="shared" si="18"/>
        <v>0</v>
      </c>
      <c r="BJ86" s="71">
        <f t="shared" si="19"/>
        <v>0</v>
      </c>
      <c r="BK86" s="72">
        <f t="shared" si="83"/>
        <v>0</v>
      </c>
      <c r="BL86" s="72">
        <f t="shared" ca="1" si="84"/>
        <v>0</v>
      </c>
      <c r="BM86" s="200">
        <f t="shared" ca="1" si="67"/>
        <v>0</v>
      </c>
      <c r="BN86" s="69"/>
      <c r="BO86" s="198">
        <f t="shared" si="68"/>
        <v>0</v>
      </c>
      <c r="BP86" s="72">
        <f t="shared" ca="1" si="69"/>
        <v>0</v>
      </c>
      <c r="BQ86" s="78">
        <f t="shared" si="85"/>
        <v>0</v>
      </c>
      <c r="BR86" s="78">
        <f t="shared" si="86"/>
        <v>0</v>
      </c>
      <c r="BS86" s="80">
        <f t="shared" ca="1" si="70"/>
        <v>0</v>
      </c>
      <c r="BT86" s="80">
        <f t="shared" ca="1" si="71"/>
        <v>0</v>
      </c>
      <c r="BU86" s="259" t="str">
        <f t="shared" ca="1" si="87"/>
        <v/>
      </c>
      <c r="BV86" s="206" t="str">
        <f t="shared" ca="1" si="88"/>
        <v/>
      </c>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row>
    <row r="87" spans="1:116" ht="12.75" hidden="1" customHeight="1">
      <c r="A87" s="5"/>
      <c r="B87" s="327" t="str">
        <f t="shared" si="28"/>
        <v>-</v>
      </c>
      <c r="C87" s="398">
        <v>51</v>
      </c>
      <c r="D87" s="688"/>
      <c r="E87" s="689"/>
      <c r="F87" s="476"/>
      <c r="G87" s="483"/>
      <c r="H87" s="466"/>
      <c r="I87" s="467"/>
      <c r="J87" s="489"/>
      <c r="K87" s="490"/>
      <c r="L87" s="491"/>
      <c r="M87" s="492"/>
      <c r="N87" s="373" t="str">
        <f t="shared" ca="1" si="54"/>
        <v/>
      </c>
      <c r="O87" s="374" t="str">
        <f t="shared" ca="1" si="55"/>
        <v/>
      </c>
      <c r="P87" s="375">
        <f t="shared" ca="1" si="56"/>
        <v>0</v>
      </c>
      <c r="Q87" s="384" t="str">
        <f t="shared" ca="1" si="72"/>
        <v/>
      </c>
      <c r="R87" s="385" t="str">
        <f t="shared" ca="1" si="57"/>
        <v/>
      </c>
      <c r="S87" s="386">
        <f t="shared" ca="1" si="73"/>
        <v>0</v>
      </c>
      <c r="T87" s="387" t="str">
        <f t="shared" ca="1" si="58"/>
        <v/>
      </c>
      <c r="U87" s="5"/>
      <c r="V87" s="6"/>
      <c r="W87" s="4"/>
      <c r="X87" s="4">
        <v>51</v>
      </c>
      <c r="Y87" s="104" t="str">
        <f t="shared" si="74"/>
        <v>-</v>
      </c>
      <c r="Z87" s="104">
        <f t="shared" si="75"/>
        <v>0</v>
      </c>
      <c r="AA87" s="4"/>
      <c r="AB87" s="53">
        <f t="shared" si="76"/>
        <v>0</v>
      </c>
      <c r="AC87" s="54">
        <f>IF(SUM(AB87:AB$116)=0,0,F87&gt;0)</f>
        <v>0</v>
      </c>
      <c r="AD87" s="53">
        <f t="shared" si="77"/>
        <v>0</v>
      </c>
      <c r="AE87" s="54">
        <f>IF(SUM(AB87:AB$116)=0,0,AND(AC87=FALSE,AD87=0,SUM(AD87:AD$116)&gt;0))</f>
        <v>0</v>
      </c>
      <c r="AF87" s="54">
        <f t="shared" si="30"/>
        <v>0</v>
      </c>
      <c r="AG87" s="54">
        <f t="shared" si="31"/>
        <v>0</v>
      </c>
      <c r="AH87" s="56">
        <f t="shared" si="32"/>
        <v>0</v>
      </c>
      <c r="AI87" s="56">
        <f t="shared" si="33"/>
        <v>0</v>
      </c>
      <c r="AJ87" s="54">
        <f t="shared" si="34"/>
        <v>0</v>
      </c>
      <c r="AK87" s="54" t="str">
        <f t="shared" si="35"/>
        <v/>
      </c>
      <c r="AL87" s="54">
        <f t="shared" si="36"/>
        <v>0</v>
      </c>
      <c r="AM87" s="54">
        <f t="shared" si="37"/>
        <v>0</v>
      </c>
      <c r="AN87" s="54">
        <f t="shared" si="38"/>
        <v>0</v>
      </c>
      <c r="AO87" s="54">
        <f t="shared" si="39"/>
        <v>0</v>
      </c>
      <c r="AP87" s="54">
        <f t="shared" si="40"/>
        <v>0</v>
      </c>
      <c r="AQ87" s="54">
        <f t="shared" si="41"/>
        <v>0</v>
      </c>
      <c r="AR87" s="53">
        <f t="shared" si="42"/>
        <v>0</v>
      </c>
      <c r="AS87" s="409" t="str">
        <f t="shared" si="43"/>
        <v/>
      </c>
      <c r="AT87" s="54">
        <f t="shared" si="59"/>
        <v>0</v>
      </c>
      <c r="AU87" s="54">
        <f t="shared" si="60"/>
        <v>0</v>
      </c>
      <c r="AV87" s="54">
        <f t="shared" si="61"/>
        <v>0</v>
      </c>
      <c r="AW87" s="55" t="b">
        <f t="shared" ca="1" si="62"/>
        <v>0</v>
      </c>
      <c r="AX87" s="69"/>
      <c r="AY87" s="203">
        <f t="shared" ca="1" si="63"/>
        <v>0</v>
      </c>
      <c r="AZ87" s="72">
        <f t="shared" ca="1" si="64"/>
        <v>0</v>
      </c>
      <c r="BA87" s="72">
        <f t="shared" ca="1" si="78"/>
        <v>0</v>
      </c>
      <c r="BB87" s="75">
        <f t="shared" ca="1" si="65"/>
        <v>0</v>
      </c>
      <c r="BC87" s="209">
        <f t="shared" si="66"/>
        <v>0</v>
      </c>
      <c r="BD87" s="72">
        <f t="shared" si="79"/>
        <v>0</v>
      </c>
      <c r="BE87" s="72">
        <f t="shared" si="80"/>
        <v>0</v>
      </c>
      <c r="BF87" s="72">
        <f t="shared" si="81"/>
        <v>0</v>
      </c>
      <c r="BG87" s="200">
        <f t="shared" ca="1" si="82"/>
        <v>0</v>
      </c>
      <c r="BH87" s="69"/>
      <c r="BI87" s="198">
        <f t="shared" si="18"/>
        <v>0</v>
      </c>
      <c r="BJ87" s="71">
        <f t="shared" si="19"/>
        <v>0</v>
      </c>
      <c r="BK87" s="72">
        <f t="shared" si="83"/>
        <v>0</v>
      </c>
      <c r="BL87" s="72">
        <f t="shared" ca="1" si="84"/>
        <v>0</v>
      </c>
      <c r="BM87" s="200">
        <f t="shared" ca="1" si="67"/>
        <v>0</v>
      </c>
      <c r="BN87" s="69"/>
      <c r="BO87" s="198">
        <f t="shared" si="68"/>
        <v>0</v>
      </c>
      <c r="BP87" s="72">
        <f t="shared" ca="1" si="69"/>
        <v>0</v>
      </c>
      <c r="BQ87" s="78">
        <f t="shared" si="85"/>
        <v>0</v>
      </c>
      <c r="BR87" s="78">
        <f t="shared" si="86"/>
        <v>0</v>
      </c>
      <c r="BS87" s="80">
        <f t="shared" ca="1" si="70"/>
        <v>0</v>
      </c>
      <c r="BT87" s="80">
        <f t="shared" ca="1" si="71"/>
        <v>0</v>
      </c>
      <c r="BU87" s="259" t="str">
        <f t="shared" ca="1" si="87"/>
        <v/>
      </c>
      <c r="BV87" s="206" t="str">
        <f t="shared" ca="1" si="88"/>
        <v/>
      </c>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row>
    <row r="88" spans="1:116" ht="12.75" hidden="1" customHeight="1">
      <c r="A88" s="5"/>
      <c r="B88" s="327" t="str">
        <f t="shared" si="28"/>
        <v>-</v>
      </c>
      <c r="C88" s="398">
        <v>52</v>
      </c>
      <c r="D88" s="688"/>
      <c r="E88" s="689"/>
      <c r="F88" s="476"/>
      <c r="G88" s="483"/>
      <c r="H88" s="466"/>
      <c r="I88" s="467"/>
      <c r="J88" s="489"/>
      <c r="K88" s="490"/>
      <c r="L88" s="491"/>
      <c r="M88" s="492"/>
      <c r="N88" s="373" t="str">
        <f t="shared" ca="1" si="54"/>
        <v/>
      </c>
      <c r="O88" s="374" t="str">
        <f t="shared" ca="1" si="55"/>
        <v/>
      </c>
      <c r="P88" s="375">
        <f t="shared" ca="1" si="56"/>
        <v>0</v>
      </c>
      <c r="Q88" s="384" t="str">
        <f t="shared" ca="1" si="72"/>
        <v/>
      </c>
      <c r="R88" s="385" t="str">
        <f t="shared" ca="1" si="57"/>
        <v/>
      </c>
      <c r="S88" s="386">
        <f t="shared" ca="1" si="73"/>
        <v>0</v>
      </c>
      <c r="T88" s="387" t="str">
        <f t="shared" ca="1" si="58"/>
        <v/>
      </c>
      <c r="U88" s="5"/>
      <c r="V88" s="6"/>
      <c r="W88" s="4"/>
      <c r="X88" s="4">
        <v>52</v>
      </c>
      <c r="Y88" s="104" t="str">
        <f t="shared" si="74"/>
        <v>-</v>
      </c>
      <c r="Z88" s="104">
        <f t="shared" si="75"/>
        <v>0</v>
      </c>
      <c r="AA88" s="4"/>
      <c r="AB88" s="53">
        <f t="shared" si="76"/>
        <v>0</v>
      </c>
      <c r="AC88" s="54">
        <f>IF(SUM(AB88:AB$116)=0,0,F88&gt;0)</f>
        <v>0</v>
      </c>
      <c r="AD88" s="53">
        <f t="shared" si="77"/>
        <v>0</v>
      </c>
      <c r="AE88" s="54">
        <f>IF(SUM(AB88:AB$116)=0,0,AND(AC88=FALSE,AD88=0,SUM(AD88:AD$116)&gt;0))</f>
        <v>0</v>
      </c>
      <c r="AF88" s="54">
        <f t="shared" si="30"/>
        <v>0</v>
      </c>
      <c r="AG88" s="54">
        <f t="shared" si="31"/>
        <v>0</v>
      </c>
      <c r="AH88" s="56">
        <f t="shared" si="32"/>
        <v>0</v>
      </c>
      <c r="AI88" s="56">
        <f t="shared" si="33"/>
        <v>0</v>
      </c>
      <c r="AJ88" s="54">
        <f t="shared" si="34"/>
        <v>0</v>
      </c>
      <c r="AK88" s="54" t="str">
        <f t="shared" si="35"/>
        <v/>
      </c>
      <c r="AL88" s="54">
        <f t="shared" si="36"/>
        <v>0</v>
      </c>
      <c r="AM88" s="54">
        <f t="shared" si="37"/>
        <v>0</v>
      </c>
      <c r="AN88" s="54">
        <f t="shared" si="38"/>
        <v>0</v>
      </c>
      <c r="AO88" s="54">
        <f t="shared" si="39"/>
        <v>0</v>
      </c>
      <c r="AP88" s="54">
        <f t="shared" si="40"/>
        <v>0</v>
      </c>
      <c r="AQ88" s="54">
        <f t="shared" si="41"/>
        <v>0</v>
      </c>
      <c r="AR88" s="53">
        <f t="shared" si="42"/>
        <v>0</v>
      </c>
      <c r="AS88" s="409" t="str">
        <f t="shared" si="43"/>
        <v/>
      </c>
      <c r="AT88" s="54">
        <f t="shared" si="59"/>
        <v>0</v>
      </c>
      <c r="AU88" s="54">
        <f t="shared" si="60"/>
        <v>0</v>
      </c>
      <c r="AV88" s="54">
        <f t="shared" si="61"/>
        <v>0</v>
      </c>
      <c r="AW88" s="55" t="b">
        <f t="shared" ca="1" si="62"/>
        <v>0</v>
      </c>
      <c r="AX88" s="69"/>
      <c r="AY88" s="203">
        <f t="shared" ca="1" si="63"/>
        <v>0</v>
      </c>
      <c r="AZ88" s="72">
        <f t="shared" ca="1" si="64"/>
        <v>0</v>
      </c>
      <c r="BA88" s="72">
        <f t="shared" ca="1" si="78"/>
        <v>0</v>
      </c>
      <c r="BB88" s="75">
        <f t="shared" ca="1" si="65"/>
        <v>0</v>
      </c>
      <c r="BC88" s="209">
        <f t="shared" si="66"/>
        <v>0</v>
      </c>
      <c r="BD88" s="72">
        <f t="shared" si="79"/>
        <v>0</v>
      </c>
      <c r="BE88" s="72">
        <f t="shared" si="80"/>
        <v>0</v>
      </c>
      <c r="BF88" s="72">
        <f t="shared" si="81"/>
        <v>0</v>
      </c>
      <c r="BG88" s="200">
        <f t="shared" ca="1" si="82"/>
        <v>0</v>
      </c>
      <c r="BH88" s="69"/>
      <c r="BI88" s="198">
        <f t="shared" si="18"/>
        <v>0</v>
      </c>
      <c r="BJ88" s="71">
        <f t="shared" si="19"/>
        <v>0</v>
      </c>
      <c r="BK88" s="72">
        <f t="shared" si="83"/>
        <v>0</v>
      </c>
      <c r="BL88" s="72">
        <f t="shared" ca="1" si="84"/>
        <v>0</v>
      </c>
      <c r="BM88" s="200">
        <f t="shared" ca="1" si="67"/>
        <v>0</v>
      </c>
      <c r="BN88" s="69"/>
      <c r="BO88" s="198">
        <f t="shared" si="68"/>
        <v>0</v>
      </c>
      <c r="BP88" s="72">
        <f t="shared" ca="1" si="69"/>
        <v>0</v>
      </c>
      <c r="BQ88" s="78">
        <f t="shared" si="85"/>
        <v>0</v>
      </c>
      <c r="BR88" s="78">
        <f t="shared" si="86"/>
        <v>0</v>
      </c>
      <c r="BS88" s="80">
        <f t="shared" ca="1" si="70"/>
        <v>0</v>
      </c>
      <c r="BT88" s="80">
        <f t="shared" ca="1" si="71"/>
        <v>0</v>
      </c>
      <c r="BU88" s="259" t="str">
        <f t="shared" ca="1" si="87"/>
        <v/>
      </c>
      <c r="BV88" s="206" t="str">
        <f t="shared" ca="1" si="88"/>
        <v/>
      </c>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row>
    <row r="89" spans="1:116" ht="12.75" hidden="1" customHeight="1">
      <c r="A89" s="5"/>
      <c r="B89" s="327" t="str">
        <f t="shared" si="28"/>
        <v>-</v>
      </c>
      <c r="C89" s="398">
        <v>53</v>
      </c>
      <c r="D89" s="688"/>
      <c r="E89" s="689"/>
      <c r="F89" s="476"/>
      <c r="G89" s="483"/>
      <c r="H89" s="466"/>
      <c r="I89" s="467"/>
      <c r="J89" s="489"/>
      <c r="K89" s="490"/>
      <c r="L89" s="491"/>
      <c r="M89" s="492"/>
      <c r="N89" s="373" t="str">
        <f t="shared" ca="1" si="54"/>
        <v/>
      </c>
      <c r="O89" s="374" t="str">
        <f t="shared" ca="1" si="55"/>
        <v/>
      </c>
      <c r="P89" s="375">
        <f t="shared" ca="1" si="56"/>
        <v>0</v>
      </c>
      <c r="Q89" s="384" t="str">
        <f t="shared" ca="1" si="72"/>
        <v/>
      </c>
      <c r="R89" s="385" t="str">
        <f t="shared" ca="1" si="57"/>
        <v/>
      </c>
      <c r="S89" s="386">
        <f t="shared" ca="1" si="73"/>
        <v>0</v>
      </c>
      <c r="T89" s="387" t="str">
        <f t="shared" ca="1" si="58"/>
        <v/>
      </c>
      <c r="U89" s="5"/>
      <c r="V89" s="6"/>
      <c r="W89" s="4"/>
      <c r="X89" s="4">
        <v>53</v>
      </c>
      <c r="Y89" s="104" t="str">
        <f t="shared" si="74"/>
        <v>-</v>
      </c>
      <c r="Z89" s="104">
        <f t="shared" si="75"/>
        <v>0</v>
      </c>
      <c r="AA89" s="4"/>
      <c r="AB89" s="53">
        <f t="shared" si="76"/>
        <v>0</v>
      </c>
      <c r="AC89" s="54">
        <f>IF(SUM(AB89:AB$116)=0,0,F89&gt;0)</f>
        <v>0</v>
      </c>
      <c r="AD89" s="53">
        <f t="shared" si="77"/>
        <v>0</v>
      </c>
      <c r="AE89" s="54">
        <f>IF(SUM(AB89:AB$116)=0,0,AND(AC89=FALSE,AD89=0,SUM(AD89:AD$116)&gt;0))</f>
        <v>0</v>
      </c>
      <c r="AF89" s="54">
        <f t="shared" si="30"/>
        <v>0</v>
      </c>
      <c r="AG89" s="54">
        <f t="shared" si="31"/>
        <v>0</v>
      </c>
      <c r="AH89" s="56">
        <f t="shared" si="32"/>
        <v>0</v>
      </c>
      <c r="AI89" s="56">
        <f t="shared" si="33"/>
        <v>0</v>
      </c>
      <c r="AJ89" s="54">
        <f t="shared" si="34"/>
        <v>0</v>
      </c>
      <c r="AK89" s="54" t="str">
        <f t="shared" si="35"/>
        <v/>
      </c>
      <c r="AL89" s="54">
        <f t="shared" si="36"/>
        <v>0</v>
      </c>
      <c r="AM89" s="54">
        <f t="shared" si="37"/>
        <v>0</v>
      </c>
      <c r="AN89" s="54">
        <f t="shared" si="38"/>
        <v>0</v>
      </c>
      <c r="AO89" s="54">
        <f t="shared" si="39"/>
        <v>0</v>
      </c>
      <c r="AP89" s="54">
        <f t="shared" si="40"/>
        <v>0</v>
      </c>
      <c r="AQ89" s="54">
        <f t="shared" si="41"/>
        <v>0</v>
      </c>
      <c r="AR89" s="53">
        <f t="shared" si="42"/>
        <v>0</v>
      </c>
      <c r="AS89" s="409" t="str">
        <f t="shared" si="43"/>
        <v/>
      </c>
      <c r="AT89" s="54">
        <f t="shared" si="59"/>
        <v>0</v>
      </c>
      <c r="AU89" s="54">
        <f t="shared" si="60"/>
        <v>0</v>
      </c>
      <c r="AV89" s="54">
        <f t="shared" si="61"/>
        <v>0</v>
      </c>
      <c r="AW89" s="55" t="b">
        <f t="shared" ca="1" si="62"/>
        <v>0</v>
      </c>
      <c r="AX89" s="69"/>
      <c r="AY89" s="203">
        <f t="shared" ca="1" si="63"/>
        <v>0</v>
      </c>
      <c r="AZ89" s="72">
        <f t="shared" ca="1" si="64"/>
        <v>0</v>
      </c>
      <c r="BA89" s="72">
        <f t="shared" ca="1" si="78"/>
        <v>0</v>
      </c>
      <c r="BB89" s="75">
        <f t="shared" ca="1" si="65"/>
        <v>0</v>
      </c>
      <c r="BC89" s="209">
        <f t="shared" si="66"/>
        <v>0</v>
      </c>
      <c r="BD89" s="72">
        <f t="shared" si="79"/>
        <v>0</v>
      </c>
      <c r="BE89" s="72">
        <f t="shared" si="80"/>
        <v>0</v>
      </c>
      <c r="BF89" s="72">
        <f t="shared" si="81"/>
        <v>0</v>
      </c>
      <c r="BG89" s="200">
        <f t="shared" ca="1" si="82"/>
        <v>0</v>
      </c>
      <c r="BH89" s="69"/>
      <c r="BI89" s="198">
        <f t="shared" si="18"/>
        <v>0</v>
      </c>
      <c r="BJ89" s="71">
        <f t="shared" si="19"/>
        <v>0</v>
      </c>
      <c r="BK89" s="72">
        <f t="shared" si="83"/>
        <v>0</v>
      </c>
      <c r="BL89" s="72">
        <f t="shared" ca="1" si="84"/>
        <v>0</v>
      </c>
      <c r="BM89" s="200">
        <f t="shared" ca="1" si="67"/>
        <v>0</v>
      </c>
      <c r="BN89" s="69"/>
      <c r="BO89" s="198">
        <f t="shared" si="68"/>
        <v>0</v>
      </c>
      <c r="BP89" s="72">
        <f t="shared" ca="1" si="69"/>
        <v>0</v>
      </c>
      <c r="BQ89" s="78">
        <f t="shared" si="85"/>
        <v>0</v>
      </c>
      <c r="BR89" s="78">
        <f t="shared" si="86"/>
        <v>0</v>
      </c>
      <c r="BS89" s="80">
        <f t="shared" ca="1" si="70"/>
        <v>0</v>
      </c>
      <c r="BT89" s="80">
        <f t="shared" ca="1" si="71"/>
        <v>0</v>
      </c>
      <c r="BU89" s="259" t="str">
        <f t="shared" ca="1" si="87"/>
        <v/>
      </c>
      <c r="BV89" s="206" t="str">
        <f t="shared" ca="1" si="88"/>
        <v/>
      </c>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row>
    <row r="90" spans="1:116" ht="12.75" hidden="1" customHeight="1">
      <c r="A90" s="5"/>
      <c r="B90" s="327" t="str">
        <f t="shared" si="28"/>
        <v>-</v>
      </c>
      <c r="C90" s="398">
        <v>54</v>
      </c>
      <c r="D90" s="688"/>
      <c r="E90" s="689"/>
      <c r="F90" s="476"/>
      <c r="G90" s="483"/>
      <c r="H90" s="466"/>
      <c r="I90" s="467"/>
      <c r="J90" s="489"/>
      <c r="K90" s="490"/>
      <c r="L90" s="491"/>
      <c r="M90" s="492"/>
      <c r="N90" s="373" t="str">
        <f t="shared" ca="1" si="54"/>
        <v/>
      </c>
      <c r="O90" s="374" t="str">
        <f t="shared" ca="1" si="55"/>
        <v/>
      </c>
      <c r="P90" s="375">
        <f t="shared" ca="1" si="56"/>
        <v>0</v>
      </c>
      <c r="Q90" s="384" t="str">
        <f t="shared" ca="1" si="72"/>
        <v/>
      </c>
      <c r="R90" s="385" t="str">
        <f t="shared" ca="1" si="57"/>
        <v/>
      </c>
      <c r="S90" s="386">
        <f t="shared" ca="1" si="73"/>
        <v>0</v>
      </c>
      <c r="T90" s="387" t="str">
        <f t="shared" ca="1" si="58"/>
        <v/>
      </c>
      <c r="U90" s="5"/>
      <c r="V90" s="6"/>
      <c r="W90" s="4"/>
      <c r="X90" s="4">
        <v>54</v>
      </c>
      <c r="Y90" s="104" t="str">
        <f t="shared" si="74"/>
        <v>-</v>
      </c>
      <c r="Z90" s="104">
        <f t="shared" si="75"/>
        <v>0</v>
      </c>
      <c r="AA90" s="4"/>
      <c r="AB90" s="53">
        <f t="shared" si="76"/>
        <v>0</v>
      </c>
      <c r="AC90" s="54">
        <f>IF(SUM(AB90:AB$116)=0,0,F90&gt;0)</f>
        <v>0</v>
      </c>
      <c r="AD90" s="53">
        <f t="shared" si="77"/>
        <v>0</v>
      </c>
      <c r="AE90" s="54">
        <f>IF(SUM(AB90:AB$116)=0,0,AND(AC90=FALSE,AD90=0,SUM(AD90:AD$116)&gt;0))</f>
        <v>0</v>
      </c>
      <c r="AF90" s="54">
        <f t="shared" si="30"/>
        <v>0</v>
      </c>
      <c r="AG90" s="54">
        <f t="shared" si="31"/>
        <v>0</v>
      </c>
      <c r="AH90" s="56">
        <f t="shared" si="32"/>
        <v>0</v>
      </c>
      <c r="AI90" s="56">
        <f t="shared" si="33"/>
        <v>0</v>
      </c>
      <c r="AJ90" s="54">
        <f t="shared" si="34"/>
        <v>0</v>
      </c>
      <c r="AK90" s="54" t="str">
        <f t="shared" si="35"/>
        <v/>
      </c>
      <c r="AL90" s="54">
        <f t="shared" si="36"/>
        <v>0</v>
      </c>
      <c r="AM90" s="54">
        <f t="shared" si="37"/>
        <v>0</v>
      </c>
      <c r="AN90" s="54">
        <f t="shared" si="38"/>
        <v>0</v>
      </c>
      <c r="AO90" s="54">
        <f t="shared" si="39"/>
        <v>0</v>
      </c>
      <c r="AP90" s="54">
        <f t="shared" si="40"/>
        <v>0</v>
      </c>
      <c r="AQ90" s="54">
        <f t="shared" si="41"/>
        <v>0</v>
      </c>
      <c r="AR90" s="53">
        <f t="shared" si="42"/>
        <v>0</v>
      </c>
      <c r="AS90" s="409" t="str">
        <f t="shared" si="43"/>
        <v/>
      </c>
      <c r="AT90" s="54">
        <f t="shared" si="59"/>
        <v>0</v>
      </c>
      <c r="AU90" s="54">
        <f t="shared" si="60"/>
        <v>0</v>
      </c>
      <c r="AV90" s="54">
        <f t="shared" si="61"/>
        <v>0</v>
      </c>
      <c r="AW90" s="55" t="b">
        <f t="shared" ca="1" si="62"/>
        <v>0</v>
      </c>
      <c r="AX90" s="69"/>
      <c r="AY90" s="203">
        <f t="shared" ca="1" si="63"/>
        <v>0</v>
      </c>
      <c r="AZ90" s="72">
        <f t="shared" ca="1" si="64"/>
        <v>0</v>
      </c>
      <c r="BA90" s="72">
        <f t="shared" ca="1" si="78"/>
        <v>0</v>
      </c>
      <c r="BB90" s="75">
        <f t="shared" ca="1" si="65"/>
        <v>0</v>
      </c>
      <c r="BC90" s="209">
        <f t="shared" si="66"/>
        <v>0</v>
      </c>
      <c r="BD90" s="72">
        <f t="shared" si="79"/>
        <v>0</v>
      </c>
      <c r="BE90" s="72">
        <f t="shared" si="80"/>
        <v>0</v>
      </c>
      <c r="BF90" s="72">
        <f t="shared" si="81"/>
        <v>0</v>
      </c>
      <c r="BG90" s="200">
        <f t="shared" ca="1" si="82"/>
        <v>0</v>
      </c>
      <c r="BH90" s="69"/>
      <c r="BI90" s="198">
        <f t="shared" si="18"/>
        <v>0</v>
      </c>
      <c r="BJ90" s="71">
        <f t="shared" si="19"/>
        <v>0</v>
      </c>
      <c r="BK90" s="72">
        <f t="shared" si="83"/>
        <v>0</v>
      </c>
      <c r="BL90" s="72">
        <f t="shared" ca="1" si="84"/>
        <v>0</v>
      </c>
      <c r="BM90" s="200">
        <f t="shared" ca="1" si="67"/>
        <v>0</v>
      </c>
      <c r="BN90" s="69"/>
      <c r="BO90" s="198">
        <f t="shared" si="68"/>
        <v>0</v>
      </c>
      <c r="BP90" s="72">
        <f t="shared" ca="1" si="69"/>
        <v>0</v>
      </c>
      <c r="BQ90" s="78">
        <f t="shared" si="85"/>
        <v>0</v>
      </c>
      <c r="BR90" s="78">
        <f t="shared" si="86"/>
        <v>0</v>
      </c>
      <c r="BS90" s="80">
        <f t="shared" ca="1" si="70"/>
        <v>0</v>
      </c>
      <c r="BT90" s="80">
        <f t="shared" ca="1" si="71"/>
        <v>0</v>
      </c>
      <c r="BU90" s="259" t="str">
        <f t="shared" ca="1" si="87"/>
        <v/>
      </c>
      <c r="BV90" s="206" t="str">
        <f t="shared" ca="1" si="88"/>
        <v/>
      </c>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row>
    <row r="91" spans="1:116" ht="12.75" hidden="1" customHeight="1">
      <c r="A91" s="5"/>
      <c r="B91" s="327" t="str">
        <f t="shared" si="28"/>
        <v>-</v>
      </c>
      <c r="C91" s="398">
        <v>55</v>
      </c>
      <c r="D91" s="688"/>
      <c r="E91" s="689"/>
      <c r="F91" s="476"/>
      <c r="G91" s="483"/>
      <c r="H91" s="466"/>
      <c r="I91" s="467"/>
      <c r="J91" s="489"/>
      <c r="K91" s="490"/>
      <c r="L91" s="491"/>
      <c r="M91" s="492"/>
      <c r="N91" s="373" t="str">
        <f t="shared" ca="1" si="54"/>
        <v/>
      </c>
      <c r="O91" s="374" t="str">
        <f t="shared" ca="1" si="55"/>
        <v/>
      </c>
      <c r="P91" s="375">
        <f t="shared" ca="1" si="56"/>
        <v>0</v>
      </c>
      <c r="Q91" s="384" t="str">
        <f t="shared" ca="1" si="72"/>
        <v/>
      </c>
      <c r="R91" s="385" t="str">
        <f t="shared" ca="1" si="57"/>
        <v/>
      </c>
      <c r="S91" s="386">
        <f t="shared" ca="1" si="73"/>
        <v>0</v>
      </c>
      <c r="T91" s="387" t="str">
        <f t="shared" ca="1" si="58"/>
        <v/>
      </c>
      <c r="U91" s="5"/>
      <c r="V91" s="6"/>
      <c r="W91" s="4"/>
      <c r="X91" s="4">
        <v>55</v>
      </c>
      <c r="Y91" s="104" t="str">
        <f t="shared" si="74"/>
        <v>-</v>
      </c>
      <c r="Z91" s="104">
        <f t="shared" si="75"/>
        <v>0</v>
      </c>
      <c r="AA91" s="4"/>
      <c r="AB91" s="53">
        <f t="shared" si="76"/>
        <v>0</v>
      </c>
      <c r="AC91" s="54">
        <f>IF(SUM(AB91:AB$116)=0,0,F91&gt;0)</f>
        <v>0</v>
      </c>
      <c r="AD91" s="53">
        <f t="shared" si="77"/>
        <v>0</v>
      </c>
      <c r="AE91" s="54">
        <f>IF(SUM(AB91:AB$116)=0,0,AND(AC91=FALSE,AD91=0,SUM(AD91:AD$116)&gt;0))</f>
        <v>0</v>
      </c>
      <c r="AF91" s="54">
        <f t="shared" si="30"/>
        <v>0</v>
      </c>
      <c r="AG91" s="54">
        <f t="shared" si="31"/>
        <v>0</v>
      </c>
      <c r="AH91" s="56">
        <f t="shared" si="32"/>
        <v>0</v>
      </c>
      <c r="AI91" s="56">
        <f t="shared" si="33"/>
        <v>0</v>
      </c>
      <c r="AJ91" s="54">
        <f t="shared" si="34"/>
        <v>0</v>
      </c>
      <c r="AK91" s="54" t="str">
        <f t="shared" si="35"/>
        <v/>
      </c>
      <c r="AL91" s="54">
        <f t="shared" si="36"/>
        <v>0</v>
      </c>
      <c r="AM91" s="54">
        <f t="shared" si="37"/>
        <v>0</v>
      </c>
      <c r="AN91" s="54">
        <f t="shared" si="38"/>
        <v>0</v>
      </c>
      <c r="AO91" s="54">
        <f t="shared" si="39"/>
        <v>0</v>
      </c>
      <c r="AP91" s="54">
        <f t="shared" si="40"/>
        <v>0</v>
      </c>
      <c r="AQ91" s="54">
        <f t="shared" si="41"/>
        <v>0</v>
      </c>
      <c r="AR91" s="53">
        <f t="shared" si="42"/>
        <v>0</v>
      </c>
      <c r="AS91" s="409" t="str">
        <f t="shared" si="43"/>
        <v/>
      </c>
      <c r="AT91" s="54">
        <f t="shared" si="59"/>
        <v>0</v>
      </c>
      <c r="AU91" s="54">
        <f t="shared" si="60"/>
        <v>0</v>
      </c>
      <c r="AV91" s="54">
        <f t="shared" si="61"/>
        <v>0</v>
      </c>
      <c r="AW91" s="55" t="b">
        <f t="shared" ca="1" si="62"/>
        <v>0</v>
      </c>
      <c r="AX91" s="69"/>
      <c r="AY91" s="203">
        <f t="shared" ca="1" si="63"/>
        <v>0</v>
      </c>
      <c r="AZ91" s="72">
        <f t="shared" ca="1" si="64"/>
        <v>0</v>
      </c>
      <c r="BA91" s="72">
        <f t="shared" ca="1" si="78"/>
        <v>0</v>
      </c>
      <c r="BB91" s="75">
        <f t="shared" ca="1" si="65"/>
        <v>0</v>
      </c>
      <c r="BC91" s="209">
        <f t="shared" si="66"/>
        <v>0</v>
      </c>
      <c r="BD91" s="72">
        <f t="shared" si="79"/>
        <v>0</v>
      </c>
      <c r="BE91" s="72">
        <f t="shared" si="80"/>
        <v>0</v>
      </c>
      <c r="BF91" s="72">
        <f t="shared" si="81"/>
        <v>0</v>
      </c>
      <c r="BG91" s="200">
        <f t="shared" ca="1" si="82"/>
        <v>0</v>
      </c>
      <c r="BH91" s="69"/>
      <c r="BI91" s="198">
        <f t="shared" si="18"/>
        <v>0</v>
      </c>
      <c r="BJ91" s="71">
        <f t="shared" si="19"/>
        <v>0</v>
      </c>
      <c r="BK91" s="72">
        <f t="shared" si="83"/>
        <v>0</v>
      </c>
      <c r="BL91" s="72">
        <f t="shared" ca="1" si="84"/>
        <v>0</v>
      </c>
      <c r="BM91" s="200">
        <f t="shared" ca="1" si="67"/>
        <v>0</v>
      </c>
      <c r="BN91" s="69"/>
      <c r="BO91" s="198">
        <f t="shared" si="68"/>
        <v>0</v>
      </c>
      <c r="BP91" s="72">
        <f t="shared" ca="1" si="69"/>
        <v>0</v>
      </c>
      <c r="BQ91" s="78">
        <f t="shared" si="85"/>
        <v>0</v>
      </c>
      <c r="BR91" s="78">
        <f t="shared" si="86"/>
        <v>0</v>
      </c>
      <c r="BS91" s="80">
        <f t="shared" ca="1" si="70"/>
        <v>0</v>
      </c>
      <c r="BT91" s="80">
        <f t="shared" ca="1" si="71"/>
        <v>0</v>
      </c>
      <c r="BU91" s="259" t="str">
        <f t="shared" ca="1" si="87"/>
        <v/>
      </c>
      <c r="BV91" s="206" t="str">
        <f t="shared" ca="1" si="88"/>
        <v/>
      </c>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row>
    <row r="92" spans="1:116" ht="12.75" hidden="1" customHeight="1">
      <c r="A92" s="5"/>
      <c r="B92" s="327" t="str">
        <f t="shared" si="28"/>
        <v>-</v>
      </c>
      <c r="C92" s="398">
        <v>56</v>
      </c>
      <c r="D92" s="688"/>
      <c r="E92" s="689"/>
      <c r="F92" s="476"/>
      <c r="G92" s="483"/>
      <c r="H92" s="466"/>
      <c r="I92" s="467"/>
      <c r="J92" s="489"/>
      <c r="K92" s="490"/>
      <c r="L92" s="491"/>
      <c r="M92" s="492"/>
      <c r="N92" s="373" t="str">
        <f t="shared" ca="1" si="54"/>
        <v/>
      </c>
      <c r="O92" s="374" t="str">
        <f t="shared" ca="1" si="55"/>
        <v/>
      </c>
      <c r="P92" s="375">
        <f t="shared" ca="1" si="56"/>
        <v>0</v>
      </c>
      <c r="Q92" s="384" t="str">
        <f t="shared" ca="1" si="72"/>
        <v/>
      </c>
      <c r="R92" s="385" t="str">
        <f t="shared" ca="1" si="57"/>
        <v/>
      </c>
      <c r="S92" s="386">
        <f t="shared" ca="1" si="73"/>
        <v>0</v>
      </c>
      <c r="T92" s="387" t="str">
        <f t="shared" ca="1" si="58"/>
        <v/>
      </c>
      <c r="U92" s="5"/>
      <c r="V92" s="6"/>
      <c r="W92" s="4"/>
      <c r="X92" s="4">
        <v>56</v>
      </c>
      <c r="Y92" s="104" t="str">
        <f t="shared" si="74"/>
        <v>-</v>
      </c>
      <c r="Z92" s="104">
        <f t="shared" si="75"/>
        <v>0</v>
      </c>
      <c r="AA92" s="4"/>
      <c r="AB92" s="53">
        <f t="shared" si="76"/>
        <v>0</v>
      </c>
      <c r="AC92" s="54">
        <f>IF(SUM(AB92:AB$116)=0,0,F92&gt;0)</f>
        <v>0</v>
      </c>
      <c r="AD92" s="53">
        <f t="shared" si="77"/>
        <v>0</v>
      </c>
      <c r="AE92" s="54">
        <f>IF(SUM(AB92:AB$116)=0,0,AND(AC92=FALSE,AD92=0,SUM(AD92:AD$116)&gt;0))</f>
        <v>0</v>
      </c>
      <c r="AF92" s="54">
        <f t="shared" si="30"/>
        <v>0</v>
      </c>
      <c r="AG92" s="54">
        <f t="shared" si="31"/>
        <v>0</v>
      </c>
      <c r="AH92" s="56">
        <f t="shared" si="32"/>
        <v>0</v>
      </c>
      <c r="AI92" s="56">
        <f t="shared" si="33"/>
        <v>0</v>
      </c>
      <c r="AJ92" s="54">
        <f t="shared" si="34"/>
        <v>0</v>
      </c>
      <c r="AK92" s="54" t="str">
        <f t="shared" si="35"/>
        <v/>
      </c>
      <c r="AL92" s="54">
        <f t="shared" si="36"/>
        <v>0</v>
      </c>
      <c r="AM92" s="54">
        <f t="shared" si="37"/>
        <v>0</v>
      </c>
      <c r="AN92" s="54">
        <f t="shared" si="38"/>
        <v>0</v>
      </c>
      <c r="AO92" s="54">
        <f t="shared" si="39"/>
        <v>0</v>
      </c>
      <c r="AP92" s="54">
        <f t="shared" si="40"/>
        <v>0</v>
      </c>
      <c r="AQ92" s="54">
        <f t="shared" si="41"/>
        <v>0</v>
      </c>
      <c r="AR92" s="53">
        <f t="shared" si="42"/>
        <v>0</v>
      </c>
      <c r="AS92" s="409" t="str">
        <f t="shared" si="43"/>
        <v/>
      </c>
      <c r="AT92" s="54">
        <f t="shared" si="59"/>
        <v>0</v>
      </c>
      <c r="AU92" s="54">
        <f t="shared" si="60"/>
        <v>0</v>
      </c>
      <c r="AV92" s="54">
        <f t="shared" si="61"/>
        <v>0</v>
      </c>
      <c r="AW92" s="55" t="b">
        <f t="shared" ca="1" si="62"/>
        <v>0</v>
      </c>
      <c r="AX92" s="69"/>
      <c r="AY92" s="203">
        <f t="shared" ca="1" si="63"/>
        <v>0</v>
      </c>
      <c r="AZ92" s="72">
        <f t="shared" ca="1" si="64"/>
        <v>0</v>
      </c>
      <c r="BA92" s="72">
        <f t="shared" ca="1" si="78"/>
        <v>0</v>
      </c>
      <c r="BB92" s="75">
        <f t="shared" ca="1" si="65"/>
        <v>0</v>
      </c>
      <c r="BC92" s="209">
        <f t="shared" si="66"/>
        <v>0</v>
      </c>
      <c r="BD92" s="72">
        <f t="shared" si="79"/>
        <v>0</v>
      </c>
      <c r="BE92" s="72">
        <f t="shared" si="80"/>
        <v>0</v>
      </c>
      <c r="BF92" s="72">
        <f t="shared" si="81"/>
        <v>0</v>
      </c>
      <c r="BG92" s="200">
        <f t="shared" ca="1" si="82"/>
        <v>0</v>
      </c>
      <c r="BH92" s="69"/>
      <c r="BI92" s="198">
        <f t="shared" si="18"/>
        <v>0</v>
      </c>
      <c r="BJ92" s="71">
        <f t="shared" si="19"/>
        <v>0</v>
      </c>
      <c r="BK92" s="72">
        <f t="shared" si="83"/>
        <v>0</v>
      </c>
      <c r="BL92" s="72">
        <f t="shared" ca="1" si="84"/>
        <v>0</v>
      </c>
      <c r="BM92" s="200">
        <f t="shared" ca="1" si="67"/>
        <v>0</v>
      </c>
      <c r="BN92" s="69"/>
      <c r="BO92" s="198">
        <f t="shared" si="68"/>
        <v>0</v>
      </c>
      <c r="BP92" s="72">
        <f t="shared" ca="1" si="69"/>
        <v>0</v>
      </c>
      <c r="BQ92" s="78">
        <f t="shared" si="85"/>
        <v>0</v>
      </c>
      <c r="BR92" s="78">
        <f t="shared" si="86"/>
        <v>0</v>
      </c>
      <c r="BS92" s="80">
        <f t="shared" ca="1" si="70"/>
        <v>0</v>
      </c>
      <c r="BT92" s="80">
        <f t="shared" ca="1" si="71"/>
        <v>0</v>
      </c>
      <c r="BU92" s="259" t="str">
        <f t="shared" ca="1" si="87"/>
        <v/>
      </c>
      <c r="BV92" s="206" t="str">
        <f t="shared" ca="1" si="88"/>
        <v/>
      </c>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row>
    <row r="93" spans="1:116" ht="12.75" hidden="1" customHeight="1">
      <c r="A93" s="5"/>
      <c r="B93" s="327" t="str">
        <f t="shared" si="28"/>
        <v>-</v>
      </c>
      <c r="C93" s="398">
        <v>57</v>
      </c>
      <c r="D93" s="688"/>
      <c r="E93" s="689"/>
      <c r="F93" s="476"/>
      <c r="G93" s="483"/>
      <c r="H93" s="466"/>
      <c r="I93" s="467"/>
      <c r="J93" s="489"/>
      <c r="K93" s="490"/>
      <c r="L93" s="491"/>
      <c r="M93" s="492"/>
      <c r="N93" s="373" t="str">
        <f t="shared" ca="1" si="54"/>
        <v/>
      </c>
      <c r="O93" s="374" t="str">
        <f t="shared" ca="1" si="55"/>
        <v/>
      </c>
      <c r="P93" s="375">
        <f t="shared" ca="1" si="56"/>
        <v>0</v>
      </c>
      <c r="Q93" s="384" t="str">
        <f t="shared" ca="1" si="72"/>
        <v/>
      </c>
      <c r="R93" s="385" t="str">
        <f t="shared" ca="1" si="57"/>
        <v/>
      </c>
      <c r="S93" s="386">
        <f t="shared" ca="1" si="73"/>
        <v>0</v>
      </c>
      <c r="T93" s="387" t="str">
        <f t="shared" ca="1" si="58"/>
        <v/>
      </c>
      <c r="U93" s="5"/>
      <c r="V93" s="6"/>
      <c r="W93" s="4"/>
      <c r="X93" s="4">
        <v>57</v>
      </c>
      <c r="Y93" s="104" t="str">
        <f t="shared" si="74"/>
        <v>-</v>
      </c>
      <c r="Z93" s="104">
        <f t="shared" si="75"/>
        <v>0</v>
      </c>
      <c r="AA93" s="4"/>
      <c r="AB93" s="53">
        <f t="shared" si="76"/>
        <v>0</v>
      </c>
      <c r="AC93" s="54">
        <f>IF(SUM(AB93:AB$116)=0,0,F93&gt;0)</f>
        <v>0</v>
      </c>
      <c r="AD93" s="53">
        <f t="shared" si="77"/>
        <v>0</v>
      </c>
      <c r="AE93" s="54">
        <f>IF(SUM(AB93:AB$116)=0,0,AND(AC93=FALSE,AD93=0,SUM(AD93:AD$116)&gt;0))</f>
        <v>0</v>
      </c>
      <c r="AF93" s="54">
        <f t="shared" si="30"/>
        <v>0</v>
      </c>
      <c r="AG93" s="54">
        <f t="shared" si="31"/>
        <v>0</v>
      </c>
      <c r="AH93" s="56">
        <f t="shared" si="32"/>
        <v>0</v>
      </c>
      <c r="AI93" s="56">
        <f t="shared" si="33"/>
        <v>0</v>
      </c>
      <c r="AJ93" s="54">
        <f t="shared" si="34"/>
        <v>0</v>
      </c>
      <c r="AK93" s="54" t="str">
        <f t="shared" si="35"/>
        <v/>
      </c>
      <c r="AL93" s="54">
        <f t="shared" si="36"/>
        <v>0</v>
      </c>
      <c r="AM93" s="54">
        <f t="shared" si="37"/>
        <v>0</v>
      </c>
      <c r="AN93" s="54">
        <f t="shared" si="38"/>
        <v>0</v>
      </c>
      <c r="AO93" s="54">
        <f t="shared" si="39"/>
        <v>0</v>
      </c>
      <c r="AP93" s="54">
        <f t="shared" si="40"/>
        <v>0</v>
      </c>
      <c r="AQ93" s="54">
        <f t="shared" si="41"/>
        <v>0</v>
      </c>
      <c r="AR93" s="53">
        <f t="shared" si="42"/>
        <v>0</v>
      </c>
      <c r="AS93" s="409" t="str">
        <f t="shared" si="43"/>
        <v/>
      </c>
      <c r="AT93" s="54">
        <f t="shared" si="59"/>
        <v>0</v>
      </c>
      <c r="AU93" s="54">
        <f t="shared" si="60"/>
        <v>0</v>
      </c>
      <c r="AV93" s="54">
        <f t="shared" si="61"/>
        <v>0</v>
      </c>
      <c r="AW93" s="55" t="b">
        <f t="shared" ca="1" si="62"/>
        <v>0</v>
      </c>
      <c r="AX93" s="69"/>
      <c r="AY93" s="203">
        <f t="shared" ca="1" si="63"/>
        <v>0</v>
      </c>
      <c r="AZ93" s="72">
        <f t="shared" ca="1" si="64"/>
        <v>0</v>
      </c>
      <c r="BA93" s="72">
        <f t="shared" ca="1" si="78"/>
        <v>0</v>
      </c>
      <c r="BB93" s="75">
        <f t="shared" ca="1" si="65"/>
        <v>0</v>
      </c>
      <c r="BC93" s="209">
        <f t="shared" si="66"/>
        <v>0</v>
      </c>
      <c r="BD93" s="72">
        <f t="shared" si="79"/>
        <v>0</v>
      </c>
      <c r="BE93" s="72">
        <f t="shared" si="80"/>
        <v>0</v>
      </c>
      <c r="BF93" s="72">
        <f t="shared" si="81"/>
        <v>0</v>
      </c>
      <c r="BG93" s="200">
        <f t="shared" ca="1" si="82"/>
        <v>0</v>
      </c>
      <c r="BH93" s="69"/>
      <c r="BI93" s="198">
        <f t="shared" si="18"/>
        <v>0</v>
      </c>
      <c r="BJ93" s="71">
        <f t="shared" si="19"/>
        <v>0</v>
      </c>
      <c r="BK93" s="72">
        <f t="shared" si="83"/>
        <v>0</v>
      </c>
      <c r="BL93" s="72">
        <f t="shared" ca="1" si="84"/>
        <v>0</v>
      </c>
      <c r="BM93" s="200">
        <f t="shared" ca="1" si="67"/>
        <v>0</v>
      </c>
      <c r="BN93" s="69"/>
      <c r="BO93" s="198">
        <f t="shared" si="68"/>
        <v>0</v>
      </c>
      <c r="BP93" s="72">
        <f t="shared" ca="1" si="69"/>
        <v>0</v>
      </c>
      <c r="BQ93" s="78">
        <f t="shared" si="85"/>
        <v>0</v>
      </c>
      <c r="BR93" s="78">
        <f t="shared" si="86"/>
        <v>0</v>
      </c>
      <c r="BS93" s="80">
        <f t="shared" ca="1" si="70"/>
        <v>0</v>
      </c>
      <c r="BT93" s="80">
        <f t="shared" ca="1" si="71"/>
        <v>0</v>
      </c>
      <c r="BU93" s="259" t="str">
        <f t="shared" ca="1" si="87"/>
        <v/>
      </c>
      <c r="BV93" s="206" t="str">
        <f t="shared" ca="1" si="88"/>
        <v/>
      </c>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row>
    <row r="94" spans="1:116" ht="12.75" hidden="1" customHeight="1">
      <c r="A94" s="5"/>
      <c r="B94" s="327" t="str">
        <f t="shared" si="28"/>
        <v>-</v>
      </c>
      <c r="C94" s="398">
        <v>58</v>
      </c>
      <c r="D94" s="688"/>
      <c r="E94" s="689"/>
      <c r="F94" s="476"/>
      <c r="G94" s="483"/>
      <c r="H94" s="466"/>
      <c r="I94" s="467"/>
      <c r="J94" s="489"/>
      <c r="K94" s="490"/>
      <c r="L94" s="491"/>
      <c r="M94" s="492"/>
      <c r="N94" s="373" t="str">
        <f t="shared" ca="1" si="54"/>
        <v/>
      </c>
      <c r="O94" s="374" t="str">
        <f t="shared" ca="1" si="55"/>
        <v/>
      </c>
      <c r="P94" s="375">
        <f t="shared" ca="1" si="56"/>
        <v>0</v>
      </c>
      <c r="Q94" s="384" t="str">
        <f t="shared" ca="1" si="72"/>
        <v/>
      </c>
      <c r="R94" s="385" t="str">
        <f t="shared" ca="1" si="57"/>
        <v/>
      </c>
      <c r="S94" s="386">
        <f t="shared" ca="1" si="73"/>
        <v>0</v>
      </c>
      <c r="T94" s="387" t="str">
        <f t="shared" ca="1" si="58"/>
        <v/>
      </c>
      <c r="U94" s="5"/>
      <c r="V94" s="6"/>
      <c r="W94" s="4"/>
      <c r="X94" s="4">
        <v>58</v>
      </c>
      <c r="Y94" s="104" t="str">
        <f t="shared" si="74"/>
        <v>-</v>
      </c>
      <c r="Z94" s="104">
        <f t="shared" si="75"/>
        <v>0</v>
      </c>
      <c r="AA94" s="4"/>
      <c r="AB94" s="53">
        <f t="shared" si="76"/>
        <v>0</v>
      </c>
      <c r="AC94" s="54">
        <f>IF(SUM(AB94:AB$116)=0,0,F94&gt;0)</f>
        <v>0</v>
      </c>
      <c r="AD94" s="53">
        <f t="shared" si="77"/>
        <v>0</v>
      </c>
      <c r="AE94" s="54">
        <f>IF(SUM(AB94:AB$116)=0,0,AND(AC94=FALSE,AD94=0,SUM(AD94:AD$116)&gt;0))</f>
        <v>0</v>
      </c>
      <c r="AF94" s="54">
        <f t="shared" si="30"/>
        <v>0</v>
      </c>
      <c r="AG94" s="54">
        <f t="shared" si="31"/>
        <v>0</v>
      </c>
      <c r="AH94" s="56">
        <f t="shared" si="32"/>
        <v>0</v>
      </c>
      <c r="AI94" s="56">
        <f t="shared" si="33"/>
        <v>0</v>
      </c>
      <c r="AJ94" s="54">
        <f t="shared" si="34"/>
        <v>0</v>
      </c>
      <c r="AK94" s="54" t="str">
        <f t="shared" si="35"/>
        <v/>
      </c>
      <c r="AL94" s="54">
        <f t="shared" si="36"/>
        <v>0</v>
      </c>
      <c r="AM94" s="54">
        <f t="shared" si="37"/>
        <v>0</v>
      </c>
      <c r="AN94" s="54">
        <f t="shared" si="38"/>
        <v>0</v>
      </c>
      <c r="AO94" s="54">
        <f t="shared" si="39"/>
        <v>0</v>
      </c>
      <c r="AP94" s="54">
        <f t="shared" si="40"/>
        <v>0</v>
      </c>
      <c r="AQ94" s="54">
        <f t="shared" si="41"/>
        <v>0</v>
      </c>
      <c r="AR94" s="53">
        <f t="shared" si="42"/>
        <v>0</v>
      </c>
      <c r="AS94" s="409" t="str">
        <f t="shared" si="43"/>
        <v/>
      </c>
      <c r="AT94" s="54">
        <f t="shared" si="59"/>
        <v>0</v>
      </c>
      <c r="AU94" s="54">
        <f t="shared" si="60"/>
        <v>0</v>
      </c>
      <c r="AV94" s="54">
        <f t="shared" si="61"/>
        <v>0</v>
      </c>
      <c r="AW94" s="55" t="b">
        <f t="shared" ca="1" si="62"/>
        <v>0</v>
      </c>
      <c r="AX94" s="69"/>
      <c r="AY94" s="203">
        <f t="shared" ca="1" si="63"/>
        <v>0</v>
      </c>
      <c r="AZ94" s="72">
        <f t="shared" ca="1" si="64"/>
        <v>0</v>
      </c>
      <c r="BA94" s="72">
        <f t="shared" ca="1" si="78"/>
        <v>0</v>
      </c>
      <c r="BB94" s="75">
        <f t="shared" ca="1" si="65"/>
        <v>0</v>
      </c>
      <c r="BC94" s="209">
        <f t="shared" si="66"/>
        <v>0</v>
      </c>
      <c r="BD94" s="72">
        <f t="shared" si="79"/>
        <v>0</v>
      </c>
      <c r="BE94" s="72">
        <f t="shared" si="80"/>
        <v>0</v>
      </c>
      <c r="BF94" s="72">
        <f t="shared" si="81"/>
        <v>0</v>
      </c>
      <c r="BG94" s="200">
        <f t="shared" ca="1" si="82"/>
        <v>0</v>
      </c>
      <c r="BH94" s="69"/>
      <c r="BI94" s="198">
        <f t="shared" si="18"/>
        <v>0</v>
      </c>
      <c r="BJ94" s="71">
        <f t="shared" si="19"/>
        <v>0</v>
      </c>
      <c r="BK94" s="72">
        <f t="shared" si="83"/>
        <v>0</v>
      </c>
      <c r="BL94" s="72">
        <f t="shared" ca="1" si="84"/>
        <v>0</v>
      </c>
      <c r="BM94" s="200">
        <f t="shared" ca="1" si="67"/>
        <v>0</v>
      </c>
      <c r="BN94" s="69"/>
      <c r="BO94" s="198">
        <f t="shared" si="68"/>
        <v>0</v>
      </c>
      <c r="BP94" s="72">
        <f t="shared" ca="1" si="69"/>
        <v>0</v>
      </c>
      <c r="BQ94" s="78">
        <f t="shared" si="85"/>
        <v>0</v>
      </c>
      <c r="BR94" s="78">
        <f t="shared" si="86"/>
        <v>0</v>
      </c>
      <c r="BS94" s="80">
        <f t="shared" ca="1" si="70"/>
        <v>0</v>
      </c>
      <c r="BT94" s="80">
        <f t="shared" ca="1" si="71"/>
        <v>0</v>
      </c>
      <c r="BU94" s="259" t="str">
        <f t="shared" ca="1" si="87"/>
        <v/>
      </c>
      <c r="BV94" s="206" t="str">
        <f t="shared" ca="1" si="88"/>
        <v/>
      </c>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row>
    <row r="95" spans="1:116" ht="12.75" hidden="1" customHeight="1">
      <c r="A95" s="5"/>
      <c r="B95" s="327" t="str">
        <f t="shared" si="28"/>
        <v>-</v>
      </c>
      <c r="C95" s="398">
        <v>59</v>
      </c>
      <c r="D95" s="688"/>
      <c r="E95" s="689"/>
      <c r="F95" s="476"/>
      <c r="G95" s="483"/>
      <c r="H95" s="466"/>
      <c r="I95" s="467"/>
      <c r="J95" s="489"/>
      <c r="K95" s="490"/>
      <c r="L95" s="491"/>
      <c r="M95" s="492"/>
      <c r="N95" s="373" t="str">
        <f t="shared" ca="1" si="54"/>
        <v/>
      </c>
      <c r="O95" s="374" t="str">
        <f t="shared" ca="1" si="55"/>
        <v/>
      </c>
      <c r="P95" s="375">
        <f t="shared" ca="1" si="56"/>
        <v>0</v>
      </c>
      <c r="Q95" s="384" t="str">
        <f t="shared" ca="1" si="72"/>
        <v/>
      </c>
      <c r="R95" s="385" t="str">
        <f t="shared" ca="1" si="57"/>
        <v/>
      </c>
      <c r="S95" s="386">
        <f t="shared" ca="1" si="73"/>
        <v>0</v>
      </c>
      <c r="T95" s="387" t="str">
        <f t="shared" ca="1" si="58"/>
        <v/>
      </c>
      <c r="U95" s="5"/>
      <c r="V95" s="6"/>
      <c r="W95" s="4"/>
      <c r="X95" s="4">
        <v>59</v>
      </c>
      <c r="Y95" s="104" t="str">
        <f t="shared" si="74"/>
        <v>-</v>
      </c>
      <c r="Z95" s="104">
        <f t="shared" si="75"/>
        <v>0</v>
      </c>
      <c r="AA95" s="4"/>
      <c r="AB95" s="53">
        <f t="shared" si="76"/>
        <v>0</v>
      </c>
      <c r="AC95" s="54">
        <f>IF(SUM(AB95:AB$116)=0,0,F95&gt;0)</f>
        <v>0</v>
      </c>
      <c r="AD95" s="53">
        <f t="shared" si="77"/>
        <v>0</v>
      </c>
      <c r="AE95" s="54">
        <f>IF(SUM(AB95:AB$116)=0,0,AND(AC95=FALSE,AD95=0,SUM(AD95:AD$116)&gt;0))</f>
        <v>0</v>
      </c>
      <c r="AF95" s="54">
        <f t="shared" si="30"/>
        <v>0</v>
      </c>
      <c r="AG95" s="54">
        <f t="shared" si="31"/>
        <v>0</v>
      </c>
      <c r="AH95" s="56">
        <f t="shared" si="32"/>
        <v>0</v>
      </c>
      <c r="AI95" s="56">
        <f t="shared" si="33"/>
        <v>0</v>
      </c>
      <c r="AJ95" s="54">
        <f t="shared" si="34"/>
        <v>0</v>
      </c>
      <c r="AK95" s="54" t="str">
        <f t="shared" si="35"/>
        <v/>
      </c>
      <c r="AL95" s="54">
        <f t="shared" si="36"/>
        <v>0</v>
      </c>
      <c r="AM95" s="54">
        <f t="shared" si="37"/>
        <v>0</v>
      </c>
      <c r="AN95" s="54">
        <f t="shared" si="38"/>
        <v>0</v>
      </c>
      <c r="AO95" s="54">
        <f t="shared" si="39"/>
        <v>0</v>
      </c>
      <c r="AP95" s="54">
        <f t="shared" si="40"/>
        <v>0</v>
      </c>
      <c r="AQ95" s="54">
        <f t="shared" si="41"/>
        <v>0</v>
      </c>
      <c r="AR95" s="53">
        <f t="shared" si="42"/>
        <v>0</v>
      </c>
      <c r="AS95" s="409" t="str">
        <f t="shared" si="43"/>
        <v/>
      </c>
      <c r="AT95" s="54">
        <f t="shared" si="59"/>
        <v>0</v>
      </c>
      <c r="AU95" s="54">
        <f t="shared" si="60"/>
        <v>0</v>
      </c>
      <c r="AV95" s="54">
        <f t="shared" si="61"/>
        <v>0</v>
      </c>
      <c r="AW95" s="55" t="b">
        <f t="shared" ca="1" si="62"/>
        <v>0</v>
      </c>
      <c r="AX95" s="69"/>
      <c r="AY95" s="203">
        <f t="shared" ca="1" si="63"/>
        <v>0</v>
      </c>
      <c r="AZ95" s="72">
        <f t="shared" ca="1" si="64"/>
        <v>0</v>
      </c>
      <c r="BA95" s="72">
        <f t="shared" ca="1" si="78"/>
        <v>0</v>
      </c>
      <c r="BB95" s="75">
        <f t="shared" ca="1" si="65"/>
        <v>0</v>
      </c>
      <c r="BC95" s="209">
        <f t="shared" si="66"/>
        <v>0</v>
      </c>
      <c r="BD95" s="72">
        <f t="shared" si="79"/>
        <v>0</v>
      </c>
      <c r="BE95" s="72">
        <f t="shared" si="80"/>
        <v>0</v>
      </c>
      <c r="BF95" s="72">
        <f t="shared" si="81"/>
        <v>0</v>
      </c>
      <c r="BG95" s="200">
        <f t="shared" ca="1" si="82"/>
        <v>0</v>
      </c>
      <c r="BH95" s="69"/>
      <c r="BI95" s="198">
        <f t="shared" si="18"/>
        <v>0</v>
      </c>
      <c r="BJ95" s="71">
        <f t="shared" si="19"/>
        <v>0</v>
      </c>
      <c r="BK95" s="72">
        <f t="shared" si="83"/>
        <v>0</v>
      </c>
      <c r="BL95" s="72">
        <f t="shared" ca="1" si="84"/>
        <v>0</v>
      </c>
      <c r="BM95" s="200">
        <f t="shared" ca="1" si="67"/>
        <v>0</v>
      </c>
      <c r="BN95" s="69"/>
      <c r="BO95" s="198">
        <f t="shared" si="68"/>
        <v>0</v>
      </c>
      <c r="BP95" s="72">
        <f t="shared" ca="1" si="69"/>
        <v>0</v>
      </c>
      <c r="BQ95" s="78">
        <f t="shared" si="85"/>
        <v>0</v>
      </c>
      <c r="BR95" s="78">
        <f t="shared" si="86"/>
        <v>0</v>
      </c>
      <c r="BS95" s="80">
        <f t="shared" ca="1" si="70"/>
        <v>0</v>
      </c>
      <c r="BT95" s="80">
        <f t="shared" ca="1" si="71"/>
        <v>0</v>
      </c>
      <c r="BU95" s="259" t="str">
        <f t="shared" ca="1" si="87"/>
        <v/>
      </c>
      <c r="BV95" s="206" t="str">
        <f t="shared" ca="1" si="88"/>
        <v/>
      </c>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row>
    <row r="96" spans="1:116" ht="12.75" hidden="1" customHeight="1">
      <c r="A96" s="5"/>
      <c r="B96" s="327" t="str">
        <f t="shared" si="28"/>
        <v>-</v>
      </c>
      <c r="C96" s="398">
        <v>60</v>
      </c>
      <c r="D96" s="688"/>
      <c r="E96" s="689"/>
      <c r="F96" s="476"/>
      <c r="G96" s="483"/>
      <c r="H96" s="466"/>
      <c r="I96" s="467"/>
      <c r="J96" s="489"/>
      <c r="K96" s="490"/>
      <c r="L96" s="491"/>
      <c r="M96" s="492"/>
      <c r="N96" s="373" t="str">
        <f t="shared" ca="1" si="54"/>
        <v/>
      </c>
      <c r="O96" s="374" t="str">
        <f t="shared" ca="1" si="55"/>
        <v/>
      </c>
      <c r="P96" s="375">
        <f t="shared" ca="1" si="56"/>
        <v>0</v>
      </c>
      <c r="Q96" s="384" t="str">
        <f t="shared" ca="1" si="72"/>
        <v/>
      </c>
      <c r="R96" s="385" t="str">
        <f t="shared" ca="1" si="57"/>
        <v/>
      </c>
      <c r="S96" s="386">
        <f t="shared" ca="1" si="73"/>
        <v>0</v>
      </c>
      <c r="T96" s="387" t="str">
        <f t="shared" ca="1" si="58"/>
        <v/>
      </c>
      <c r="U96" s="5"/>
      <c r="V96" s="6"/>
      <c r="W96" s="4"/>
      <c r="X96" s="4">
        <v>60</v>
      </c>
      <c r="Y96" s="104" t="str">
        <f t="shared" si="74"/>
        <v>-</v>
      </c>
      <c r="Z96" s="104">
        <f t="shared" si="75"/>
        <v>0</v>
      </c>
      <c r="AA96" s="4"/>
      <c r="AB96" s="53">
        <f t="shared" si="76"/>
        <v>0</v>
      </c>
      <c r="AC96" s="54">
        <f>IF(SUM(AB96:AB$116)=0,0,F96&gt;0)</f>
        <v>0</v>
      </c>
      <c r="AD96" s="53">
        <f t="shared" si="77"/>
        <v>0</v>
      </c>
      <c r="AE96" s="54">
        <f>IF(SUM(AB96:AB$116)=0,0,AND(AC96=FALSE,AD96=0,SUM(AD96:AD$116)&gt;0))</f>
        <v>0</v>
      </c>
      <c r="AF96" s="54">
        <f t="shared" si="30"/>
        <v>0</v>
      </c>
      <c r="AG96" s="54">
        <f t="shared" si="31"/>
        <v>0</v>
      </c>
      <c r="AH96" s="56">
        <f t="shared" si="32"/>
        <v>0</v>
      </c>
      <c r="AI96" s="56">
        <f t="shared" si="33"/>
        <v>0</v>
      </c>
      <c r="AJ96" s="54">
        <f t="shared" si="34"/>
        <v>0</v>
      </c>
      <c r="AK96" s="54" t="str">
        <f t="shared" si="35"/>
        <v/>
      </c>
      <c r="AL96" s="54">
        <f t="shared" si="36"/>
        <v>0</v>
      </c>
      <c r="AM96" s="54">
        <f t="shared" si="37"/>
        <v>0</v>
      </c>
      <c r="AN96" s="54">
        <f t="shared" si="38"/>
        <v>0</v>
      </c>
      <c r="AO96" s="54">
        <f t="shared" si="39"/>
        <v>0</v>
      </c>
      <c r="AP96" s="54">
        <f t="shared" si="40"/>
        <v>0</v>
      </c>
      <c r="AQ96" s="54">
        <f t="shared" si="41"/>
        <v>0</v>
      </c>
      <c r="AR96" s="53">
        <f t="shared" si="42"/>
        <v>0</v>
      </c>
      <c r="AS96" s="409" t="str">
        <f t="shared" si="43"/>
        <v/>
      </c>
      <c r="AT96" s="54">
        <f t="shared" si="59"/>
        <v>0</v>
      </c>
      <c r="AU96" s="54">
        <f t="shared" si="60"/>
        <v>0</v>
      </c>
      <c r="AV96" s="54">
        <f t="shared" si="61"/>
        <v>0</v>
      </c>
      <c r="AW96" s="55" t="b">
        <f t="shared" ca="1" si="62"/>
        <v>0</v>
      </c>
      <c r="AX96" s="69"/>
      <c r="AY96" s="203">
        <f t="shared" ca="1" si="63"/>
        <v>0</v>
      </c>
      <c r="AZ96" s="72">
        <f t="shared" ca="1" si="64"/>
        <v>0</v>
      </c>
      <c r="BA96" s="72">
        <f t="shared" ca="1" si="78"/>
        <v>0</v>
      </c>
      <c r="BB96" s="75">
        <f t="shared" ca="1" si="65"/>
        <v>0</v>
      </c>
      <c r="BC96" s="209">
        <f t="shared" si="66"/>
        <v>0</v>
      </c>
      <c r="BD96" s="72">
        <f t="shared" si="79"/>
        <v>0</v>
      </c>
      <c r="BE96" s="72">
        <f t="shared" si="80"/>
        <v>0</v>
      </c>
      <c r="BF96" s="72">
        <f t="shared" si="81"/>
        <v>0</v>
      </c>
      <c r="BG96" s="200">
        <f t="shared" ca="1" si="82"/>
        <v>0</v>
      </c>
      <c r="BH96" s="69"/>
      <c r="BI96" s="198">
        <f t="shared" si="18"/>
        <v>0</v>
      </c>
      <c r="BJ96" s="71">
        <f t="shared" si="19"/>
        <v>0</v>
      </c>
      <c r="BK96" s="72">
        <f t="shared" si="83"/>
        <v>0</v>
      </c>
      <c r="BL96" s="72">
        <f t="shared" ca="1" si="84"/>
        <v>0</v>
      </c>
      <c r="BM96" s="200">
        <f t="shared" ca="1" si="67"/>
        <v>0</v>
      </c>
      <c r="BN96" s="69"/>
      <c r="BO96" s="198">
        <f t="shared" si="68"/>
        <v>0</v>
      </c>
      <c r="BP96" s="72">
        <f t="shared" ca="1" si="69"/>
        <v>0</v>
      </c>
      <c r="BQ96" s="78">
        <f t="shared" si="85"/>
        <v>0</v>
      </c>
      <c r="BR96" s="78">
        <f t="shared" si="86"/>
        <v>0</v>
      </c>
      <c r="BS96" s="80">
        <f t="shared" ca="1" si="70"/>
        <v>0</v>
      </c>
      <c r="BT96" s="80">
        <f t="shared" ca="1" si="71"/>
        <v>0</v>
      </c>
      <c r="BU96" s="259" t="str">
        <f t="shared" ca="1" si="87"/>
        <v/>
      </c>
      <c r="BV96" s="206" t="str">
        <f t="shared" ca="1" si="88"/>
        <v/>
      </c>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row>
    <row r="97" spans="1:116" ht="12.75" hidden="1" customHeight="1">
      <c r="A97" s="5"/>
      <c r="B97" s="327" t="str">
        <f t="shared" si="28"/>
        <v>-</v>
      </c>
      <c r="C97" s="398">
        <v>61</v>
      </c>
      <c r="D97" s="688"/>
      <c r="E97" s="689"/>
      <c r="F97" s="476"/>
      <c r="G97" s="483"/>
      <c r="H97" s="466"/>
      <c r="I97" s="467"/>
      <c r="J97" s="489"/>
      <c r="K97" s="490"/>
      <c r="L97" s="491"/>
      <c r="M97" s="492"/>
      <c r="N97" s="373" t="str">
        <f t="shared" ca="1" si="54"/>
        <v/>
      </c>
      <c r="O97" s="374" t="str">
        <f t="shared" ca="1" si="55"/>
        <v/>
      </c>
      <c r="P97" s="375">
        <f t="shared" ca="1" si="56"/>
        <v>0</v>
      </c>
      <c r="Q97" s="384" t="str">
        <f t="shared" ca="1" si="72"/>
        <v/>
      </c>
      <c r="R97" s="385" t="str">
        <f t="shared" ca="1" si="57"/>
        <v/>
      </c>
      <c r="S97" s="386">
        <f t="shared" ca="1" si="73"/>
        <v>0</v>
      </c>
      <c r="T97" s="387" t="str">
        <f t="shared" ca="1" si="58"/>
        <v/>
      </c>
      <c r="U97" s="5"/>
      <c r="V97" s="6"/>
      <c r="W97" s="4"/>
      <c r="X97" s="4">
        <v>61</v>
      </c>
      <c r="Y97" s="104" t="str">
        <f t="shared" si="74"/>
        <v>-</v>
      </c>
      <c r="Z97" s="104">
        <f t="shared" si="75"/>
        <v>0</v>
      </c>
      <c r="AA97" s="4"/>
      <c r="AB97" s="53">
        <f t="shared" si="76"/>
        <v>0</v>
      </c>
      <c r="AC97" s="54">
        <f>IF(SUM(AB97:AB$116)=0,0,F97&gt;0)</f>
        <v>0</v>
      </c>
      <c r="AD97" s="53">
        <f t="shared" si="77"/>
        <v>0</v>
      </c>
      <c r="AE97" s="54">
        <f>IF(SUM(AB97:AB$116)=0,0,AND(AC97=FALSE,AD97=0,SUM(AD97:AD$116)&gt;0))</f>
        <v>0</v>
      </c>
      <c r="AF97" s="54">
        <f t="shared" si="30"/>
        <v>0</v>
      </c>
      <c r="AG97" s="54">
        <f t="shared" si="31"/>
        <v>0</v>
      </c>
      <c r="AH97" s="56">
        <f t="shared" si="32"/>
        <v>0</v>
      </c>
      <c r="AI97" s="56">
        <f t="shared" si="33"/>
        <v>0</v>
      </c>
      <c r="AJ97" s="54">
        <f t="shared" si="34"/>
        <v>0</v>
      </c>
      <c r="AK97" s="54" t="str">
        <f t="shared" si="35"/>
        <v/>
      </c>
      <c r="AL97" s="54">
        <f t="shared" si="36"/>
        <v>0</v>
      </c>
      <c r="AM97" s="54">
        <f t="shared" si="37"/>
        <v>0</v>
      </c>
      <c r="AN97" s="54">
        <f t="shared" si="38"/>
        <v>0</v>
      </c>
      <c r="AO97" s="54">
        <f t="shared" si="39"/>
        <v>0</v>
      </c>
      <c r="AP97" s="54">
        <f t="shared" si="40"/>
        <v>0</v>
      </c>
      <c r="AQ97" s="54">
        <f t="shared" si="41"/>
        <v>0</v>
      </c>
      <c r="AR97" s="53">
        <f t="shared" si="42"/>
        <v>0</v>
      </c>
      <c r="AS97" s="409" t="str">
        <f t="shared" si="43"/>
        <v/>
      </c>
      <c r="AT97" s="54">
        <f t="shared" si="59"/>
        <v>0</v>
      </c>
      <c r="AU97" s="54">
        <f t="shared" si="60"/>
        <v>0</v>
      </c>
      <c r="AV97" s="54">
        <f t="shared" si="61"/>
        <v>0</v>
      </c>
      <c r="AW97" s="55" t="b">
        <f t="shared" ca="1" si="62"/>
        <v>0</v>
      </c>
      <c r="AX97" s="69"/>
      <c r="AY97" s="203">
        <f t="shared" ca="1" si="63"/>
        <v>0</v>
      </c>
      <c r="AZ97" s="72">
        <f t="shared" ca="1" si="64"/>
        <v>0</v>
      </c>
      <c r="BA97" s="72">
        <f t="shared" ca="1" si="78"/>
        <v>0</v>
      </c>
      <c r="BB97" s="75">
        <f t="shared" ca="1" si="65"/>
        <v>0</v>
      </c>
      <c r="BC97" s="209">
        <f t="shared" si="66"/>
        <v>0</v>
      </c>
      <c r="BD97" s="72">
        <f t="shared" si="79"/>
        <v>0</v>
      </c>
      <c r="BE97" s="72">
        <f t="shared" si="80"/>
        <v>0</v>
      </c>
      <c r="BF97" s="72">
        <f t="shared" si="81"/>
        <v>0</v>
      </c>
      <c r="BG97" s="200">
        <f t="shared" ca="1" si="82"/>
        <v>0</v>
      </c>
      <c r="BH97" s="69"/>
      <c r="BI97" s="198">
        <f t="shared" si="18"/>
        <v>0</v>
      </c>
      <c r="BJ97" s="71">
        <f t="shared" si="19"/>
        <v>0</v>
      </c>
      <c r="BK97" s="72">
        <f t="shared" si="83"/>
        <v>0</v>
      </c>
      <c r="BL97" s="72">
        <f t="shared" ca="1" si="84"/>
        <v>0</v>
      </c>
      <c r="BM97" s="200">
        <f t="shared" ca="1" si="67"/>
        <v>0</v>
      </c>
      <c r="BN97" s="69"/>
      <c r="BO97" s="198">
        <f t="shared" si="68"/>
        <v>0</v>
      </c>
      <c r="BP97" s="72">
        <f t="shared" ca="1" si="69"/>
        <v>0</v>
      </c>
      <c r="BQ97" s="78">
        <f t="shared" si="85"/>
        <v>0</v>
      </c>
      <c r="BR97" s="78">
        <f t="shared" si="86"/>
        <v>0</v>
      </c>
      <c r="BS97" s="80">
        <f t="shared" ca="1" si="70"/>
        <v>0</v>
      </c>
      <c r="BT97" s="80">
        <f t="shared" ca="1" si="71"/>
        <v>0</v>
      </c>
      <c r="BU97" s="259" t="str">
        <f t="shared" ca="1" si="87"/>
        <v/>
      </c>
      <c r="BV97" s="206" t="str">
        <f t="shared" ca="1" si="88"/>
        <v/>
      </c>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row>
    <row r="98" spans="1:116" ht="12.75" hidden="1" customHeight="1">
      <c r="A98" s="5"/>
      <c r="B98" s="327" t="str">
        <f t="shared" si="28"/>
        <v>-</v>
      </c>
      <c r="C98" s="398">
        <v>62</v>
      </c>
      <c r="D98" s="688"/>
      <c r="E98" s="689"/>
      <c r="F98" s="476"/>
      <c r="G98" s="483"/>
      <c r="H98" s="466"/>
      <c r="I98" s="467"/>
      <c r="J98" s="489"/>
      <c r="K98" s="490"/>
      <c r="L98" s="491"/>
      <c r="M98" s="492"/>
      <c r="N98" s="373" t="str">
        <f t="shared" ca="1" si="54"/>
        <v/>
      </c>
      <c r="O98" s="374" t="str">
        <f t="shared" ca="1" si="55"/>
        <v/>
      </c>
      <c r="P98" s="375">
        <f t="shared" ca="1" si="56"/>
        <v>0</v>
      </c>
      <c r="Q98" s="384" t="str">
        <f t="shared" ca="1" si="72"/>
        <v/>
      </c>
      <c r="R98" s="385" t="str">
        <f t="shared" ca="1" si="57"/>
        <v/>
      </c>
      <c r="S98" s="386">
        <f t="shared" ca="1" si="73"/>
        <v>0</v>
      </c>
      <c r="T98" s="387" t="str">
        <f t="shared" ca="1" si="58"/>
        <v/>
      </c>
      <c r="U98" s="5"/>
      <c r="V98" s="6"/>
      <c r="W98" s="4"/>
      <c r="X98" s="4">
        <v>62</v>
      </c>
      <c r="Y98" s="104" t="str">
        <f t="shared" si="74"/>
        <v>-</v>
      </c>
      <c r="Z98" s="104">
        <f t="shared" si="75"/>
        <v>0</v>
      </c>
      <c r="AA98" s="4"/>
      <c r="AB98" s="53">
        <f t="shared" si="76"/>
        <v>0</v>
      </c>
      <c r="AC98" s="54">
        <f>IF(SUM(AB98:AB$116)=0,0,F98&gt;0)</f>
        <v>0</v>
      </c>
      <c r="AD98" s="53">
        <f t="shared" si="77"/>
        <v>0</v>
      </c>
      <c r="AE98" s="54">
        <f>IF(SUM(AB98:AB$116)=0,0,AND(AC98=FALSE,AD98=0,SUM(AD98:AD$116)&gt;0))</f>
        <v>0</v>
      </c>
      <c r="AF98" s="54">
        <f t="shared" si="30"/>
        <v>0</v>
      </c>
      <c r="AG98" s="54">
        <f t="shared" si="31"/>
        <v>0</v>
      </c>
      <c r="AH98" s="56">
        <f t="shared" si="32"/>
        <v>0</v>
      </c>
      <c r="AI98" s="56">
        <f t="shared" si="33"/>
        <v>0</v>
      </c>
      <c r="AJ98" s="54">
        <f t="shared" si="34"/>
        <v>0</v>
      </c>
      <c r="AK98" s="54" t="str">
        <f t="shared" si="35"/>
        <v/>
      </c>
      <c r="AL98" s="54">
        <f t="shared" si="36"/>
        <v>0</v>
      </c>
      <c r="AM98" s="54">
        <f t="shared" si="37"/>
        <v>0</v>
      </c>
      <c r="AN98" s="54">
        <f t="shared" si="38"/>
        <v>0</v>
      </c>
      <c r="AO98" s="54">
        <f t="shared" si="39"/>
        <v>0</v>
      </c>
      <c r="AP98" s="54">
        <f t="shared" si="40"/>
        <v>0</v>
      </c>
      <c r="AQ98" s="54">
        <f t="shared" si="41"/>
        <v>0</v>
      </c>
      <c r="AR98" s="53">
        <f t="shared" si="42"/>
        <v>0</v>
      </c>
      <c r="AS98" s="409" t="str">
        <f t="shared" si="43"/>
        <v/>
      </c>
      <c r="AT98" s="54">
        <f t="shared" si="59"/>
        <v>0</v>
      </c>
      <c r="AU98" s="54">
        <f t="shared" si="60"/>
        <v>0</v>
      </c>
      <c r="AV98" s="54">
        <f t="shared" si="61"/>
        <v>0</v>
      </c>
      <c r="AW98" s="55" t="b">
        <f t="shared" ca="1" si="62"/>
        <v>0</v>
      </c>
      <c r="AX98" s="69"/>
      <c r="AY98" s="203">
        <f t="shared" ca="1" si="63"/>
        <v>0</v>
      </c>
      <c r="AZ98" s="72">
        <f t="shared" ca="1" si="64"/>
        <v>0</v>
      </c>
      <c r="BA98" s="72">
        <f t="shared" ca="1" si="78"/>
        <v>0</v>
      </c>
      <c r="BB98" s="75">
        <f t="shared" ca="1" si="65"/>
        <v>0</v>
      </c>
      <c r="BC98" s="209">
        <f t="shared" si="66"/>
        <v>0</v>
      </c>
      <c r="BD98" s="72">
        <f t="shared" si="79"/>
        <v>0</v>
      </c>
      <c r="BE98" s="72">
        <f t="shared" si="80"/>
        <v>0</v>
      </c>
      <c r="BF98" s="72">
        <f t="shared" si="81"/>
        <v>0</v>
      </c>
      <c r="BG98" s="200">
        <f t="shared" ca="1" si="82"/>
        <v>0</v>
      </c>
      <c r="BH98" s="69"/>
      <c r="BI98" s="198">
        <f t="shared" si="18"/>
        <v>0</v>
      </c>
      <c r="BJ98" s="71">
        <f t="shared" si="19"/>
        <v>0</v>
      </c>
      <c r="BK98" s="72">
        <f t="shared" si="83"/>
        <v>0</v>
      </c>
      <c r="BL98" s="72">
        <f t="shared" ca="1" si="84"/>
        <v>0</v>
      </c>
      <c r="BM98" s="200">
        <f t="shared" ca="1" si="67"/>
        <v>0</v>
      </c>
      <c r="BN98" s="69"/>
      <c r="BO98" s="198">
        <f t="shared" si="68"/>
        <v>0</v>
      </c>
      <c r="BP98" s="72">
        <f t="shared" ca="1" si="69"/>
        <v>0</v>
      </c>
      <c r="BQ98" s="78">
        <f t="shared" si="85"/>
        <v>0</v>
      </c>
      <c r="BR98" s="78">
        <f t="shared" si="86"/>
        <v>0</v>
      </c>
      <c r="BS98" s="80">
        <f t="shared" ca="1" si="70"/>
        <v>0</v>
      </c>
      <c r="BT98" s="80">
        <f t="shared" ca="1" si="71"/>
        <v>0</v>
      </c>
      <c r="BU98" s="259" t="str">
        <f t="shared" ca="1" si="87"/>
        <v/>
      </c>
      <c r="BV98" s="206" t="str">
        <f t="shared" ca="1" si="88"/>
        <v/>
      </c>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row>
    <row r="99" spans="1:116" ht="12.75" hidden="1" customHeight="1">
      <c r="A99" s="5"/>
      <c r="B99" s="327" t="str">
        <f t="shared" si="28"/>
        <v>-</v>
      </c>
      <c r="C99" s="398">
        <v>63</v>
      </c>
      <c r="D99" s="688"/>
      <c r="E99" s="689"/>
      <c r="F99" s="476"/>
      <c r="G99" s="483"/>
      <c r="H99" s="466"/>
      <c r="I99" s="467"/>
      <c r="J99" s="489"/>
      <c r="K99" s="490"/>
      <c r="L99" s="491"/>
      <c r="M99" s="492"/>
      <c r="N99" s="373" t="str">
        <f t="shared" ca="1" si="54"/>
        <v/>
      </c>
      <c r="O99" s="374" t="str">
        <f t="shared" ca="1" si="55"/>
        <v/>
      </c>
      <c r="P99" s="375">
        <f t="shared" ca="1" si="56"/>
        <v>0</v>
      </c>
      <c r="Q99" s="384" t="str">
        <f t="shared" ca="1" si="72"/>
        <v/>
      </c>
      <c r="R99" s="385" t="str">
        <f t="shared" ca="1" si="57"/>
        <v/>
      </c>
      <c r="S99" s="386">
        <f t="shared" ca="1" si="73"/>
        <v>0</v>
      </c>
      <c r="T99" s="387" t="str">
        <f t="shared" ca="1" si="58"/>
        <v/>
      </c>
      <c r="U99" s="5"/>
      <c r="V99" s="6"/>
      <c r="W99" s="4"/>
      <c r="X99" s="4">
        <v>63</v>
      </c>
      <c r="Y99" s="104" t="str">
        <f t="shared" si="74"/>
        <v>-</v>
      </c>
      <c r="Z99" s="104">
        <f t="shared" si="75"/>
        <v>0</v>
      </c>
      <c r="AA99" s="4"/>
      <c r="AB99" s="53">
        <f t="shared" si="76"/>
        <v>0</v>
      </c>
      <c r="AC99" s="54">
        <f>IF(SUM(AB99:AB$116)=0,0,F99&gt;0)</f>
        <v>0</v>
      </c>
      <c r="AD99" s="53">
        <f t="shared" si="77"/>
        <v>0</v>
      </c>
      <c r="AE99" s="54">
        <f>IF(SUM(AB99:AB$116)=0,0,AND(AC99=FALSE,AD99=0,SUM(AD99:AD$116)&gt;0))</f>
        <v>0</v>
      </c>
      <c r="AF99" s="54">
        <f t="shared" si="30"/>
        <v>0</v>
      </c>
      <c r="AG99" s="54">
        <f t="shared" si="31"/>
        <v>0</v>
      </c>
      <c r="AH99" s="56">
        <f t="shared" si="32"/>
        <v>0</v>
      </c>
      <c r="AI99" s="56">
        <f t="shared" si="33"/>
        <v>0</v>
      </c>
      <c r="AJ99" s="54">
        <f t="shared" si="34"/>
        <v>0</v>
      </c>
      <c r="AK99" s="54" t="str">
        <f t="shared" si="35"/>
        <v/>
      </c>
      <c r="AL99" s="54">
        <f t="shared" si="36"/>
        <v>0</v>
      </c>
      <c r="AM99" s="54">
        <f t="shared" si="37"/>
        <v>0</v>
      </c>
      <c r="AN99" s="54">
        <f t="shared" si="38"/>
        <v>0</v>
      </c>
      <c r="AO99" s="54">
        <f t="shared" si="39"/>
        <v>0</v>
      </c>
      <c r="AP99" s="54">
        <f t="shared" si="40"/>
        <v>0</v>
      </c>
      <c r="AQ99" s="54">
        <f t="shared" si="41"/>
        <v>0</v>
      </c>
      <c r="AR99" s="53">
        <f t="shared" si="42"/>
        <v>0</v>
      </c>
      <c r="AS99" s="409" t="str">
        <f t="shared" si="43"/>
        <v/>
      </c>
      <c r="AT99" s="54">
        <f t="shared" si="59"/>
        <v>0</v>
      </c>
      <c r="AU99" s="54">
        <f t="shared" si="60"/>
        <v>0</v>
      </c>
      <c r="AV99" s="54">
        <f t="shared" si="61"/>
        <v>0</v>
      </c>
      <c r="AW99" s="55" t="b">
        <f t="shared" ca="1" si="62"/>
        <v>0</v>
      </c>
      <c r="AX99" s="69"/>
      <c r="AY99" s="203">
        <f t="shared" ca="1" si="63"/>
        <v>0</v>
      </c>
      <c r="AZ99" s="72">
        <f t="shared" ca="1" si="64"/>
        <v>0</v>
      </c>
      <c r="BA99" s="72">
        <f t="shared" ca="1" si="78"/>
        <v>0</v>
      </c>
      <c r="BB99" s="75">
        <f t="shared" ca="1" si="65"/>
        <v>0</v>
      </c>
      <c r="BC99" s="209">
        <f t="shared" si="66"/>
        <v>0</v>
      </c>
      <c r="BD99" s="72">
        <f t="shared" si="79"/>
        <v>0</v>
      </c>
      <c r="BE99" s="72">
        <f t="shared" si="80"/>
        <v>0</v>
      </c>
      <c r="BF99" s="72">
        <f t="shared" si="81"/>
        <v>0</v>
      </c>
      <c r="BG99" s="200">
        <f t="shared" ca="1" si="82"/>
        <v>0</v>
      </c>
      <c r="BH99" s="69"/>
      <c r="BI99" s="198">
        <f t="shared" si="18"/>
        <v>0</v>
      </c>
      <c r="BJ99" s="71">
        <f t="shared" si="19"/>
        <v>0</v>
      </c>
      <c r="BK99" s="72">
        <f t="shared" si="83"/>
        <v>0</v>
      </c>
      <c r="BL99" s="72">
        <f t="shared" ca="1" si="84"/>
        <v>0</v>
      </c>
      <c r="BM99" s="200">
        <f t="shared" ca="1" si="67"/>
        <v>0</v>
      </c>
      <c r="BN99" s="69"/>
      <c r="BO99" s="198">
        <f t="shared" si="68"/>
        <v>0</v>
      </c>
      <c r="BP99" s="72">
        <f t="shared" ca="1" si="69"/>
        <v>0</v>
      </c>
      <c r="BQ99" s="78">
        <f t="shared" si="85"/>
        <v>0</v>
      </c>
      <c r="BR99" s="78">
        <f t="shared" si="86"/>
        <v>0</v>
      </c>
      <c r="BS99" s="80">
        <f t="shared" ca="1" si="70"/>
        <v>0</v>
      </c>
      <c r="BT99" s="80">
        <f t="shared" ca="1" si="71"/>
        <v>0</v>
      </c>
      <c r="BU99" s="259" t="str">
        <f t="shared" ca="1" si="87"/>
        <v/>
      </c>
      <c r="BV99" s="206" t="str">
        <f t="shared" ca="1" si="88"/>
        <v/>
      </c>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row>
    <row r="100" spans="1:116" ht="12.75" hidden="1" customHeight="1">
      <c r="A100" s="5"/>
      <c r="B100" s="327" t="str">
        <f t="shared" si="28"/>
        <v>-</v>
      </c>
      <c r="C100" s="398">
        <v>64</v>
      </c>
      <c r="D100" s="688"/>
      <c r="E100" s="689"/>
      <c r="F100" s="476"/>
      <c r="G100" s="483"/>
      <c r="H100" s="466"/>
      <c r="I100" s="467"/>
      <c r="J100" s="489"/>
      <c r="K100" s="490"/>
      <c r="L100" s="491"/>
      <c r="M100" s="492"/>
      <c r="N100" s="373" t="str">
        <f t="shared" ca="1" si="54"/>
        <v/>
      </c>
      <c r="O100" s="374" t="str">
        <f t="shared" ca="1" si="55"/>
        <v/>
      </c>
      <c r="P100" s="375">
        <f t="shared" ca="1" si="56"/>
        <v>0</v>
      </c>
      <c r="Q100" s="384" t="str">
        <f t="shared" ca="1" si="72"/>
        <v/>
      </c>
      <c r="R100" s="385" t="str">
        <f t="shared" ca="1" si="57"/>
        <v/>
      </c>
      <c r="S100" s="386">
        <f t="shared" ca="1" si="73"/>
        <v>0</v>
      </c>
      <c r="T100" s="387" t="str">
        <f t="shared" ca="1" si="58"/>
        <v/>
      </c>
      <c r="U100" s="5"/>
      <c r="V100" s="6"/>
      <c r="W100" s="4"/>
      <c r="X100" s="4">
        <v>64</v>
      </c>
      <c r="Y100" s="104" t="str">
        <f t="shared" si="74"/>
        <v>-</v>
      </c>
      <c r="Z100" s="104">
        <f t="shared" si="75"/>
        <v>0</v>
      </c>
      <c r="AA100" s="4"/>
      <c r="AB100" s="53">
        <f t="shared" si="76"/>
        <v>0</v>
      </c>
      <c r="AC100" s="54">
        <f>IF(SUM(AB100:AB$116)=0,0,F100&gt;0)</f>
        <v>0</v>
      </c>
      <c r="AD100" s="53">
        <f t="shared" si="77"/>
        <v>0</v>
      </c>
      <c r="AE100" s="54">
        <f>IF(SUM(AB100:AB$116)=0,0,AND(AC100=FALSE,AD100=0,SUM(AD100:AD$116)&gt;0))</f>
        <v>0</v>
      </c>
      <c r="AF100" s="54">
        <f t="shared" si="30"/>
        <v>0</v>
      </c>
      <c r="AG100" s="54">
        <f t="shared" si="31"/>
        <v>0</v>
      </c>
      <c r="AH100" s="56">
        <f t="shared" si="32"/>
        <v>0</v>
      </c>
      <c r="AI100" s="56">
        <f t="shared" si="33"/>
        <v>0</v>
      </c>
      <c r="AJ100" s="54">
        <f t="shared" si="34"/>
        <v>0</v>
      </c>
      <c r="AK100" s="54" t="str">
        <f t="shared" si="35"/>
        <v/>
      </c>
      <c r="AL100" s="54">
        <f t="shared" si="36"/>
        <v>0</v>
      </c>
      <c r="AM100" s="54">
        <f t="shared" si="37"/>
        <v>0</v>
      </c>
      <c r="AN100" s="54">
        <f t="shared" si="38"/>
        <v>0</v>
      </c>
      <c r="AO100" s="54">
        <f t="shared" si="39"/>
        <v>0</v>
      </c>
      <c r="AP100" s="54">
        <f t="shared" si="40"/>
        <v>0</v>
      </c>
      <c r="AQ100" s="54">
        <f t="shared" si="41"/>
        <v>0</v>
      </c>
      <c r="AR100" s="53">
        <f t="shared" si="42"/>
        <v>0</v>
      </c>
      <c r="AS100" s="409" t="str">
        <f t="shared" si="43"/>
        <v/>
      </c>
      <c r="AT100" s="54">
        <f t="shared" si="59"/>
        <v>0</v>
      </c>
      <c r="AU100" s="54">
        <f t="shared" si="60"/>
        <v>0</v>
      </c>
      <c r="AV100" s="54">
        <f t="shared" si="61"/>
        <v>0</v>
      </c>
      <c r="AW100" s="55" t="b">
        <f t="shared" ca="1" si="62"/>
        <v>0</v>
      </c>
      <c r="AX100" s="69"/>
      <c r="AY100" s="203">
        <f t="shared" ca="1" si="63"/>
        <v>0</v>
      </c>
      <c r="AZ100" s="72">
        <f t="shared" ca="1" si="64"/>
        <v>0</v>
      </c>
      <c r="BA100" s="72">
        <f t="shared" ca="1" si="78"/>
        <v>0</v>
      </c>
      <c r="BB100" s="75">
        <f t="shared" ca="1" si="65"/>
        <v>0</v>
      </c>
      <c r="BC100" s="209">
        <f t="shared" si="66"/>
        <v>0</v>
      </c>
      <c r="BD100" s="72">
        <f t="shared" si="79"/>
        <v>0</v>
      </c>
      <c r="BE100" s="72">
        <f t="shared" si="80"/>
        <v>0</v>
      </c>
      <c r="BF100" s="72">
        <f t="shared" si="81"/>
        <v>0</v>
      </c>
      <c r="BG100" s="200">
        <f t="shared" ca="1" si="82"/>
        <v>0</v>
      </c>
      <c r="BH100" s="69"/>
      <c r="BI100" s="198">
        <f t="shared" si="18"/>
        <v>0</v>
      </c>
      <c r="BJ100" s="71">
        <f t="shared" si="19"/>
        <v>0</v>
      </c>
      <c r="BK100" s="72">
        <f t="shared" si="83"/>
        <v>0</v>
      </c>
      <c r="BL100" s="72">
        <f t="shared" ca="1" si="84"/>
        <v>0</v>
      </c>
      <c r="BM100" s="200">
        <f t="shared" ca="1" si="67"/>
        <v>0</v>
      </c>
      <c r="BN100" s="69"/>
      <c r="BO100" s="198">
        <f t="shared" si="68"/>
        <v>0</v>
      </c>
      <c r="BP100" s="72">
        <f t="shared" ca="1" si="69"/>
        <v>0</v>
      </c>
      <c r="BQ100" s="78">
        <f t="shared" si="85"/>
        <v>0</v>
      </c>
      <c r="BR100" s="78">
        <f t="shared" si="86"/>
        <v>0</v>
      </c>
      <c r="BS100" s="80">
        <f t="shared" ca="1" si="70"/>
        <v>0</v>
      </c>
      <c r="BT100" s="80">
        <f t="shared" ca="1" si="71"/>
        <v>0</v>
      </c>
      <c r="BU100" s="259" t="str">
        <f t="shared" ca="1" si="87"/>
        <v/>
      </c>
      <c r="BV100" s="206" t="str">
        <f t="shared" ca="1" si="88"/>
        <v/>
      </c>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row>
    <row r="101" spans="1:116" ht="12.75" hidden="1" customHeight="1">
      <c r="A101" s="5"/>
      <c r="B101" s="327" t="str">
        <f t="shared" si="28"/>
        <v>-</v>
      </c>
      <c r="C101" s="398">
        <v>65</v>
      </c>
      <c r="D101" s="688"/>
      <c r="E101" s="689"/>
      <c r="F101" s="476"/>
      <c r="G101" s="483"/>
      <c r="H101" s="466"/>
      <c r="I101" s="467"/>
      <c r="J101" s="489"/>
      <c r="K101" s="490"/>
      <c r="L101" s="491"/>
      <c r="M101" s="492"/>
      <c r="N101" s="373" t="str">
        <f t="shared" ref="N101:N116" ca="1" si="89">IF(AND(AP101=TRUE,AQ101=TRUE,InputIssues=0),IF(L101="device",2,IF(AT101=FALSE,1,0.5)*L101/M101),"")</f>
        <v/>
      </c>
      <c r="O101" s="374" t="str">
        <f t="shared" ref="O101:O116" ca="1" si="90">IF(AND(AP101=TRUE,InputIssues=0),IF(O$36=F$182,BG101,IF(O$36=G$182,BL101,BL101/BG101)),"")</f>
        <v/>
      </c>
      <c r="P101" s="375">
        <f t="shared" ref="P101:P116" ca="1" si="91">IF(InputIssues=0,MAX(G101*H101,I101),0)</f>
        <v>0</v>
      </c>
      <c r="Q101" s="384" t="str">
        <f t="shared" ca="1" si="72"/>
        <v/>
      </c>
      <c r="R101" s="385" t="str">
        <f t="shared" ref="R101:R116" ca="1" si="92">IF(AllInputsOK=FALSE,"",BU101)</f>
        <v/>
      </c>
      <c r="S101" s="386">
        <f t="shared" ca="1" si="73"/>
        <v>0</v>
      </c>
      <c r="T101" s="387" t="str">
        <f t="shared" ref="T101:T116" ca="1" si="93">IF(AllInputsOK=FALSE,"",BV101)</f>
        <v/>
      </c>
      <c r="U101" s="5"/>
      <c r="V101" s="6"/>
      <c r="W101" s="4"/>
      <c r="X101" s="4">
        <v>65</v>
      </c>
      <c r="Y101" s="104" t="str">
        <f t="shared" si="74"/>
        <v>-</v>
      </c>
      <c r="Z101" s="104">
        <f t="shared" si="75"/>
        <v>0</v>
      </c>
      <c r="AA101" s="4"/>
      <c r="AB101" s="53">
        <f t="shared" si="76"/>
        <v>0</v>
      </c>
      <c r="AC101" s="54">
        <f>IF(SUM(AB101:AB$116)=0,0,F101&gt;0)</f>
        <v>0</v>
      </c>
      <c r="AD101" s="53">
        <f t="shared" si="77"/>
        <v>0</v>
      </c>
      <c r="AE101" s="54">
        <f>IF(SUM(AB101:AB$116)=0,0,AND(AC101=FALSE,AD101=0,SUM(AD101:AD$116)&gt;0))</f>
        <v>0</v>
      </c>
      <c r="AF101" s="54">
        <f t="shared" si="30"/>
        <v>0</v>
      </c>
      <c r="AG101" s="54">
        <f t="shared" si="31"/>
        <v>0</v>
      </c>
      <c r="AH101" s="56">
        <f t="shared" si="32"/>
        <v>0</v>
      </c>
      <c r="AI101" s="56">
        <f t="shared" si="33"/>
        <v>0</v>
      </c>
      <c r="AJ101" s="54">
        <f t="shared" si="34"/>
        <v>0</v>
      </c>
      <c r="AK101" s="54" t="str">
        <f t="shared" si="35"/>
        <v/>
      </c>
      <c r="AL101" s="54">
        <f t="shared" si="36"/>
        <v>0</v>
      </c>
      <c r="AM101" s="54">
        <f t="shared" si="37"/>
        <v>0</v>
      </c>
      <c r="AN101" s="54">
        <f t="shared" si="38"/>
        <v>0</v>
      </c>
      <c r="AO101" s="54">
        <f t="shared" si="39"/>
        <v>0</v>
      </c>
      <c r="AP101" s="54">
        <f t="shared" si="40"/>
        <v>0</v>
      </c>
      <c r="AQ101" s="54">
        <f t="shared" si="41"/>
        <v>0</v>
      </c>
      <c r="AR101" s="53">
        <f t="shared" si="42"/>
        <v>0</v>
      </c>
      <c r="AS101" s="409" t="str">
        <f t="shared" si="43"/>
        <v/>
      </c>
      <c r="AT101" s="54">
        <f t="shared" ref="AT101:AT116" si="94">IF(AB101=0,0,AND(G101&gt;0,M101-G101&gt;0.5))</f>
        <v>0</v>
      </c>
      <c r="AU101" s="54">
        <f t="shared" ref="AU101:AU116" si="95">IF(AB101=0,0,AND(ISNUMBER(N101),N101&gt;2))</f>
        <v>0</v>
      </c>
      <c r="AV101" s="54">
        <f t="shared" ref="AV101:AV116" si="96">IF(AB101=0,0,AND(AC101=TRUE,COUNT(G101:I101)=3,G101*H101&lt;&gt;I101))</f>
        <v>0</v>
      </c>
      <c r="AW101" s="55" t="b">
        <f t="shared" ref="AW101:AW116" ca="1" si="97">AND(UpperInputsAlerts=0,DudTableInputs=0,COUNTIF(BS101:BT101,TRUE)&lt;&gt;0)</f>
        <v>0</v>
      </c>
      <c r="AX101" s="69"/>
      <c r="AY101" s="203">
        <f t="shared" ref="AY101:AY116" ca="1" si="98">IF(N101="",0,INDEX(Projections,MATCH(N101,Projections,1),1))</f>
        <v>0</v>
      </c>
      <c r="AZ101" s="72">
        <f t="shared" ref="AZ101:AZ116" ca="1" si="99">IF(N101="",0,IF(AY101=2,2,INDEX(Projections,MATCH(N101,Projections,1)+1,1)))</f>
        <v>0</v>
      </c>
      <c r="BA101" s="72">
        <f t="shared" ca="1" si="78"/>
        <v>0</v>
      </c>
      <c r="BB101" s="75">
        <f t="shared" ref="BB101:BB116" ca="1" si="100">IF(OR(N101="",BA101=0),0,(N101-AY101)/BA101)</f>
        <v>0</v>
      </c>
      <c r="BC101" s="209">
        <f t="shared" ref="BC101:BC116" si="101">IF(OR(AB101=0,AP101&lt;&gt;TRUE),0,F101)</f>
        <v>0</v>
      </c>
      <c r="BD101" s="72">
        <f t="shared" si="79"/>
        <v>0</v>
      </c>
      <c r="BE101" s="72">
        <f t="shared" si="80"/>
        <v>0</v>
      </c>
      <c r="BF101" s="72">
        <f t="shared" si="81"/>
        <v>0</v>
      </c>
      <c r="BG101" s="200">
        <f t="shared" ca="1" si="82"/>
        <v>0</v>
      </c>
      <c r="BH101" s="69"/>
      <c r="BI101" s="198">
        <f t="shared" si="18"/>
        <v>0</v>
      </c>
      <c r="BJ101" s="71">
        <f t="shared" si="19"/>
        <v>0</v>
      </c>
      <c r="BK101" s="72">
        <f t="shared" si="83"/>
        <v>0</v>
      </c>
      <c r="BL101" s="72">
        <f t="shared" ca="1" si="84"/>
        <v>0</v>
      </c>
      <c r="BM101" s="200">
        <f t="shared" ref="BM101:BM116" ca="1" si="102">P101*K101*BL101</f>
        <v>0</v>
      </c>
      <c r="BN101" s="69"/>
      <c r="BO101" s="198">
        <f t="shared" ref="BO101:BO116" si="103">IF(AP101=TRUE,IF(P101="",0,P101)*J101,0)</f>
        <v>0</v>
      </c>
      <c r="BP101" s="72">
        <f t="shared" ref="BP101:BP116" ca="1" si="104">K101*IF(P101="",0,P101)*BG101</f>
        <v>0</v>
      </c>
      <c r="BQ101" s="78">
        <f t="shared" si="85"/>
        <v>0</v>
      </c>
      <c r="BR101" s="78">
        <f t="shared" si="86"/>
        <v>0</v>
      </c>
      <c r="BS101" s="80">
        <f t="shared" ref="BS101:BS116" ca="1" si="105">IF(SUM(BO101:BP101)=0,0,AND(AC101=TRUE,BO$27&lt;0))</f>
        <v>0</v>
      </c>
      <c r="BT101" s="80">
        <f t="shared" ref="BT101:BT116" ca="1" si="106">IF(SUM(BO101:BP101)=0,0,AND(AC101=TRUE,BP$27&lt;0))</f>
        <v>0</v>
      </c>
      <c r="BU101" s="259" t="str">
        <f t="shared" ca="1" si="87"/>
        <v/>
      </c>
      <c r="BV101" s="206" t="str">
        <f t="shared" ca="1" si="88"/>
        <v/>
      </c>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row>
    <row r="102" spans="1:116" ht="12.75" hidden="1" customHeight="1">
      <c r="A102" s="5"/>
      <c r="B102" s="327" t="str">
        <f t="shared" si="28"/>
        <v>-</v>
      </c>
      <c r="C102" s="398">
        <v>66</v>
      </c>
      <c r="D102" s="688"/>
      <c r="E102" s="689"/>
      <c r="F102" s="476"/>
      <c r="G102" s="483"/>
      <c r="H102" s="466"/>
      <c r="I102" s="467"/>
      <c r="J102" s="489"/>
      <c r="K102" s="490"/>
      <c r="L102" s="491"/>
      <c r="M102" s="492"/>
      <c r="N102" s="373" t="str">
        <f t="shared" ca="1" si="89"/>
        <v/>
      </c>
      <c r="O102" s="374" t="str">
        <f t="shared" ca="1" si="90"/>
        <v/>
      </c>
      <c r="P102" s="375">
        <f t="shared" ca="1" si="91"/>
        <v>0</v>
      </c>
      <c r="Q102" s="384" t="str">
        <f t="shared" ca="1" si="72"/>
        <v/>
      </c>
      <c r="R102" s="385" t="str">
        <f t="shared" ca="1" si="92"/>
        <v/>
      </c>
      <c r="S102" s="386">
        <f t="shared" ca="1" si="73"/>
        <v>0</v>
      </c>
      <c r="T102" s="387" t="str">
        <f t="shared" ca="1" si="93"/>
        <v/>
      </c>
      <c r="U102" s="5"/>
      <c r="V102" s="6"/>
      <c r="W102" s="4"/>
      <c r="X102" s="4">
        <v>66</v>
      </c>
      <c r="Y102" s="104" t="str">
        <f t="shared" si="74"/>
        <v>-</v>
      </c>
      <c r="Z102" s="104">
        <f t="shared" si="75"/>
        <v>0</v>
      </c>
      <c r="AA102" s="4"/>
      <c r="AB102" s="53">
        <f t="shared" si="76"/>
        <v>0</v>
      </c>
      <c r="AC102" s="54">
        <f>IF(SUM(AB102:AB$116)=0,0,F102&gt;0)</f>
        <v>0</v>
      </c>
      <c r="AD102" s="53">
        <f t="shared" si="77"/>
        <v>0</v>
      </c>
      <c r="AE102" s="54">
        <f>IF(SUM(AB102:AB$116)=0,0,AND(AC102=FALSE,AD102=0,SUM(AD102:AD$116)&gt;0))</f>
        <v>0</v>
      </c>
      <c r="AF102" s="54">
        <f t="shared" ref="AF102:AF116" si="107">IF(AB102=0,0,AND(AC102=FALSE,AD102&gt;0))</f>
        <v>0</v>
      </c>
      <c r="AG102" s="54">
        <f t="shared" ref="AG102:AG116" si="108">IF(AB102=0,0,AND(AH102&lt;&gt;TRUE,COUNTIF(AJ102:AO102,TRUE)=0,G102=0,L102&lt;&gt;"device",M102&gt;0))</f>
        <v>0</v>
      </c>
      <c r="AH102" s="56">
        <f t="shared" ref="AH102:AH116" si="109">IF(AB102=0,0,AND(AC102=TRUE,G102*H102=0,I102=0))</f>
        <v>0</v>
      </c>
      <c r="AI102" s="56">
        <f t="shared" ref="AI102:AI116" si="110">IF(H102=0,0,G102*H102&lt;I102)</f>
        <v>0</v>
      </c>
      <c r="AJ102" s="54">
        <f t="shared" ref="AJ102:AJ116" si="111">IF(AB102=0,0,AND(AC102=TRUE,AH102=FALSE,ISBLANK(J102)))</f>
        <v>0</v>
      </c>
      <c r="AK102" s="54" t="str">
        <f t="shared" ref="AK102:AK116" si="112">IF(AND(AJ102=TRUE,AL102=TRUE),AK$36,"")</f>
        <v/>
      </c>
      <c r="AL102" s="54">
        <f t="shared" ref="AL102:AL116" si="113">IF(AB102=0,0,AND(AC102=TRUE,AH102=FALSE,ISBLANK(K102)))</f>
        <v>0</v>
      </c>
      <c r="AM102" s="54">
        <f t="shared" ref="AM102:AM116" si="114">IF(AB102=0,0,AND(AJ102=FALSE,AL102=FALSE,OR(L102&lt;0,AND(ISTEXT(L102),L102&lt;&gt;"device"))))</f>
        <v>0</v>
      </c>
      <c r="AN102" s="54">
        <f t="shared" ref="AN102:AN116" si="115">IF(AB102=0,0,AND(AC102=TRUE,AH102=FALSE,AJ102=FALSE,AL102=FALSE,AM102=FALSE,L102&gt;0,L102&lt;&gt;"device",M102=0))</f>
        <v>0</v>
      </c>
      <c r="AO102" s="54">
        <f t="shared" ref="AO102:AO116" si="116">IF(AB102=0,0,AND(AC102=TRUE,AH102=FALSE,AJ102=FALSE,AL102=FALSE,M102&gt;0,OR(L102=0,L102="device")))</f>
        <v>0</v>
      </c>
      <c r="AP102" s="54">
        <f t="shared" ref="AP102:AP116" si="117">IF(AND(AB102=0,AE102&lt;&gt;TRUE),0,AND(AC102=TRUE,COUNTIF(AE102:AH102,TRUE)=0,COUNTIF(AJ102:AO102,TRUE)=0))</f>
        <v>0</v>
      </c>
      <c r="AQ102" s="54">
        <f t="shared" ref="AQ102:AQ116" si="118">IF(AB102=0,0,AND(L102&gt;0,AP102=TRUE))</f>
        <v>0</v>
      </c>
      <c r="AR102" s="53">
        <f t="shared" ref="AR102:AR116" si="119">IF(AND(AB102=0,AE102&lt;&gt;TRUE),0,COUNTIF(AF102:AH102,TRUE)+COUNTIF(AJ102:AO102,TRUE))</f>
        <v>0</v>
      </c>
      <c r="AS102" s="409" t="str">
        <f t="shared" ref="AS102:AS116" si="120">IF(AR102&gt;0,"Input "&amp;IF(AC102=TRUE,"alert","issue")&amp;IF(AR102=1,": ","s: "),"")&amp;IF(AE102=TRUE,AE$36,"")&amp;IF(AF102=TRUE,AF$36&amp;" (but "&amp;AD102&amp;" input"&amp;IF(AD102=1,") ","s) "),"")&amp;IF(AG102=TRUE,AG$36&amp;" ","")&amp;IF(AH102=TRUE,AH$36&amp;" ","")&amp;IF(AJ102=TRUE,AJ$36,"")&amp;AK102&amp;IF(AL102=TRUE,AL$36,"")&amp;IF(OR(AJ102=TRUE,AL102=TRUE)," needed","")&amp;IF(AM102=TRUE,AM$36&amp;" ","")&amp;IF(AN102=TRUE,AN$36&amp;" ","")&amp;IF(AO102=TRUE,IF(L102="device","shading H not needed",AO$36),"")</f>
        <v/>
      </c>
      <c r="AT102" s="54">
        <f t="shared" si="94"/>
        <v>0</v>
      </c>
      <c r="AU102" s="54">
        <f t="shared" si="95"/>
        <v>0</v>
      </c>
      <c r="AV102" s="54">
        <f t="shared" si="96"/>
        <v>0</v>
      </c>
      <c r="AW102" s="55" t="b">
        <f t="shared" ca="1" si="97"/>
        <v>0</v>
      </c>
      <c r="AX102" s="69"/>
      <c r="AY102" s="203">
        <f t="shared" ca="1" si="98"/>
        <v>0</v>
      </c>
      <c r="AZ102" s="72">
        <f t="shared" ca="1" si="99"/>
        <v>0</v>
      </c>
      <c r="BA102" s="72">
        <f t="shared" ca="1" si="78"/>
        <v>0</v>
      </c>
      <c r="BB102" s="75">
        <f t="shared" ca="1" si="100"/>
        <v>0</v>
      </c>
      <c r="BC102" s="209">
        <f t="shared" si="101"/>
        <v>0</v>
      </c>
      <c r="BD102" s="72">
        <f t="shared" si="79"/>
        <v>0</v>
      </c>
      <c r="BE102" s="72">
        <f t="shared" si="80"/>
        <v>0</v>
      </c>
      <c r="BF102" s="72">
        <f t="shared" si="81"/>
        <v>0</v>
      </c>
      <c r="BG102" s="200">
        <f t="shared" ca="1" si="82"/>
        <v>0</v>
      </c>
      <c r="BH102" s="69"/>
      <c r="BI102" s="198">
        <f t="shared" si="18"/>
        <v>0</v>
      </c>
      <c r="BJ102" s="71">
        <f t="shared" si="19"/>
        <v>0</v>
      </c>
      <c r="BK102" s="72">
        <f t="shared" si="83"/>
        <v>0</v>
      </c>
      <c r="BL102" s="72">
        <f t="shared" ca="1" si="84"/>
        <v>0</v>
      </c>
      <c r="BM102" s="200">
        <f t="shared" ca="1" si="102"/>
        <v>0</v>
      </c>
      <c r="BN102" s="69"/>
      <c r="BO102" s="198">
        <f t="shared" si="103"/>
        <v>0</v>
      </c>
      <c r="BP102" s="72">
        <f t="shared" ca="1" si="104"/>
        <v>0</v>
      </c>
      <c r="BQ102" s="78">
        <f t="shared" si="85"/>
        <v>0</v>
      </c>
      <c r="BR102" s="78">
        <f t="shared" si="86"/>
        <v>0</v>
      </c>
      <c r="BS102" s="80">
        <f t="shared" ca="1" si="105"/>
        <v>0</v>
      </c>
      <c r="BT102" s="80">
        <f t="shared" ca="1" si="106"/>
        <v>0</v>
      </c>
      <c r="BU102" s="259" t="str">
        <f t="shared" ca="1" si="87"/>
        <v/>
      </c>
      <c r="BV102" s="206" t="str">
        <f t="shared" ca="1" si="88"/>
        <v/>
      </c>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row>
    <row r="103" spans="1:116" ht="12.75" hidden="1" customHeight="1">
      <c r="A103" s="5"/>
      <c r="B103" s="327" t="str">
        <f t="shared" si="28"/>
        <v>-</v>
      </c>
      <c r="C103" s="398">
        <v>67</v>
      </c>
      <c r="D103" s="688"/>
      <c r="E103" s="689"/>
      <c r="F103" s="476"/>
      <c r="G103" s="483"/>
      <c r="H103" s="466"/>
      <c r="I103" s="467"/>
      <c r="J103" s="489"/>
      <c r="K103" s="490"/>
      <c r="L103" s="491"/>
      <c r="M103" s="492"/>
      <c r="N103" s="373" t="str">
        <f t="shared" ca="1" si="89"/>
        <v/>
      </c>
      <c r="O103" s="374" t="str">
        <f t="shared" ca="1" si="90"/>
        <v/>
      </c>
      <c r="P103" s="375">
        <f t="shared" ca="1" si="91"/>
        <v>0</v>
      </c>
      <c r="Q103" s="384" t="str">
        <f t="shared" ca="1" si="72"/>
        <v/>
      </c>
      <c r="R103" s="385" t="str">
        <f t="shared" ca="1" si="92"/>
        <v/>
      </c>
      <c r="S103" s="386">
        <f t="shared" ca="1" si="73"/>
        <v>0</v>
      </c>
      <c r="T103" s="387" t="str">
        <f t="shared" ca="1" si="93"/>
        <v/>
      </c>
      <c r="U103" s="5"/>
      <c r="V103" s="6"/>
      <c r="W103" s="4"/>
      <c r="X103" s="4">
        <v>67</v>
      </c>
      <c r="Y103" s="104" t="str">
        <f t="shared" si="74"/>
        <v>-</v>
      </c>
      <c r="Z103" s="104">
        <f t="shared" si="75"/>
        <v>0</v>
      </c>
      <c r="AA103" s="4"/>
      <c r="AB103" s="53">
        <f t="shared" si="76"/>
        <v>0</v>
      </c>
      <c r="AC103" s="54">
        <f>IF(SUM(AB103:AB$116)=0,0,F103&gt;0)</f>
        <v>0</v>
      </c>
      <c r="AD103" s="53">
        <f t="shared" si="77"/>
        <v>0</v>
      </c>
      <c r="AE103" s="54">
        <f>IF(SUM(AB103:AB$116)=0,0,AND(AC103=FALSE,AD103=0,SUM(AD103:AD$116)&gt;0))</f>
        <v>0</v>
      </c>
      <c r="AF103" s="54">
        <f t="shared" si="107"/>
        <v>0</v>
      </c>
      <c r="AG103" s="54">
        <f t="shared" si="108"/>
        <v>0</v>
      </c>
      <c r="AH103" s="56">
        <f t="shared" si="109"/>
        <v>0</v>
      </c>
      <c r="AI103" s="56">
        <f t="shared" si="110"/>
        <v>0</v>
      </c>
      <c r="AJ103" s="54">
        <f t="shared" si="111"/>
        <v>0</v>
      </c>
      <c r="AK103" s="54" t="str">
        <f t="shared" si="112"/>
        <v/>
      </c>
      <c r="AL103" s="54">
        <f t="shared" si="113"/>
        <v>0</v>
      </c>
      <c r="AM103" s="54">
        <f t="shared" si="114"/>
        <v>0</v>
      </c>
      <c r="AN103" s="54">
        <f t="shared" si="115"/>
        <v>0</v>
      </c>
      <c r="AO103" s="54">
        <f t="shared" si="116"/>
        <v>0</v>
      </c>
      <c r="AP103" s="54">
        <f t="shared" si="117"/>
        <v>0</v>
      </c>
      <c r="AQ103" s="54">
        <f t="shared" si="118"/>
        <v>0</v>
      </c>
      <c r="AR103" s="53">
        <f t="shared" si="119"/>
        <v>0</v>
      </c>
      <c r="AS103" s="409" t="str">
        <f t="shared" si="120"/>
        <v/>
      </c>
      <c r="AT103" s="54">
        <f t="shared" si="94"/>
        <v>0</v>
      </c>
      <c r="AU103" s="54">
        <f t="shared" si="95"/>
        <v>0</v>
      </c>
      <c r="AV103" s="54">
        <f t="shared" si="96"/>
        <v>0</v>
      </c>
      <c r="AW103" s="55" t="b">
        <f t="shared" ca="1" si="97"/>
        <v>0</v>
      </c>
      <c r="AX103" s="69"/>
      <c r="AY103" s="203">
        <f t="shared" ca="1" si="98"/>
        <v>0</v>
      </c>
      <c r="AZ103" s="72">
        <f t="shared" ca="1" si="99"/>
        <v>0</v>
      </c>
      <c r="BA103" s="72">
        <f t="shared" ca="1" si="78"/>
        <v>0</v>
      </c>
      <c r="BB103" s="75">
        <f t="shared" ca="1" si="100"/>
        <v>0</v>
      </c>
      <c r="BC103" s="209">
        <f t="shared" si="101"/>
        <v>0</v>
      </c>
      <c r="BD103" s="72">
        <f t="shared" si="79"/>
        <v>0</v>
      </c>
      <c r="BE103" s="72">
        <f t="shared" si="80"/>
        <v>0</v>
      </c>
      <c r="BF103" s="72">
        <f t="shared" si="81"/>
        <v>0</v>
      </c>
      <c r="BG103" s="200">
        <f t="shared" ca="1" si="82"/>
        <v>0</v>
      </c>
      <c r="BH103" s="69"/>
      <c r="BI103" s="198">
        <f t="shared" si="18"/>
        <v>0</v>
      </c>
      <c r="BJ103" s="71">
        <f t="shared" si="19"/>
        <v>0</v>
      </c>
      <c r="BK103" s="72">
        <f t="shared" si="83"/>
        <v>0</v>
      </c>
      <c r="BL103" s="72">
        <f t="shared" ca="1" si="84"/>
        <v>0</v>
      </c>
      <c r="BM103" s="200">
        <f t="shared" ca="1" si="102"/>
        <v>0</v>
      </c>
      <c r="BN103" s="69"/>
      <c r="BO103" s="198">
        <f t="shared" si="103"/>
        <v>0</v>
      </c>
      <c r="BP103" s="72">
        <f t="shared" ca="1" si="104"/>
        <v>0</v>
      </c>
      <c r="BQ103" s="78">
        <f t="shared" si="85"/>
        <v>0</v>
      </c>
      <c r="BR103" s="78">
        <f t="shared" si="86"/>
        <v>0</v>
      </c>
      <c r="BS103" s="80">
        <f t="shared" ca="1" si="105"/>
        <v>0</v>
      </c>
      <c r="BT103" s="80">
        <f t="shared" ca="1" si="106"/>
        <v>0</v>
      </c>
      <c r="BU103" s="259" t="str">
        <f t="shared" ca="1" si="87"/>
        <v/>
      </c>
      <c r="BV103" s="206" t="str">
        <f t="shared" ca="1" si="88"/>
        <v/>
      </c>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row>
    <row r="104" spans="1:116" ht="12.75" hidden="1" customHeight="1">
      <c r="A104" s="5"/>
      <c r="B104" s="327" t="str">
        <f t="shared" si="28"/>
        <v>-</v>
      </c>
      <c r="C104" s="398">
        <v>68</v>
      </c>
      <c r="D104" s="688"/>
      <c r="E104" s="689"/>
      <c r="F104" s="476"/>
      <c r="G104" s="483"/>
      <c r="H104" s="466"/>
      <c r="I104" s="467"/>
      <c r="J104" s="489"/>
      <c r="K104" s="490"/>
      <c r="L104" s="491"/>
      <c r="M104" s="492"/>
      <c r="N104" s="373" t="str">
        <f t="shared" ca="1" si="89"/>
        <v/>
      </c>
      <c r="O104" s="374" t="str">
        <f t="shared" ca="1" si="90"/>
        <v/>
      </c>
      <c r="P104" s="375">
        <f t="shared" ca="1" si="91"/>
        <v>0</v>
      </c>
      <c r="Q104" s="384" t="str">
        <f t="shared" ca="1" si="72"/>
        <v/>
      </c>
      <c r="R104" s="385" t="str">
        <f t="shared" ca="1" si="92"/>
        <v/>
      </c>
      <c r="S104" s="386">
        <f t="shared" ca="1" si="73"/>
        <v>0</v>
      </c>
      <c r="T104" s="387" t="str">
        <f t="shared" ca="1" si="93"/>
        <v/>
      </c>
      <c r="U104" s="5"/>
      <c r="V104" s="6"/>
      <c r="W104" s="4"/>
      <c r="X104" s="4">
        <v>68</v>
      </c>
      <c r="Y104" s="104" t="str">
        <f t="shared" si="74"/>
        <v>-</v>
      </c>
      <c r="Z104" s="104">
        <f t="shared" si="75"/>
        <v>0</v>
      </c>
      <c r="AA104" s="4"/>
      <c r="AB104" s="53">
        <f t="shared" si="76"/>
        <v>0</v>
      </c>
      <c r="AC104" s="54">
        <f>IF(SUM(AB104:AB$116)=0,0,F104&gt;0)</f>
        <v>0</v>
      </c>
      <c r="AD104" s="53">
        <f t="shared" si="77"/>
        <v>0</v>
      </c>
      <c r="AE104" s="54">
        <f>IF(SUM(AB104:AB$116)=0,0,AND(AC104=FALSE,AD104=0,SUM(AD104:AD$116)&gt;0))</f>
        <v>0</v>
      </c>
      <c r="AF104" s="54">
        <f t="shared" si="107"/>
        <v>0</v>
      </c>
      <c r="AG104" s="54">
        <f t="shared" si="108"/>
        <v>0</v>
      </c>
      <c r="AH104" s="56">
        <f t="shared" si="109"/>
        <v>0</v>
      </c>
      <c r="AI104" s="56">
        <f t="shared" si="110"/>
        <v>0</v>
      </c>
      <c r="AJ104" s="54">
        <f t="shared" si="111"/>
        <v>0</v>
      </c>
      <c r="AK104" s="54" t="str">
        <f t="shared" si="112"/>
        <v/>
      </c>
      <c r="AL104" s="54">
        <f t="shared" si="113"/>
        <v>0</v>
      </c>
      <c r="AM104" s="54">
        <f t="shared" si="114"/>
        <v>0</v>
      </c>
      <c r="AN104" s="54">
        <f t="shared" si="115"/>
        <v>0</v>
      </c>
      <c r="AO104" s="54">
        <f t="shared" si="116"/>
        <v>0</v>
      </c>
      <c r="AP104" s="54">
        <f t="shared" si="117"/>
        <v>0</v>
      </c>
      <c r="AQ104" s="54">
        <f t="shared" si="118"/>
        <v>0</v>
      </c>
      <c r="AR104" s="53">
        <f t="shared" si="119"/>
        <v>0</v>
      </c>
      <c r="AS104" s="409" t="str">
        <f t="shared" si="120"/>
        <v/>
      </c>
      <c r="AT104" s="54">
        <f t="shared" si="94"/>
        <v>0</v>
      </c>
      <c r="AU104" s="54">
        <f t="shared" si="95"/>
        <v>0</v>
      </c>
      <c r="AV104" s="54">
        <f t="shared" si="96"/>
        <v>0</v>
      </c>
      <c r="AW104" s="55" t="b">
        <f t="shared" ca="1" si="97"/>
        <v>0</v>
      </c>
      <c r="AX104" s="69"/>
      <c r="AY104" s="203">
        <f t="shared" ca="1" si="98"/>
        <v>0</v>
      </c>
      <c r="AZ104" s="72">
        <f t="shared" ca="1" si="99"/>
        <v>0</v>
      </c>
      <c r="BA104" s="72">
        <f t="shared" ca="1" si="78"/>
        <v>0</v>
      </c>
      <c r="BB104" s="75">
        <f t="shared" ca="1" si="100"/>
        <v>0</v>
      </c>
      <c r="BC104" s="209">
        <f t="shared" si="101"/>
        <v>0</v>
      </c>
      <c r="BD104" s="72">
        <f t="shared" si="79"/>
        <v>0</v>
      </c>
      <c r="BE104" s="72">
        <f t="shared" si="80"/>
        <v>0</v>
      </c>
      <c r="BF104" s="72">
        <f t="shared" si="81"/>
        <v>0</v>
      </c>
      <c r="BG104" s="200">
        <f t="shared" ca="1" si="82"/>
        <v>0</v>
      </c>
      <c r="BH104" s="69"/>
      <c r="BI104" s="198">
        <f t="shared" si="18"/>
        <v>0</v>
      </c>
      <c r="BJ104" s="71">
        <f t="shared" si="19"/>
        <v>0</v>
      </c>
      <c r="BK104" s="72">
        <f t="shared" si="83"/>
        <v>0</v>
      </c>
      <c r="BL104" s="72">
        <f t="shared" ca="1" si="84"/>
        <v>0</v>
      </c>
      <c r="BM104" s="200">
        <f t="shared" ca="1" si="102"/>
        <v>0</v>
      </c>
      <c r="BN104" s="69"/>
      <c r="BO104" s="198">
        <f t="shared" si="103"/>
        <v>0</v>
      </c>
      <c r="BP104" s="72">
        <f t="shared" ca="1" si="104"/>
        <v>0</v>
      </c>
      <c r="BQ104" s="78">
        <f t="shared" si="85"/>
        <v>0</v>
      </c>
      <c r="BR104" s="78">
        <f t="shared" si="86"/>
        <v>0</v>
      </c>
      <c r="BS104" s="80">
        <f t="shared" ca="1" si="105"/>
        <v>0</v>
      </c>
      <c r="BT104" s="80">
        <f t="shared" ca="1" si="106"/>
        <v>0</v>
      </c>
      <c r="BU104" s="259" t="str">
        <f t="shared" ca="1" si="87"/>
        <v/>
      </c>
      <c r="BV104" s="206" t="str">
        <f t="shared" ca="1" si="88"/>
        <v/>
      </c>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row>
    <row r="105" spans="1:116" ht="12.75" hidden="1" customHeight="1">
      <c r="A105" s="5"/>
      <c r="B105" s="327" t="str">
        <f t="shared" si="28"/>
        <v>-</v>
      </c>
      <c r="C105" s="398">
        <v>69</v>
      </c>
      <c r="D105" s="688"/>
      <c r="E105" s="689"/>
      <c r="F105" s="476"/>
      <c r="G105" s="483"/>
      <c r="H105" s="466"/>
      <c r="I105" s="467"/>
      <c r="J105" s="489"/>
      <c r="K105" s="490"/>
      <c r="L105" s="491"/>
      <c r="M105" s="492"/>
      <c r="N105" s="373" t="str">
        <f t="shared" ca="1" si="89"/>
        <v/>
      </c>
      <c r="O105" s="374" t="str">
        <f t="shared" ca="1" si="90"/>
        <v/>
      </c>
      <c r="P105" s="375">
        <f t="shared" ca="1" si="91"/>
        <v>0</v>
      </c>
      <c r="Q105" s="384" t="str">
        <f t="shared" ca="1" si="72"/>
        <v/>
      </c>
      <c r="R105" s="385" t="str">
        <f t="shared" ca="1" si="92"/>
        <v/>
      </c>
      <c r="S105" s="386">
        <f t="shared" ca="1" si="73"/>
        <v>0</v>
      </c>
      <c r="T105" s="387" t="str">
        <f t="shared" ca="1" si="93"/>
        <v/>
      </c>
      <c r="U105" s="5"/>
      <c r="V105" s="6"/>
      <c r="W105" s="4"/>
      <c r="X105" s="4">
        <v>69</v>
      </c>
      <c r="Y105" s="104" t="str">
        <f t="shared" si="74"/>
        <v>-</v>
      </c>
      <c r="Z105" s="104">
        <f t="shared" si="75"/>
        <v>0</v>
      </c>
      <c r="AA105" s="4"/>
      <c r="AB105" s="53">
        <f t="shared" si="76"/>
        <v>0</v>
      </c>
      <c r="AC105" s="54">
        <f>IF(SUM(AB105:AB$116)=0,0,F105&gt;0)</f>
        <v>0</v>
      </c>
      <c r="AD105" s="53">
        <f t="shared" si="77"/>
        <v>0</v>
      </c>
      <c r="AE105" s="54">
        <f>IF(SUM(AB105:AB$116)=0,0,AND(AC105=FALSE,AD105=0,SUM(AD105:AD$116)&gt;0))</f>
        <v>0</v>
      </c>
      <c r="AF105" s="54">
        <f t="shared" si="107"/>
        <v>0</v>
      </c>
      <c r="AG105" s="54">
        <f t="shared" si="108"/>
        <v>0</v>
      </c>
      <c r="AH105" s="56">
        <f t="shared" si="109"/>
        <v>0</v>
      </c>
      <c r="AI105" s="56">
        <f t="shared" si="110"/>
        <v>0</v>
      </c>
      <c r="AJ105" s="54">
        <f t="shared" si="111"/>
        <v>0</v>
      </c>
      <c r="AK105" s="54" t="str">
        <f t="shared" si="112"/>
        <v/>
      </c>
      <c r="AL105" s="54">
        <f t="shared" si="113"/>
        <v>0</v>
      </c>
      <c r="AM105" s="54">
        <f t="shared" si="114"/>
        <v>0</v>
      </c>
      <c r="AN105" s="54">
        <f t="shared" si="115"/>
        <v>0</v>
      </c>
      <c r="AO105" s="54">
        <f t="shared" si="116"/>
        <v>0</v>
      </c>
      <c r="AP105" s="54">
        <f t="shared" si="117"/>
        <v>0</v>
      </c>
      <c r="AQ105" s="54">
        <f t="shared" si="118"/>
        <v>0</v>
      </c>
      <c r="AR105" s="53">
        <f t="shared" si="119"/>
        <v>0</v>
      </c>
      <c r="AS105" s="409" t="str">
        <f t="shared" si="120"/>
        <v/>
      </c>
      <c r="AT105" s="54">
        <f t="shared" si="94"/>
        <v>0</v>
      </c>
      <c r="AU105" s="54">
        <f t="shared" si="95"/>
        <v>0</v>
      </c>
      <c r="AV105" s="54">
        <f t="shared" si="96"/>
        <v>0</v>
      </c>
      <c r="AW105" s="55" t="b">
        <f t="shared" ca="1" si="97"/>
        <v>0</v>
      </c>
      <c r="AX105" s="69"/>
      <c r="AY105" s="203">
        <f t="shared" ca="1" si="98"/>
        <v>0</v>
      </c>
      <c r="AZ105" s="72">
        <f t="shared" ca="1" si="99"/>
        <v>0</v>
      </c>
      <c r="BA105" s="72">
        <f t="shared" ca="1" si="78"/>
        <v>0</v>
      </c>
      <c r="BB105" s="75">
        <f t="shared" ca="1" si="100"/>
        <v>0</v>
      </c>
      <c r="BC105" s="209">
        <f t="shared" si="101"/>
        <v>0</v>
      </c>
      <c r="BD105" s="72">
        <f t="shared" si="79"/>
        <v>0</v>
      </c>
      <c r="BE105" s="72">
        <f t="shared" si="80"/>
        <v>0</v>
      </c>
      <c r="BF105" s="72">
        <f t="shared" si="81"/>
        <v>0</v>
      </c>
      <c r="BG105" s="200">
        <f t="shared" ca="1" si="82"/>
        <v>0</v>
      </c>
      <c r="BH105" s="69"/>
      <c r="BI105" s="198">
        <f t="shared" si="18"/>
        <v>0</v>
      </c>
      <c r="BJ105" s="71">
        <f t="shared" si="19"/>
        <v>0</v>
      </c>
      <c r="BK105" s="72">
        <f t="shared" si="83"/>
        <v>0</v>
      </c>
      <c r="BL105" s="72">
        <f t="shared" ca="1" si="84"/>
        <v>0</v>
      </c>
      <c r="BM105" s="200">
        <f t="shared" ca="1" si="102"/>
        <v>0</v>
      </c>
      <c r="BN105" s="69"/>
      <c r="BO105" s="198">
        <f t="shared" si="103"/>
        <v>0</v>
      </c>
      <c r="BP105" s="72">
        <f t="shared" ca="1" si="104"/>
        <v>0</v>
      </c>
      <c r="BQ105" s="78">
        <f t="shared" si="85"/>
        <v>0</v>
      </c>
      <c r="BR105" s="78">
        <f t="shared" si="86"/>
        <v>0</v>
      </c>
      <c r="BS105" s="80">
        <f t="shared" ca="1" si="105"/>
        <v>0</v>
      </c>
      <c r="BT105" s="80">
        <f t="shared" ca="1" si="106"/>
        <v>0</v>
      </c>
      <c r="BU105" s="259" t="str">
        <f t="shared" ca="1" si="87"/>
        <v/>
      </c>
      <c r="BV105" s="206" t="str">
        <f t="shared" ca="1" si="88"/>
        <v/>
      </c>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row>
    <row r="106" spans="1:116" ht="12.75" hidden="1" customHeight="1">
      <c r="A106" s="5"/>
      <c r="B106" s="327" t="str">
        <f t="shared" si="28"/>
        <v>-</v>
      </c>
      <c r="C106" s="398">
        <v>70</v>
      </c>
      <c r="D106" s="688"/>
      <c r="E106" s="689"/>
      <c r="F106" s="476"/>
      <c r="G106" s="483"/>
      <c r="H106" s="466"/>
      <c r="I106" s="467"/>
      <c r="J106" s="489"/>
      <c r="K106" s="490"/>
      <c r="L106" s="491"/>
      <c r="M106" s="492"/>
      <c r="N106" s="373" t="str">
        <f t="shared" ca="1" si="89"/>
        <v/>
      </c>
      <c r="O106" s="374" t="str">
        <f t="shared" ca="1" si="90"/>
        <v/>
      </c>
      <c r="P106" s="375">
        <f t="shared" ca="1" si="91"/>
        <v>0</v>
      </c>
      <c r="Q106" s="384" t="str">
        <f t="shared" ca="1" si="72"/>
        <v/>
      </c>
      <c r="R106" s="385" t="str">
        <f t="shared" ca="1" si="92"/>
        <v/>
      </c>
      <c r="S106" s="386">
        <f t="shared" ca="1" si="73"/>
        <v>0</v>
      </c>
      <c r="T106" s="387" t="str">
        <f t="shared" ca="1" si="93"/>
        <v/>
      </c>
      <c r="U106" s="5"/>
      <c r="V106" s="6"/>
      <c r="W106" s="4"/>
      <c r="X106" s="4">
        <v>70</v>
      </c>
      <c r="Y106" s="104" t="str">
        <f t="shared" si="74"/>
        <v>-</v>
      </c>
      <c r="Z106" s="104">
        <f t="shared" si="75"/>
        <v>0</v>
      </c>
      <c r="AA106" s="4"/>
      <c r="AB106" s="53">
        <f t="shared" si="76"/>
        <v>0</v>
      </c>
      <c r="AC106" s="54">
        <f>IF(SUM(AB106:AB$116)=0,0,F106&gt;0)</f>
        <v>0</v>
      </c>
      <c r="AD106" s="53">
        <f t="shared" si="77"/>
        <v>0</v>
      </c>
      <c r="AE106" s="54">
        <f>IF(SUM(AB106:AB$116)=0,0,AND(AC106=FALSE,AD106=0,SUM(AD106:AD$116)&gt;0))</f>
        <v>0</v>
      </c>
      <c r="AF106" s="54">
        <f t="shared" si="107"/>
        <v>0</v>
      </c>
      <c r="AG106" s="54">
        <f t="shared" si="108"/>
        <v>0</v>
      </c>
      <c r="AH106" s="56">
        <f t="shared" si="109"/>
        <v>0</v>
      </c>
      <c r="AI106" s="56">
        <f t="shared" si="110"/>
        <v>0</v>
      </c>
      <c r="AJ106" s="54">
        <f t="shared" si="111"/>
        <v>0</v>
      </c>
      <c r="AK106" s="54" t="str">
        <f t="shared" si="112"/>
        <v/>
      </c>
      <c r="AL106" s="54">
        <f t="shared" si="113"/>
        <v>0</v>
      </c>
      <c r="AM106" s="54">
        <f t="shared" si="114"/>
        <v>0</v>
      </c>
      <c r="AN106" s="54">
        <f t="shared" si="115"/>
        <v>0</v>
      </c>
      <c r="AO106" s="54">
        <f t="shared" si="116"/>
        <v>0</v>
      </c>
      <c r="AP106" s="54">
        <f t="shared" si="117"/>
        <v>0</v>
      </c>
      <c r="AQ106" s="54">
        <f t="shared" si="118"/>
        <v>0</v>
      </c>
      <c r="AR106" s="53">
        <f t="shared" si="119"/>
        <v>0</v>
      </c>
      <c r="AS106" s="409" t="str">
        <f t="shared" si="120"/>
        <v/>
      </c>
      <c r="AT106" s="54">
        <f t="shared" si="94"/>
        <v>0</v>
      </c>
      <c r="AU106" s="54">
        <f t="shared" si="95"/>
        <v>0</v>
      </c>
      <c r="AV106" s="54">
        <f t="shared" si="96"/>
        <v>0</v>
      </c>
      <c r="AW106" s="55" t="b">
        <f t="shared" ca="1" si="97"/>
        <v>0</v>
      </c>
      <c r="AX106" s="69"/>
      <c r="AY106" s="203">
        <f t="shared" ca="1" si="98"/>
        <v>0</v>
      </c>
      <c r="AZ106" s="72">
        <f t="shared" ca="1" si="99"/>
        <v>0</v>
      </c>
      <c r="BA106" s="72">
        <f t="shared" ca="1" si="78"/>
        <v>0</v>
      </c>
      <c r="BB106" s="75">
        <f t="shared" ca="1" si="100"/>
        <v>0</v>
      </c>
      <c r="BC106" s="209">
        <f t="shared" si="101"/>
        <v>0</v>
      </c>
      <c r="BD106" s="72">
        <f t="shared" si="79"/>
        <v>0</v>
      </c>
      <c r="BE106" s="72">
        <f t="shared" si="80"/>
        <v>0</v>
      </c>
      <c r="BF106" s="72">
        <f t="shared" si="81"/>
        <v>0</v>
      </c>
      <c r="BG106" s="200">
        <f t="shared" ca="1" si="82"/>
        <v>0</v>
      </c>
      <c r="BH106" s="69"/>
      <c r="BI106" s="198">
        <f t="shared" si="18"/>
        <v>0</v>
      </c>
      <c r="BJ106" s="71">
        <f t="shared" si="19"/>
        <v>0</v>
      </c>
      <c r="BK106" s="72">
        <f t="shared" si="83"/>
        <v>0</v>
      </c>
      <c r="BL106" s="72">
        <f t="shared" ca="1" si="84"/>
        <v>0</v>
      </c>
      <c r="BM106" s="200">
        <f t="shared" ca="1" si="102"/>
        <v>0</v>
      </c>
      <c r="BN106" s="69"/>
      <c r="BO106" s="198">
        <f t="shared" si="103"/>
        <v>0</v>
      </c>
      <c r="BP106" s="72">
        <f t="shared" ca="1" si="104"/>
        <v>0</v>
      </c>
      <c r="BQ106" s="78">
        <f t="shared" si="85"/>
        <v>0</v>
      </c>
      <c r="BR106" s="78">
        <f t="shared" si="86"/>
        <v>0</v>
      </c>
      <c r="BS106" s="80">
        <f t="shared" ca="1" si="105"/>
        <v>0</v>
      </c>
      <c r="BT106" s="80">
        <f t="shared" ca="1" si="106"/>
        <v>0</v>
      </c>
      <c r="BU106" s="259" t="str">
        <f t="shared" ca="1" si="87"/>
        <v/>
      </c>
      <c r="BV106" s="206" t="str">
        <f t="shared" ca="1" si="88"/>
        <v/>
      </c>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row>
    <row r="107" spans="1:116" ht="12.75" hidden="1" customHeight="1">
      <c r="A107" s="5"/>
      <c r="B107" s="327" t="str">
        <f t="shared" si="28"/>
        <v>-</v>
      </c>
      <c r="C107" s="398">
        <v>71</v>
      </c>
      <c r="D107" s="688"/>
      <c r="E107" s="689"/>
      <c r="F107" s="476"/>
      <c r="G107" s="483"/>
      <c r="H107" s="466"/>
      <c r="I107" s="467"/>
      <c r="J107" s="489"/>
      <c r="K107" s="490"/>
      <c r="L107" s="491"/>
      <c r="M107" s="492"/>
      <c r="N107" s="373" t="str">
        <f t="shared" ca="1" si="89"/>
        <v/>
      </c>
      <c r="O107" s="374" t="str">
        <f t="shared" ca="1" si="90"/>
        <v/>
      </c>
      <c r="P107" s="375">
        <f t="shared" ca="1" si="91"/>
        <v>0</v>
      </c>
      <c r="Q107" s="384" t="str">
        <f t="shared" ca="1" si="72"/>
        <v/>
      </c>
      <c r="R107" s="385" t="str">
        <f t="shared" ca="1" si="92"/>
        <v/>
      </c>
      <c r="S107" s="386">
        <f t="shared" ca="1" si="73"/>
        <v>0</v>
      </c>
      <c r="T107" s="387" t="str">
        <f t="shared" ca="1" si="93"/>
        <v/>
      </c>
      <c r="U107" s="5"/>
      <c r="V107" s="6"/>
      <c r="W107" s="4"/>
      <c r="X107" s="4">
        <v>71</v>
      </c>
      <c r="Y107" s="104" t="str">
        <f t="shared" si="74"/>
        <v>-</v>
      </c>
      <c r="Z107" s="104">
        <f t="shared" si="75"/>
        <v>0</v>
      </c>
      <c r="AA107" s="4"/>
      <c r="AB107" s="53">
        <f t="shared" si="76"/>
        <v>0</v>
      </c>
      <c r="AC107" s="54">
        <f>IF(SUM(AB107:AB$116)=0,0,F107&gt;0)</f>
        <v>0</v>
      </c>
      <c r="AD107" s="53">
        <f t="shared" si="77"/>
        <v>0</v>
      </c>
      <c r="AE107" s="54">
        <f>IF(SUM(AB107:AB$116)=0,0,AND(AC107=FALSE,AD107=0,SUM(AD107:AD$116)&gt;0))</f>
        <v>0</v>
      </c>
      <c r="AF107" s="54">
        <f t="shared" si="107"/>
        <v>0</v>
      </c>
      <c r="AG107" s="54">
        <f t="shared" si="108"/>
        <v>0</v>
      </c>
      <c r="AH107" s="56">
        <f t="shared" si="109"/>
        <v>0</v>
      </c>
      <c r="AI107" s="56">
        <f t="shared" si="110"/>
        <v>0</v>
      </c>
      <c r="AJ107" s="54">
        <f t="shared" si="111"/>
        <v>0</v>
      </c>
      <c r="AK107" s="54" t="str">
        <f t="shared" si="112"/>
        <v/>
      </c>
      <c r="AL107" s="54">
        <f t="shared" si="113"/>
        <v>0</v>
      </c>
      <c r="AM107" s="54">
        <f t="shared" si="114"/>
        <v>0</v>
      </c>
      <c r="AN107" s="54">
        <f t="shared" si="115"/>
        <v>0</v>
      </c>
      <c r="AO107" s="54">
        <f t="shared" si="116"/>
        <v>0</v>
      </c>
      <c r="AP107" s="54">
        <f t="shared" si="117"/>
        <v>0</v>
      </c>
      <c r="AQ107" s="54">
        <f t="shared" si="118"/>
        <v>0</v>
      </c>
      <c r="AR107" s="53">
        <f t="shared" si="119"/>
        <v>0</v>
      </c>
      <c r="AS107" s="409" t="str">
        <f t="shared" si="120"/>
        <v/>
      </c>
      <c r="AT107" s="54">
        <f t="shared" si="94"/>
        <v>0</v>
      </c>
      <c r="AU107" s="54">
        <f t="shared" si="95"/>
        <v>0</v>
      </c>
      <c r="AV107" s="54">
        <f t="shared" si="96"/>
        <v>0</v>
      </c>
      <c r="AW107" s="55" t="b">
        <f t="shared" ca="1" si="97"/>
        <v>0</v>
      </c>
      <c r="AX107" s="69"/>
      <c r="AY107" s="203">
        <f t="shared" ca="1" si="98"/>
        <v>0</v>
      </c>
      <c r="AZ107" s="72">
        <f t="shared" ca="1" si="99"/>
        <v>0</v>
      </c>
      <c r="BA107" s="72">
        <f t="shared" ca="1" si="78"/>
        <v>0</v>
      </c>
      <c r="BB107" s="75">
        <f t="shared" ca="1" si="100"/>
        <v>0</v>
      </c>
      <c r="BC107" s="209">
        <f t="shared" si="101"/>
        <v>0</v>
      </c>
      <c r="BD107" s="72">
        <f t="shared" si="79"/>
        <v>0</v>
      </c>
      <c r="BE107" s="72">
        <f t="shared" si="80"/>
        <v>0</v>
      </c>
      <c r="BF107" s="72">
        <f t="shared" si="81"/>
        <v>0</v>
      </c>
      <c r="BG107" s="200">
        <f t="shared" ca="1" si="82"/>
        <v>0</v>
      </c>
      <c r="BH107" s="69"/>
      <c r="BI107" s="198">
        <f t="shared" si="18"/>
        <v>0</v>
      </c>
      <c r="BJ107" s="71">
        <f t="shared" si="19"/>
        <v>0</v>
      </c>
      <c r="BK107" s="72">
        <f t="shared" si="83"/>
        <v>0</v>
      </c>
      <c r="BL107" s="72">
        <f t="shared" ca="1" si="84"/>
        <v>0</v>
      </c>
      <c r="BM107" s="200">
        <f t="shared" ca="1" si="102"/>
        <v>0</v>
      </c>
      <c r="BN107" s="69"/>
      <c r="BO107" s="198">
        <f t="shared" si="103"/>
        <v>0</v>
      </c>
      <c r="BP107" s="72">
        <f t="shared" ca="1" si="104"/>
        <v>0</v>
      </c>
      <c r="BQ107" s="78">
        <f t="shared" si="85"/>
        <v>0</v>
      </c>
      <c r="BR107" s="78">
        <f t="shared" si="86"/>
        <v>0</v>
      </c>
      <c r="BS107" s="80">
        <f t="shared" ca="1" si="105"/>
        <v>0</v>
      </c>
      <c r="BT107" s="80">
        <f t="shared" ca="1" si="106"/>
        <v>0</v>
      </c>
      <c r="BU107" s="259" t="str">
        <f t="shared" ca="1" si="87"/>
        <v/>
      </c>
      <c r="BV107" s="206" t="str">
        <f t="shared" ca="1" si="88"/>
        <v/>
      </c>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row>
    <row r="108" spans="1:116" ht="12.75" hidden="1" customHeight="1">
      <c r="A108" s="5"/>
      <c r="B108" s="327" t="str">
        <f t="shared" si="28"/>
        <v>-</v>
      </c>
      <c r="C108" s="398">
        <v>72</v>
      </c>
      <c r="D108" s="688"/>
      <c r="E108" s="689"/>
      <c r="F108" s="476"/>
      <c r="G108" s="483"/>
      <c r="H108" s="466"/>
      <c r="I108" s="467"/>
      <c r="J108" s="489"/>
      <c r="K108" s="490"/>
      <c r="L108" s="491"/>
      <c r="M108" s="492"/>
      <c r="N108" s="373" t="str">
        <f t="shared" ca="1" si="89"/>
        <v/>
      </c>
      <c r="O108" s="374" t="str">
        <f t="shared" ca="1" si="90"/>
        <v/>
      </c>
      <c r="P108" s="375">
        <f t="shared" ca="1" si="91"/>
        <v>0</v>
      </c>
      <c r="Q108" s="384" t="str">
        <f t="shared" ca="1" si="72"/>
        <v/>
      </c>
      <c r="R108" s="385" t="str">
        <f t="shared" ca="1" si="92"/>
        <v/>
      </c>
      <c r="S108" s="386">
        <f t="shared" ca="1" si="73"/>
        <v>0</v>
      </c>
      <c r="T108" s="387" t="str">
        <f t="shared" ca="1" si="93"/>
        <v/>
      </c>
      <c r="U108" s="5"/>
      <c r="V108" s="6"/>
      <c r="W108" s="4"/>
      <c r="X108" s="4">
        <v>72</v>
      </c>
      <c r="Y108" s="104" t="str">
        <f t="shared" si="74"/>
        <v>-</v>
      </c>
      <c r="Z108" s="104">
        <f t="shared" si="75"/>
        <v>0</v>
      </c>
      <c r="AA108" s="4"/>
      <c r="AB108" s="53">
        <f t="shared" si="76"/>
        <v>0</v>
      </c>
      <c r="AC108" s="54">
        <f>IF(SUM(AB108:AB$116)=0,0,F108&gt;0)</f>
        <v>0</v>
      </c>
      <c r="AD108" s="53">
        <f t="shared" si="77"/>
        <v>0</v>
      </c>
      <c r="AE108" s="54">
        <f>IF(SUM(AB108:AB$116)=0,0,AND(AC108=FALSE,AD108=0,SUM(AD108:AD$116)&gt;0))</f>
        <v>0</v>
      </c>
      <c r="AF108" s="54">
        <f t="shared" si="107"/>
        <v>0</v>
      </c>
      <c r="AG108" s="54">
        <f t="shared" si="108"/>
        <v>0</v>
      </c>
      <c r="AH108" s="56">
        <f t="shared" si="109"/>
        <v>0</v>
      </c>
      <c r="AI108" s="56">
        <f t="shared" si="110"/>
        <v>0</v>
      </c>
      <c r="AJ108" s="54">
        <f t="shared" si="111"/>
        <v>0</v>
      </c>
      <c r="AK108" s="54" t="str">
        <f t="shared" si="112"/>
        <v/>
      </c>
      <c r="AL108" s="54">
        <f t="shared" si="113"/>
        <v>0</v>
      </c>
      <c r="AM108" s="54">
        <f t="shared" si="114"/>
        <v>0</v>
      </c>
      <c r="AN108" s="54">
        <f t="shared" si="115"/>
        <v>0</v>
      </c>
      <c r="AO108" s="54">
        <f t="shared" si="116"/>
        <v>0</v>
      </c>
      <c r="AP108" s="54">
        <f t="shared" si="117"/>
        <v>0</v>
      </c>
      <c r="AQ108" s="54">
        <f t="shared" si="118"/>
        <v>0</v>
      </c>
      <c r="AR108" s="53">
        <f t="shared" si="119"/>
        <v>0</v>
      </c>
      <c r="AS108" s="409" t="str">
        <f t="shared" si="120"/>
        <v/>
      </c>
      <c r="AT108" s="54">
        <f t="shared" si="94"/>
        <v>0</v>
      </c>
      <c r="AU108" s="54">
        <f t="shared" si="95"/>
        <v>0</v>
      </c>
      <c r="AV108" s="54">
        <f t="shared" si="96"/>
        <v>0</v>
      </c>
      <c r="AW108" s="55" t="b">
        <f t="shared" ca="1" si="97"/>
        <v>0</v>
      </c>
      <c r="AX108" s="69"/>
      <c r="AY108" s="203">
        <f t="shared" ca="1" si="98"/>
        <v>0</v>
      </c>
      <c r="AZ108" s="72">
        <f t="shared" ca="1" si="99"/>
        <v>0</v>
      </c>
      <c r="BA108" s="72">
        <f t="shared" ca="1" si="78"/>
        <v>0</v>
      </c>
      <c r="BB108" s="75">
        <f t="shared" ca="1" si="100"/>
        <v>0</v>
      </c>
      <c r="BC108" s="209">
        <f t="shared" si="101"/>
        <v>0</v>
      </c>
      <c r="BD108" s="72">
        <f t="shared" si="79"/>
        <v>0</v>
      </c>
      <c r="BE108" s="72">
        <f t="shared" si="80"/>
        <v>0</v>
      </c>
      <c r="BF108" s="72">
        <f t="shared" si="81"/>
        <v>0</v>
      </c>
      <c r="BG108" s="200">
        <f t="shared" ca="1" si="82"/>
        <v>0</v>
      </c>
      <c r="BH108" s="69"/>
      <c r="BI108" s="198">
        <f t="shared" si="18"/>
        <v>0</v>
      </c>
      <c r="BJ108" s="71">
        <f t="shared" si="19"/>
        <v>0</v>
      </c>
      <c r="BK108" s="72">
        <f t="shared" si="83"/>
        <v>0</v>
      </c>
      <c r="BL108" s="72">
        <f t="shared" ca="1" si="84"/>
        <v>0</v>
      </c>
      <c r="BM108" s="200">
        <f t="shared" ca="1" si="102"/>
        <v>0</v>
      </c>
      <c r="BN108" s="69"/>
      <c r="BO108" s="198">
        <f t="shared" si="103"/>
        <v>0</v>
      </c>
      <c r="BP108" s="72">
        <f t="shared" ca="1" si="104"/>
        <v>0</v>
      </c>
      <c r="BQ108" s="78">
        <f t="shared" si="85"/>
        <v>0</v>
      </c>
      <c r="BR108" s="78">
        <f t="shared" si="86"/>
        <v>0</v>
      </c>
      <c r="BS108" s="80">
        <f t="shared" ca="1" si="105"/>
        <v>0</v>
      </c>
      <c r="BT108" s="80">
        <f t="shared" ca="1" si="106"/>
        <v>0</v>
      </c>
      <c r="BU108" s="259" t="str">
        <f t="shared" ca="1" si="87"/>
        <v/>
      </c>
      <c r="BV108" s="206" t="str">
        <f t="shared" ca="1" si="88"/>
        <v/>
      </c>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row>
    <row r="109" spans="1:116" ht="12.75" hidden="1" customHeight="1">
      <c r="A109" s="5"/>
      <c r="B109" s="327" t="str">
        <f t="shared" si="28"/>
        <v>-</v>
      </c>
      <c r="C109" s="398">
        <v>73</v>
      </c>
      <c r="D109" s="688"/>
      <c r="E109" s="689"/>
      <c r="F109" s="476"/>
      <c r="G109" s="483"/>
      <c r="H109" s="466"/>
      <c r="I109" s="467"/>
      <c r="J109" s="489"/>
      <c r="K109" s="490"/>
      <c r="L109" s="491"/>
      <c r="M109" s="492"/>
      <c r="N109" s="373" t="str">
        <f t="shared" ca="1" si="89"/>
        <v/>
      </c>
      <c r="O109" s="374" t="str">
        <f t="shared" ca="1" si="90"/>
        <v/>
      </c>
      <c r="P109" s="375">
        <f t="shared" ca="1" si="91"/>
        <v>0</v>
      </c>
      <c r="Q109" s="384" t="str">
        <f t="shared" ca="1" si="72"/>
        <v/>
      </c>
      <c r="R109" s="385" t="str">
        <f t="shared" ca="1" si="92"/>
        <v/>
      </c>
      <c r="S109" s="386">
        <f t="shared" ca="1" si="73"/>
        <v>0</v>
      </c>
      <c r="T109" s="387" t="str">
        <f t="shared" ca="1" si="93"/>
        <v/>
      </c>
      <c r="U109" s="5"/>
      <c r="V109" s="6"/>
      <c r="W109" s="4"/>
      <c r="X109" s="4">
        <v>73</v>
      </c>
      <c r="Y109" s="104" t="str">
        <f t="shared" si="74"/>
        <v>-</v>
      </c>
      <c r="Z109" s="104">
        <f t="shared" si="75"/>
        <v>0</v>
      </c>
      <c r="AA109" s="4"/>
      <c r="AB109" s="53">
        <f t="shared" si="76"/>
        <v>0</v>
      </c>
      <c r="AC109" s="54">
        <f>IF(SUM(AB109:AB$116)=0,0,F109&gt;0)</f>
        <v>0</v>
      </c>
      <c r="AD109" s="53">
        <f t="shared" si="77"/>
        <v>0</v>
      </c>
      <c r="AE109" s="54">
        <f>IF(SUM(AB109:AB$116)=0,0,AND(AC109=FALSE,AD109=0,SUM(AD109:AD$116)&gt;0))</f>
        <v>0</v>
      </c>
      <c r="AF109" s="54">
        <f t="shared" si="107"/>
        <v>0</v>
      </c>
      <c r="AG109" s="54">
        <f t="shared" si="108"/>
        <v>0</v>
      </c>
      <c r="AH109" s="56">
        <f t="shared" si="109"/>
        <v>0</v>
      </c>
      <c r="AI109" s="56">
        <f t="shared" si="110"/>
        <v>0</v>
      </c>
      <c r="AJ109" s="54">
        <f t="shared" si="111"/>
        <v>0</v>
      </c>
      <c r="AK109" s="54" t="str">
        <f t="shared" si="112"/>
        <v/>
      </c>
      <c r="AL109" s="54">
        <f t="shared" si="113"/>
        <v>0</v>
      </c>
      <c r="AM109" s="54">
        <f t="shared" si="114"/>
        <v>0</v>
      </c>
      <c r="AN109" s="54">
        <f t="shared" si="115"/>
        <v>0</v>
      </c>
      <c r="AO109" s="54">
        <f t="shared" si="116"/>
        <v>0</v>
      </c>
      <c r="AP109" s="54">
        <f t="shared" si="117"/>
        <v>0</v>
      </c>
      <c r="AQ109" s="54">
        <f t="shared" si="118"/>
        <v>0</v>
      </c>
      <c r="AR109" s="53">
        <f t="shared" si="119"/>
        <v>0</v>
      </c>
      <c r="AS109" s="409" t="str">
        <f t="shared" si="120"/>
        <v/>
      </c>
      <c r="AT109" s="54">
        <f t="shared" si="94"/>
        <v>0</v>
      </c>
      <c r="AU109" s="54">
        <f t="shared" si="95"/>
        <v>0</v>
      </c>
      <c r="AV109" s="54">
        <f t="shared" si="96"/>
        <v>0</v>
      </c>
      <c r="AW109" s="55" t="b">
        <f t="shared" ca="1" si="97"/>
        <v>0</v>
      </c>
      <c r="AX109" s="69"/>
      <c r="AY109" s="203">
        <f t="shared" ca="1" si="98"/>
        <v>0</v>
      </c>
      <c r="AZ109" s="72">
        <f t="shared" ca="1" si="99"/>
        <v>0</v>
      </c>
      <c r="BA109" s="72">
        <f t="shared" ca="1" si="78"/>
        <v>0</v>
      </c>
      <c r="BB109" s="75">
        <f t="shared" ca="1" si="100"/>
        <v>0</v>
      </c>
      <c r="BC109" s="209">
        <f t="shared" si="101"/>
        <v>0</v>
      </c>
      <c r="BD109" s="72">
        <f t="shared" si="79"/>
        <v>0</v>
      </c>
      <c r="BE109" s="72">
        <f t="shared" si="80"/>
        <v>0</v>
      </c>
      <c r="BF109" s="72">
        <f t="shared" si="81"/>
        <v>0</v>
      </c>
      <c r="BG109" s="200">
        <f t="shared" ca="1" si="82"/>
        <v>0</v>
      </c>
      <c r="BH109" s="69"/>
      <c r="BI109" s="198">
        <f t="shared" si="18"/>
        <v>0</v>
      </c>
      <c r="BJ109" s="71">
        <f t="shared" si="19"/>
        <v>0</v>
      </c>
      <c r="BK109" s="72">
        <f t="shared" si="83"/>
        <v>0</v>
      </c>
      <c r="BL109" s="72">
        <f t="shared" ca="1" si="84"/>
        <v>0</v>
      </c>
      <c r="BM109" s="200">
        <f t="shared" ca="1" si="102"/>
        <v>0</v>
      </c>
      <c r="BN109" s="69"/>
      <c r="BO109" s="198">
        <f t="shared" si="103"/>
        <v>0</v>
      </c>
      <c r="BP109" s="72">
        <f t="shared" ca="1" si="104"/>
        <v>0</v>
      </c>
      <c r="BQ109" s="78">
        <f t="shared" si="85"/>
        <v>0</v>
      </c>
      <c r="BR109" s="78">
        <f t="shared" si="86"/>
        <v>0</v>
      </c>
      <c r="BS109" s="80">
        <f t="shared" ca="1" si="105"/>
        <v>0</v>
      </c>
      <c r="BT109" s="80">
        <f t="shared" ca="1" si="106"/>
        <v>0</v>
      </c>
      <c r="BU109" s="259" t="str">
        <f t="shared" ca="1" si="87"/>
        <v/>
      </c>
      <c r="BV109" s="206" t="str">
        <f t="shared" ca="1" si="88"/>
        <v/>
      </c>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row>
    <row r="110" spans="1:116" ht="12.75" hidden="1" customHeight="1">
      <c r="A110" s="5"/>
      <c r="B110" s="327" t="str">
        <f t="shared" si="28"/>
        <v>-</v>
      </c>
      <c r="C110" s="398">
        <v>74</v>
      </c>
      <c r="D110" s="688"/>
      <c r="E110" s="689"/>
      <c r="F110" s="476"/>
      <c r="G110" s="483"/>
      <c r="H110" s="466"/>
      <c r="I110" s="467"/>
      <c r="J110" s="489"/>
      <c r="K110" s="490"/>
      <c r="L110" s="491"/>
      <c r="M110" s="492"/>
      <c r="N110" s="373" t="str">
        <f t="shared" ca="1" si="89"/>
        <v/>
      </c>
      <c r="O110" s="374" t="str">
        <f t="shared" ca="1" si="90"/>
        <v/>
      </c>
      <c r="P110" s="375">
        <f t="shared" ca="1" si="91"/>
        <v>0</v>
      </c>
      <c r="Q110" s="384" t="str">
        <f t="shared" ca="1" si="72"/>
        <v/>
      </c>
      <c r="R110" s="385" t="str">
        <f t="shared" ca="1" si="92"/>
        <v/>
      </c>
      <c r="S110" s="386">
        <f t="shared" ca="1" si="73"/>
        <v>0</v>
      </c>
      <c r="T110" s="387" t="str">
        <f t="shared" ca="1" si="93"/>
        <v/>
      </c>
      <c r="U110" s="5"/>
      <c r="V110" s="6"/>
      <c r="W110" s="4"/>
      <c r="X110" s="4">
        <v>74</v>
      </c>
      <c r="Y110" s="104" t="str">
        <f t="shared" si="74"/>
        <v>-</v>
      </c>
      <c r="Z110" s="104">
        <f t="shared" si="75"/>
        <v>0</v>
      </c>
      <c r="AA110" s="4"/>
      <c r="AB110" s="53">
        <f t="shared" si="76"/>
        <v>0</v>
      </c>
      <c r="AC110" s="54">
        <f>IF(SUM(AB110:AB$116)=0,0,F110&gt;0)</f>
        <v>0</v>
      </c>
      <c r="AD110" s="53">
        <f t="shared" si="77"/>
        <v>0</v>
      </c>
      <c r="AE110" s="54">
        <f>IF(SUM(AB110:AB$116)=0,0,AND(AC110=FALSE,AD110=0,SUM(AD110:AD$116)&gt;0))</f>
        <v>0</v>
      </c>
      <c r="AF110" s="54">
        <f t="shared" si="107"/>
        <v>0</v>
      </c>
      <c r="AG110" s="54">
        <f t="shared" si="108"/>
        <v>0</v>
      </c>
      <c r="AH110" s="56">
        <f t="shared" si="109"/>
        <v>0</v>
      </c>
      <c r="AI110" s="56">
        <f t="shared" si="110"/>
        <v>0</v>
      </c>
      <c r="AJ110" s="54">
        <f t="shared" si="111"/>
        <v>0</v>
      </c>
      <c r="AK110" s="54" t="str">
        <f t="shared" si="112"/>
        <v/>
      </c>
      <c r="AL110" s="54">
        <f t="shared" si="113"/>
        <v>0</v>
      </c>
      <c r="AM110" s="54">
        <f t="shared" si="114"/>
        <v>0</v>
      </c>
      <c r="AN110" s="54">
        <f t="shared" si="115"/>
        <v>0</v>
      </c>
      <c r="AO110" s="54">
        <f t="shared" si="116"/>
        <v>0</v>
      </c>
      <c r="AP110" s="54">
        <f t="shared" si="117"/>
        <v>0</v>
      </c>
      <c r="AQ110" s="54">
        <f t="shared" si="118"/>
        <v>0</v>
      </c>
      <c r="AR110" s="53">
        <f t="shared" si="119"/>
        <v>0</v>
      </c>
      <c r="AS110" s="409" t="str">
        <f t="shared" si="120"/>
        <v/>
      </c>
      <c r="AT110" s="54">
        <f t="shared" si="94"/>
        <v>0</v>
      </c>
      <c r="AU110" s="54">
        <f t="shared" si="95"/>
        <v>0</v>
      </c>
      <c r="AV110" s="54">
        <f t="shared" si="96"/>
        <v>0</v>
      </c>
      <c r="AW110" s="55" t="b">
        <f t="shared" ca="1" si="97"/>
        <v>0</v>
      </c>
      <c r="AX110" s="69"/>
      <c r="AY110" s="203">
        <f t="shared" ca="1" si="98"/>
        <v>0</v>
      </c>
      <c r="AZ110" s="72">
        <f t="shared" ca="1" si="99"/>
        <v>0</v>
      </c>
      <c r="BA110" s="72">
        <f t="shared" ca="1" si="78"/>
        <v>0</v>
      </c>
      <c r="BB110" s="75">
        <f t="shared" ca="1" si="100"/>
        <v>0</v>
      </c>
      <c r="BC110" s="209">
        <f t="shared" si="101"/>
        <v>0</v>
      </c>
      <c r="BD110" s="72">
        <f t="shared" si="79"/>
        <v>0</v>
      </c>
      <c r="BE110" s="72">
        <f t="shared" si="80"/>
        <v>0</v>
      </c>
      <c r="BF110" s="72">
        <f t="shared" si="81"/>
        <v>0</v>
      </c>
      <c r="BG110" s="200">
        <f t="shared" ca="1" si="82"/>
        <v>0</v>
      </c>
      <c r="BH110" s="69"/>
      <c r="BI110" s="198">
        <f t="shared" si="18"/>
        <v>0</v>
      </c>
      <c r="BJ110" s="71">
        <f t="shared" si="19"/>
        <v>0</v>
      </c>
      <c r="BK110" s="72">
        <f t="shared" si="83"/>
        <v>0</v>
      </c>
      <c r="BL110" s="72">
        <f t="shared" ca="1" si="84"/>
        <v>0</v>
      </c>
      <c r="BM110" s="200">
        <f t="shared" ca="1" si="102"/>
        <v>0</v>
      </c>
      <c r="BN110" s="69"/>
      <c r="BO110" s="198">
        <f t="shared" si="103"/>
        <v>0</v>
      </c>
      <c r="BP110" s="72">
        <f t="shared" ca="1" si="104"/>
        <v>0</v>
      </c>
      <c r="BQ110" s="78">
        <f t="shared" si="85"/>
        <v>0</v>
      </c>
      <c r="BR110" s="78">
        <f t="shared" si="86"/>
        <v>0</v>
      </c>
      <c r="BS110" s="80">
        <f t="shared" ca="1" si="105"/>
        <v>0</v>
      </c>
      <c r="BT110" s="80">
        <f t="shared" ca="1" si="106"/>
        <v>0</v>
      </c>
      <c r="BU110" s="259" t="str">
        <f t="shared" ca="1" si="87"/>
        <v/>
      </c>
      <c r="BV110" s="206" t="str">
        <f t="shared" ca="1" si="88"/>
        <v/>
      </c>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row>
    <row r="111" spans="1:116" ht="12.75" hidden="1" customHeight="1">
      <c r="A111" s="5"/>
      <c r="B111" s="327" t="str">
        <f t="shared" si="28"/>
        <v>-</v>
      </c>
      <c r="C111" s="398">
        <v>75</v>
      </c>
      <c r="D111" s="688"/>
      <c r="E111" s="689"/>
      <c r="F111" s="476"/>
      <c r="G111" s="483"/>
      <c r="H111" s="466"/>
      <c r="I111" s="467"/>
      <c r="J111" s="489"/>
      <c r="K111" s="490"/>
      <c r="L111" s="491"/>
      <c r="M111" s="492"/>
      <c r="N111" s="373" t="str">
        <f t="shared" ca="1" si="89"/>
        <v/>
      </c>
      <c r="O111" s="374" t="str">
        <f t="shared" ca="1" si="90"/>
        <v/>
      </c>
      <c r="P111" s="375">
        <f t="shared" ca="1" si="91"/>
        <v>0</v>
      </c>
      <c r="Q111" s="384" t="str">
        <f t="shared" ca="1" si="72"/>
        <v/>
      </c>
      <c r="R111" s="385" t="str">
        <f t="shared" ca="1" si="92"/>
        <v/>
      </c>
      <c r="S111" s="386">
        <f t="shared" ca="1" si="73"/>
        <v>0</v>
      </c>
      <c r="T111" s="387" t="str">
        <f t="shared" ca="1" si="93"/>
        <v/>
      </c>
      <c r="U111" s="5"/>
      <c r="V111" s="6"/>
      <c r="W111" s="4"/>
      <c r="X111" s="4">
        <v>75</v>
      </c>
      <c r="Y111" s="104" t="str">
        <f t="shared" si="74"/>
        <v>-</v>
      </c>
      <c r="Z111" s="104">
        <f t="shared" si="75"/>
        <v>0</v>
      </c>
      <c r="AA111" s="4"/>
      <c r="AB111" s="53">
        <f t="shared" si="76"/>
        <v>0</v>
      </c>
      <c r="AC111" s="54">
        <f>IF(SUM(AB111:AB$116)=0,0,F111&gt;0)</f>
        <v>0</v>
      </c>
      <c r="AD111" s="53">
        <f t="shared" si="77"/>
        <v>0</v>
      </c>
      <c r="AE111" s="54">
        <f>IF(SUM(AB111:AB$116)=0,0,AND(AC111=FALSE,AD111=0,SUM(AD111:AD$116)&gt;0))</f>
        <v>0</v>
      </c>
      <c r="AF111" s="54">
        <f t="shared" si="107"/>
        <v>0</v>
      </c>
      <c r="AG111" s="54">
        <f t="shared" si="108"/>
        <v>0</v>
      </c>
      <c r="AH111" s="56">
        <f t="shared" si="109"/>
        <v>0</v>
      </c>
      <c r="AI111" s="56">
        <f t="shared" si="110"/>
        <v>0</v>
      </c>
      <c r="AJ111" s="54">
        <f t="shared" si="111"/>
        <v>0</v>
      </c>
      <c r="AK111" s="54" t="str">
        <f t="shared" si="112"/>
        <v/>
      </c>
      <c r="AL111" s="54">
        <f t="shared" si="113"/>
        <v>0</v>
      </c>
      <c r="AM111" s="54">
        <f t="shared" si="114"/>
        <v>0</v>
      </c>
      <c r="AN111" s="54">
        <f t="shared" si="115"/>
        <v>0</v>
      </c>
      <c r="AO111" s="54">
        <f t="shared" si="116"/>
        <v>0</v>
      </c>
      <c r="AP111" s="54">
        <f t="shared" si="117"/>
        <v>0</v>
      </c>
      <c r="AQ111" s="54">
        <f t="shared" si="118"/>
        <v>0</v>
      </c>
      <c r="AR111" s="53">
        <f t="shared" si="119"/>
        <v>0</v>
      </c>
      <c r="AS111" s="409" t="str">
        <f t="shared" si="120"/>
        <v/>
      </c>
      <c r="AT111" s="54">
        <f t="shared" si="94"/>
        <v>0</v>
      </c>
      <c r="AU111" s="54">
        <f t="shared" si="95"/>
        <v>0</v>
      </c>
      <c r="AV111" s="54">
        <f t="shared" si="96"/>
        <v>0</v>
      </c>
      <c r="AW111" s="55" t="b">
        <f t="shared" ca="1" si="97"/>
        <v>0</v>
      </c>
      <c r="AX111" s="69"/>
      <c r="AY111" s="203">
        <f t="shared" ca="1" si="98"/>
        <v>0</v>
      </c>
      <c r="AZ111" s="72">
        <f t="shared" ca="1" si="99"/>
        <v>0</v>
      </c>
      <c r="BA111" s="72">
        <f t="shared" ca="1" si="78"/>
        <v>0</v>
      </c>
      <c r="BB111" s="75">
        <f t="shared" ca="1" si="100"/>
        <v>0</v>
      </c>
      <c r="BC111" s="209">
        <f t="shared" si="101"/>
        <v>0</v>
      </c>
      <c r="BD111" s="72">
        <f t="shared" si="79"/>
        <v>0</v>
      </c>
      <c r="BE111" s="72">
        <f t="shared" si="80"/>
        <v>0</v>
      </c>
      <c r="BF111" s="72">
        <f t="shared" si="81"/>
        <v>0</v>
      </c>
      <c r="BG111" s="200">
        <f t="shared" ca="1" si="82"/>
        <v>0</v>
      </c>
      <c r="BH111" s="69"/>
      <c r="BI111" s="198">
        <f t="shared" si="18"/>
        <v>0</v>
      </c>
      <c r="BJ111" s="71">
        <f t="shared" si="19"/>
        <v>0</v>
      </c>
      <c r="BK111" s="72">
        <f t="shared" si="83"/>
        <v>0</v>
      </c>
      <c r="BL111" s="72">
        <f t="shared" ca="1" si="84"/>
        <v>0</v>
      </c>
      <c r="BM111" s="200">
        <f t="shared" ca="1" si="102"/>
        <v>0</v>
      </c>
      <c r="BN111" s="69"/>
      <c r="BO111" s="198">
        <f t="shared" si="103"/>
        <v>0</v>
      </c>
      <c r="BP111" s="72">
        <f t="shared" ca="1" si="104"/>
        <v>0</v>
      </c>
      <c r="BQ111" s="78">
        <f t="shared" si="85"/>
        <v>0</v>
      </c>
      <c r="BR111" s="78">
        <f t="shared" si="86"/>
        <v>0</v>
      </c>
      <c r="BS111" s="80">
        <f t="shared" ca="1" si="105"/>
        <v>0</v>
      </c>
      <c r="BT111" s="80">
        <f t="shared" ca="1" si="106"/>
        <v>0</v>
      </c>
      <c r="BU111" s="259" t="str">
        <f t="shared" ca="1" si="87"/>
        <v/>
      </c>
      <c r="BV111" s="206" t="str">
        <f t="shared" ca="1" si="88"/>
        <v/>
      </c>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row>
    <row r="112" spans="1:116" ht="12.75" hidden="1" customHeight="1">
      <c r="A112" s="5"/>
      <c r="B112" s="327" t="str">
        <f t="shared" si="28"/>
        <v>-</v>
      </c>
      <c r="C112" s="398">
        <v>76</v>
      </c>
      <c r="D112" s="688"/>
      <c r="E112" s="689"/>
      <c r="F112" s="476"/>
      <c r="G112" s="483"/>
      <c r="H112" s="466"/>
      <c r="I112" s="467"/>
      <c r="J112" s="489"/>
      <c r="K112" s="490"/>
      <c r="L112" s="491"/>
      <c r="M112" s="492"/>
      <c r="N112" s="373" t="str">
        <f t="shared" ca="1" si="89"/>
        <v/>
      </c>
      <c r="O112" s="374" t="str">
        <f t="shared" ca="1" si="90"/>
        <v/>
      </c>
      <c r="P112" s="375">
        <f t="shared" ca="1" si="91"/>
        <v>0</v>
      </c>
      <c r="Q112" s="384" t="str">
        <f t="shared" ca="1" si="72"/>
        <v/>
      </c>
      <c r="R112" s="385" t="str">
        <f t="shared" ca="1" si="92"/>
        <v/>
      </c>
      <c r="S112" s="386">
        <f t="shared" ca="1" si="73"/>
        <v>0</v>
      </c>
      <c r="T112" s="387" t="str">
        <f t="shared" ca="1" si="93"/>
        <v/>
      </c>
      <c r="U112" s="5"/>
      <c r="V112" s="6"/>
      <c r="W112" s="4"/>
      <c r="X112" s="4">
        <v>76</v>
      </c>
      <c r="Y112" s="104" t="str">
        <f t="shared" si="74"/>
        <v>-</v>
      </c>
      <c r="Z112" s="104">
        <f t="shared" si="75"/>
        <v>0</v>
      </c>
      <c r="AA112" s="4"/>
      <c r="AB112" s="53">
        <f t="shared" si="76"/>
        <v>0</v>
      </c>
      <c r="AC112" s="54">
        <f>IF(SUM(AB112:AB$116)=0,0,F112&gt;0)</f>
        <v>0</v>
      </c>
      <c r="AD112" s="53">
        <f t="shared" si="77"/>
        <v>0</v>
      </c>
      <c r="AE112" s="54">
        <f>IF(SUM(AB112:AB$116)=0,0,AND(AC112=FALSE,AD112=0,SUM(AD112:AD$116)&gt;0))</f>
        <v>0</v>
      </c>
      <c r="AF112" s="54">
        <f t="shared" si="107"/>
        <v>0</v>
      </c>
      <c r="AG112" s="54">
        <f t="shared" si="108"/>
        <v>0</v>
      </c>
      <c r="AH112" s="56">
        <f t="shared" si="109"/>
        <v>0</v>
      </c>
      <c r="AI112" s="56">
        <f t="shared" si="110"/>
        <v>0</v>
      </c>
      <c r="AJ112" s="54">
        <f t="shared" si="111"/>
        <v>0</v>
      </c>
      <c r="AK112" s="54" t="str">
        <f t="shared" si="112"/>
        <v/>
      </c>
      <c r="AL112" s="54">
        <f t="shared" si="113"/>
        <v>0</v>
      </c>
      <c r="AM112" s="54">
        <f t="shared" si="114"/>
        <v>0</v>
      </c>
      <c r="AN112" s="54">
        <f t="shared" si="115"/>
        <v>0</v>
      </c>
      <c r="AO112" s="54">
        <f t="shared" si="116"/>
        <v>0</v>
      </c>
      <c r="AP112" s="54">
        <f t="shared" si="117"/>
        <v>0</v>
      </c>
      <c r="AQ112" s="54">
        <f t="shared" si="118"/>
        <v>0</v>
      </c>
      <c r="AR112" s="53">
        <f t="shared" si="119"/>
        <v>0</v>
      </c>
      <c r="AS112" s="409" t="str">
        <f t="shared" si="120"/>
        <v/>
      </c>
      <c r="AT112" s="54">
        <f t="shared" si="94"/>
        <v>0</v>
      </c>
      <c r="AU112" s="54">
        <f t="shared" si="95"/>
        <v>0</v>
      </c>
      <c r="AV112" s="54">
        <f t="shared" si="96"/>
        <v>0</v>
      </c>
      <c r="AW112" s="55" t="b">
        <f t="shared" ca="1" si="97"/>
        <v>0</v>
      </c>
      <c r="AX112" s="69"/>
      <c r="AY112" s="203">
        <f t="shared" ca="1" si="98"/>
        <v>0</v>
      </c>
      <c r="AZ112" s="72">
        <f t="shared" ca="1" si="99"/>
        <v>0</v>
      </c>
      <c r="BA112" s="72">
        <f t="shared" ca="1" si="78"/>
        <v>0</v>
      </c>
      <c r="BB112" s="75">
        <f t="shared" ca="1" si="100"/>
        <v>0</v>
      </c>
      <c r="BC112" s="209">
        <f t="shared" si="101"/>
        <v>0</v>
      </c>
      <c r="BD112" s="72">
        <f t="shared" si="79"/>
        <v>0</v>
      </c>
      <c r="BE112" s="72">
        <f t="shared" si="80"/>
        <v>0</v>
      </c>
      <c r="BF112" s="72">
        <f t="shared" si="81"/>
        <v>0</v>
      </c>
      <c r="BG112" s="200">
        <f t="shared" ca="1" si="82"/>
        <v>0</v>
      </c>
      <c r="BH112" s="69"/>
      <c r="BI112" s="198">
        <f t="shared" si="18"/>
        <v>0</v>
      </c>
      <c r="BJ112" s="71">
        <f t="shared" si="19"/>
        <v>0</v>
      </c>
      <c r="BK112" s="72">
        <f t="shared" si="83"/>
        <v>0</v>
      </c>
      <c r="BL112" s="72">
        <f t="shared" ca="1" si="84"/>
        <v>0</v>
      </c>
      <c r="BM112" s="200">
        <f t="shared" ca="1" si="102"/>
        <v>0</v>
      </c>
      <c r="BN112" s="69"/>
      <c r="BO112" s="198">
        <f t="shared" si="103"/>
        <v>0</v>
      </c>
      <c r="BP112" s="72">
        <f t="shared" ca="1" si="104"/>
        <v>0</v>
      </c>
      <c r="BQ112" s="78">
        <f t="shared" si="85"/>
        <v>0</v>
      </c>
      <c r="BR112" s="78">
        <f t="shared" si="86"/>
        <v>0</v>
      </c>
      <c r="BS112" s="80">
        <f t="shared" ca="1" si="105"/>
        <v>0</v>
      </c>
      <c r="BT112" s="80">
        <f t="shared" ca="1" si="106"/>
        <v>0</v>
      </c>
      <c r="BU112" s="259" t="str">
        <f t="shared" ca="1" si="87"/>
        <v/>
      </c>
      <c r="BV112" s="206" t="str">
        <f t="shared" ca="1" si="88"/>
        <v/>
      </c>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row>
    <row r="113" spans="1:116" ht="12.75" hidden="1" customHeight="1">
      <c r="A113" s="5"/>
      <c r="B113" s="327" t="str">
        <f t="shared" si="28"/>
        <v>-</v>
      </c>
      <c r="C113" s="398">
        <v>77</v>
      </c>
      <c r="D113" s="688"/>
      <c r="E113" s="689"/>
      <c r="F113" s="476"/>
      <c r="G113" s="483"/>
      <c r="H113" s="466"/>
      <c r="I113" s="467"/>
      <c r="J113" s="489"/>
      <c r="K113" s="490"/>
      <c r="L113" s="491"/>
      <c r="M113" s="492"/>
      <c r="N113" s="373" t="str">
        <f t="shared" ca="1" si="89"/>
        <v/>
      </c>
      <c r="O113" s="374" t="str">
        <f t="shared" ca="1" si="90"/>
        <v/>
      </c>
      <c r="P113" s="375">
        <f t="shared" ca="1" si="91"/>
        <v>0</v>
      </c>
      <c r="Q113" s="384" t="str">
        <f t="shared" ca="1" si="72"/>
        <v/>
      </c>
      <c r="R113" s="385" t="str">
        <f t="shared" ca="1" si="92"/>
        <v/>
      </c>
      <c r="S113" s="386">
        <f t="shared" ca="1" si="73"/>
        <v>0</v>
      </c>
      <c r="T113" s="387" t="str">
        <f t="shared" ca="1" si="93"/>
        <v/>
      </c>
      <c r="U113" s="5"/>
      <c r="V113" s="6"/>
      <c r="W113" s="4"/>
      <c r="X113" s="4">
        <v>77</v>
      </c>
      <c r="Y113" s="104" t="str">
        <f t="shared" si="74"/>
        <v>-</v>
      </c>
      <c r="Z113" s="104">
        <f t="shared" si="75"/>
        <v>0</v>
      </c>
      <c r="AA113" s="4"/>
      <c r="AB113" s="53">
        <f t="shared" si="76"/>
        <v>0</v>
      </c>
      <c r="AC113" s="54">
        <f>IF(SUM(AB113:AB$116)=0,0,F113&gt;0)</f>
        <v>0</v>
      </c>
      <c r="AD113" s="53">
        <f t="shared" si="77"/>
        <v>0</v>
      </c>
      <c r="AE113" s="54">
        <f>IF(SUM(AB113:AB$116)=0,0,AND(AC113=FALSE,AD113=0,SUM(AD113:AD$116)&gt;0))</f>
        <v>0</v>
      </c>
      <c r="AF113" s="54">
        <f t="shared" si="107"/>
        <v>0</v>
      </c>
      <c r="AG113" s="54">
        <f t="shared" si="108"/>
        <v>0</v>
      </c>
      <c r="AH113" s="56">
        <f t="shared" si="109"/>
        <v>0</v>
      </c>
      <c r="AI113" s="56">
        <f t="shared" si="110"/>
        <v>0</v>
      </c>
      <c r="AJ113" s="54">
        <f t="shared" si="111"/>
        <v>0</v>
      </c>
      <c r="AK113" s="54" t="str">
        <f t="shared" si="112"/>
        <v/>
      </c>
      <c r="AL113" s="54">
        <f t="shared" si="113"/>
        <v>0</v>
      </c>
      <c r="AM113" s="54">
        <f t="shared" si="114"/>
        <v>0</v>
      </c>
      <c r="AN113" s="54">
        <f t="shared" si="115"/>
        <v>0</v>
      </c>
      <c r="AO113" s="54">
        <f t="shared" si="116"/>
        <v>0</v>
      </c>
      <c r="AP113" s="54">
        <f t="shared" si="117"/>
        <v>0</v>
      </c>
      <c r="AQ113" s="54">
        <f t="shared" si="118"/>
        <v>0</v>
      </c>
      <c r="AR113" s="53">
        <f t="shared" si="119"/>
        <v>0</v>
      </c>
      <c r="AS113" s="409" t="str">
        <f t="shared" si="120"/>
        <v/>
      </c>
      <c r="AT113" s="54">
        <f t="shared" si="94"/>
        <v>0</v>
      </c>
      <c r="AU113" s="54">
        <f t="shared" si="95"/>
        <v>0</v>
      </c>
      <c r="AV113" s="54">
        <f t="shared" si="96"/>
        <v>0</v>
      </c>
      <c r="AW113" s="55" t="b">
        <f t="shared" ca="1" si="97"/>
        <v>0</v>
      </c>
      <c r="AX113" s="69"/>
      <c r="AY113" s="203">
        <f t="shared" ca="1" si="98"/>
        <v>0</v>
      </c>
      <c r="AZ113" s="72">
        <f t="shared" ca="1" si="99"/>
        <v>0</v>
      </c>
      <c r="BA113" s="72">
        <f t="shared" ca="1" si="78"/>
        <v>0</v>
      </c>
      <c r="BB113" s="75">
        <f t="shared" ca="1" si="100"/>
        <v>0</v>
      </c>
      <c r="BC113" s="209">
        <f t="shared" si="101"/>
        <v>0</v>
      </c>
      <c r="BD113" s="72">
        <f t="shared" si="79"/>
        <v>0</v>
      </c>
      <c r="BE113" s="72">
        <f t="shared" si="80"/>
        <v>0</v>
      </c>
      <c r="BF113" s="72">
        <f t="shared" si="81"/>
        <v>0</v>
      </c>
      <c r="BG113" s="200">
        <f t="shared" ca="1" si="82"/>
        <v>0</v>
      </c>
      <c r="BH113" s="69"/>
      <c r="BI113" s="198">
        <f t="shared" si="18"/>
        <v>0</v>
      </c>
      <c r="BJ113" s="71">
        <f t="shared" si="19"/>
        <v>0</v>
      </c>
      <c r="BK113" s="72">
        <f t="shared" si="83"/>
        <v>0</v>
      </c>
      <c r="BL113" s="72">
        <f t="shared" ca="1" si="84"/>
        <v>0</v>
      </c>
      <c r="BM113" s="200">
        <f t="shared" ca="1" si="102"/>
        <v>0</v>
      </c>
      <c r="BN113" s="69"/>
      <c r="BO113" s="198">
        <f t="shared" si="103"/>
        <v>0</v>
      </c>
      <c r="BP113" s="72">
        <f t="shared" ca="1" si="104"/>
        <v>0</v>
      </c>
      <c r="BQ113" s="78">
        <f t="shared" si="85"/>
        <v>0</v>
      </c>
      <c r="BR113" s="78">
        <f t="shared" si="86"/>
        <v>0</v>
      </c>
      <c r="BS113" s="80">
        <f t="shared" ca="1" si="105"/>
        <v>0</v>
      </c>
      <c r="BT113" s="80">
        <f t="shared" ca="1" si="106"/>
        <v>0</v>
      </c>
      <c r="BU113" s="259" t="str">
        <f t="shared" ca="1" si="87"/>
        <v/>
      </c>
      <c r="BV113" s="206" t="str">
        <f t="shared" ca="1" si="88"/>
        <v/>
      </c>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row>
    <row r="114" spans="1:116" ht="12.75" hidden="1" customHeight="1">
      <c r="A114" s="5"/>
      <c r="B114" s="327" t="str">
        <f t="shared" si="28"/>
        <v>-</v>
      </c>
      <c r="C114" s="398">
        <v>78</v>
      </c>
      <c r="D114" s="688"/>
      <c r="E114" s="689"/>
      <c r="F114" s="476"/>
      <c r="G114" s="483"/>
      <c r="H114" s="466"/>
      <c r="I114" s="467"/>
      <c r="J114" s="489"/>
      <c r="K114" s="490"/>
      <c r="L114" s="491"/>
      <c r="M114" s="492"/>
      <c r="N114" s="373" t="str">
        <f t="shared" ca="1" si="89"/>
        <v/>
      </c>
      <c r="O114" s="374" t="str">
        <f t="shared" ca="1" si="90"/>
        <v/>
      </c>
      <c r="P114" s="375">
        <f t="shared" ca="1" si="91"/>
        <v>0</v>
      </c>
      <c r="Q114" s="384" t="str">
        <f t="shared" ca="1" si="72"/>
        <v/>
      </c>
      <c r="R114" s="385" t="str">
        <f t="shared" ca="1" si="92"/>
        <v/>
      </c>
      <c r="S114" s="386">
        <f t="shared" ca="1" si="73"/>
        <v>0</v>
      </c>
      <c r="T114" s="387" t="str">
        <f t="shared" ca="1" si="93"/>
        <v/>
      </c>
      <c r="U114" s="5"/>
      <c r="V114" s="6"/>
      <c r="W114" s="4"/>
      <c r="X114" s="4">
        <v>78</v>
      </c>
      <c r="Y114" s="104" t="str">
        <f t="shared" si="74"/>
        <v>-</v>
      </c>
      <c r="Z114" s="104">
        <f t="shared" si="75"/>
        <v>0</v>
      </c>
      <c r="AA114" s="4"/>
      <c r="AB114" s="53">
        <f t="shared" si="76"/>
        <v>0</v>
      </c>
      <c r="AC114" s="54">
        <f>IF(SUM(AB114:AB$116)=0,0,F114&gt;0)</f>
        <v>0</v>
      </c>
      <c r="AD114" s="53">
        <f t="shared" si="77"/>
        <v>0</v>
      </c>
      <c r="AE114" s="54">
        <f>IF(SUM(AB114:AB$116)=0,0,AND(AC114=FALSE,AD114=0,SUM(AD114:AD$116)&gt;0))</f>
        <v>0</v>
      </c>
      <c r="AF114" s="54">
        <f t="shared" si="107"/>
        <v>0</v>
      </c>
      <c r="AG114" s="54">
        <f t="shared" si="108"/>
        <v>0</v>
      </c>
      <c r="AH114" s="56">
        <f t="shared" si="109"/>
        <v>0</v>
      </c>
      <c r="AI114" s="56">
        <f t="shared" si="110"/>
        <v>0</v>
      </c>
      <c r="AJ114" s="54">
        <f t="shared" si="111"/>
        <v>0</v>
      </c>
      <c r="AK114" s="54" t="str">
        <f t="shared" si="112"/>
        <v/>
      </c>
      <c r="AL114" s="54">
        <f t="shared" si="113"/>
        <v>0</v>
      </c>
      <c r="AM114" s="54">
        <f t="shared" si="114"/>
        <v>0</v>
      </c>
      <c r="AN114" s="54">
        <f t="shared" si="115"/>
        <v>0</v>
      </c>
      <c r="AO114" s="54">
        <f t="shared" si="116"/>
        <v>0</v>
      </c>
      <c r="AP114" s="54">
        <f t="shared" si="117"/>
        <v>0</v>
      </c>
      <c r="AQ114" s="54">
        <f t="shared" si="118"/>
        <v>0</v>
      </c>
      <c r="AR114" s="53">
        <f t="shared" si="119"/>
        <v>0</v>
      </c>
      <c r="AS114" s="409" t="str">
        <f t="shared" si="120"/>
        <v/>
      </c>
      <c r="AT114" s="54">
        <f t="shared" si="94"/>
        <v>0</v>
      </c>
      <c r="AU114" s="54">
        <f t="shared" si="95"/>
        <v>0</v>
      </c>
      <c r="AV114" s="54">
        <f t="shared" si="96"/>
        <v>0</v>
      </c>
      <c r="AW114" s="55" t="b">
        <f t="shared" ca="1" si="97"/>
        <v>0</v>
      </c>
      <c r="AX114" s="69"/>
      <c r="AY114" s="203">
        <f t="shared" ca="1" si="98"/>
        <v>0</v>
      </c>
      <c r="AZ114" s="72">
        <f t="shared" ca="1" si="99"/>
        <v>0</v>
      </c>
      <c r="BA114" s="72">
        <f t="shared" ca="1" si="78"/>
        <v>0</v>
      </c>
      <c r="BB114" s="75">
        <f t="shared" ca="1" si="100"/>
        <v>0</v>
      </c>
      <c r="BC114" s="209">
        <f t="shared" si="101"/>
        <v>0</v>
      </c>
      <c r="BD114" s="72">
        <f t="shared" si="79"/>
        <v>0</v>
      </c>
      <c r="BE114" s="72">
        <f t="shared" si="80"/>
        <v>0</v>
      </c>
      <c r="BF114" s="72">
        <f t="shared" si="81"/>
        <v>0</v>
      </c>
      <c r="BG114" s="200">
        <f t="shared" ca="1" si="82"/>
        <v>0</v>
      </c>
      <c r="BH114" s="69"/>
      <c r="BI114" s="198">
        <f t="shared" si="18"/>
        <v>0</v>
      </c>
      <c r="BJ114" s="71">
        <f t="shared" si="19"/>
        <v>0</v>
      </c>
      <c r="BK114" s="72">
        <f t="shared" si="83"/>
        <v>0</v>
      </c>
      <c r="BL114" s="72">
        <f t="shared" ca="1" si="84"/>
        <v>0</v>
      </c>
      <c r="BM114" s="200">
        <f t="shared" ca="1" si="102"/>
        <v>0</v>
      </c>
      <c r="BN114" s="69"/>
      <c r="BO114" s="198">
        <f t="shared" si="103"/>
        <v>0</v>
      </c>
      <c r="BP114" s="72">
        <f t="shared" ca="1" si="104"/>
        <v>0</v>
      </c>
      <c r="BQ114" s="78">
        <f t="shared" si="85"/>
        <v>0</v>
      </c>
      <c r="BR114" s="78">
        <f t="shared" si="86"/>
        <v>0</v>
      </c>
      <c r="BS114" s="80">
        <f t="shared" ca="1" si="105"/>
        <v>0</v>
      </c>
      <c r="BT114" s="80">
        <f t="shared" ca="1" si="106"/>
        <v>0</v>
      </c>
      <c r="BU114" s="259" t="str">
        <f t="shared" ca="1" si="87"/>
        <v/>
      </c>
      <c r="BV114" s="206" t="str">
        <f t="shared" ca="1" si="88"/>
        <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row>
    <row r="115" spans="1:116" ht="12.75" hidden="1" customHeight="1">
      <c r="A115" s="5"/>
      <c r="B115" s="327" t="str">
        <f t="shared" si="28"/>
        <v>-</v>
      </c>
      <c r="C115" s="398">
        <v>79</v>
      </c>
      <c r="D115" s="688"/>
      <c r="E115" s="689"/>
      <c r="F115" s="476"/>
      <c r="G115" s="483"/>
      <c r="H115" s="466"/>
      <c r="I115" s="467"/>
      <c r="J115" s="489"/>
      <c r="K115" s="490"/>
      <c r="L115" s="491"/>
      <c r="M115" s="492"/>
      <c r="N115" s="373" t="str">
        <f t="shared" ca="1" si="89"/>
        <v/>
      </c>
      <c r="O115" s="374" t="str">
        <f t="shared" ca="1" si="90"/>
        <v/>
      </c>
      <c r="P115" s="375">
        <f t="shared" ca="1" si="91"/>
        <v>0</v>
      </c>
      <c r="Q115" s="384" t="str">
        <f t="shared" ca="1" si="72"/>
        <v/>
      </c>
      <c r="R115" s="385" t="str">
        <f t="shared" ca="1" si="92"/>
        <v/>
      </c>
      <c r="S115" s="386">
        <f t="shared" ca="1" si="73"/>
        <v>0</v>
      </c>
      <c r="T115" s="387" t="str">
        <f t="shared" ca="1" si="93"/>
        <v/>
      </c>
      <c r="U115" s="5"/>
      <c r="V115" s="6"/>
      <c r="W115" s="4"/>
      <c r="X115" s="4">
        <v>79</v>
      </c>
      <c r="Y115" s="104" t="str">
        <f t="shared" si="74"/>
        <v>-</v>
      </c>
      <c r="Z115" s="104">
        <f t="shared" si="75"/>
        <v>0</v>
      </c>
      <c r="AA115" s="4"/>
      <c r="AB115" s="53">
        <f t="shared" si="76"/>
        <v>0</v>
      </c>
      <c r="AC115" s="54">
        <f>IF(SUM(AB115:AB$116)=0,0,F115&gt;0)</f>
        <v>0</v>
      </c>
      <c r="AD115" s="53">
        <f t="shared" si="77"/>
        <v>0</v>
      </c>
      <c r="AE115" s="54">
        <f>IF(SUM(AB115:AB$116)=0,0,AND(AC115=FALSE,AD115=0,SUM(AD115:AD$116)&gt;0))</f>
        <v>0</v>
      </c>
      <c r="AF115" s="54">
        <f t="shared" si="107"/>
        <v>0</v>
      </c>
      <c r="AG115" s="54">
        <f t="shared" si="108"/>
        <v>0</v>
      </c>
      <c r="AH115" s="56">
        <f t="shared" si="109"/>
        <v>0</v>
      </c>
      <c r="AI115" s="56">
        <f t="shared" si="110"/>
        <v>0</v>
      </c>
      <c r="AJ115" s="54">
        <f t="shared" si="111"/>
        <v>0</v>
      </c>
      <c r="AK115" s="54" t="str">
        <f t="shared" si="112"/>
        <v/>
      </c>
      <c r="AL115" s="54">
        <f t="shared" si="113"/>
        <v>0</v>
      </c>
      <c r="AM115" s="54">
        <f t="shared" si="114"/>
        <v>0</v>
      </c>
      <c r="AN115" s="54">
        <f t="shared" si="115"/>
        <v>0</v>
      </c>
      <c r="AO115" s="54">
        <f t="shared" si="116"/>
        <v>0</v>
      </c>
      <c r="AP115" s="54">
        <f t="shared" si="117"/>
        <v>0</v>
      </c>
      <c r="AQ115" s="54">
        <f t="shared" si="118"/>
        <v>0</v>
      </c>
      <c r="AR115" s="53">
        <f t="shared" si="119"/>
        <v>0</v>
      </c>
      <c r="AS115" s="409" t="str">
        <f t="shared" si="120"/>
        <v/>
      </c>
      <c r="AT115" s="54">
        <f t="shared" si="94"/>
        <v>0</v>
      </c>
      <c r="AU115" s="54">
        <f t="shared" si="95"/>
        <v>0</v>
      </c>
      <c r="AV115" s="54">
        <f t="shared" si="96"/>
        <v>0</v>
      </c>
      <c r="AW115" s="55" t="b">
        <f t="shared" ca="1" si="97"/>
        <v>0</v>
      </c>
      <c r="AX115" s="69"/>
      <c r="AY115" s="203">
        <f t="shared" ca="1" si="98"/>
        <v>0</v>
      </c>
      <c r="AZ115" s="72">
        <f t="shared" ca="1" si="99"/>
        <v>0</v>
      </c>
      <c r="BA115" s="72">
        <f t="shared" ca="1" si="78"/>
        <v>0</v>
      </c>
      <c r="BB115" s="75">
        <f t="shared" ca="1" si="100"/>
        <v>0</v>
      </c>
      <c r="BC115" s="209">
        <f t="shared" si="101"/>
        <v>0</v>
      </c>
      <c r="BD115" s="72">
        <f t="shared" si="79"/>
        <v>0</v>
      </c>
      <c r="BE115" s="72">
        <f t="shared" si="80"/>
        <v>0</v>
      </c>
      <c r="BF115" s="72">
        <f t="shared" si="81"/>
        <v>0</v>
      </c>
      <c r="BG115" s="200">
        <f t="shared" ca="1" si="82"/>
        <v>0</v>
      </c>
      <c r="BH115" s="69"/>
      <c r="BI115" s="198">
        <f t="shared" si="18"/>
        <v>0</v>
      </c>
      <c r="BJ115" s="71">
        <f t="shared" si="19"/>
        <v>0</v>
      </c>
      <c r="BK115" s="72">
        <f t="shared" si="83"/>
        <v>0</v>
      </c>
      <c r="BL115" s="72">
        <f t="shared" ca="1" si="84"/>
        <v>0</v>
      </c>
      <c r="BM115" s="200">
        <f t="shared" ca="1" si="102"/>
        <v>0</v>
      </c>
      <c r="BN115" s="69"/>
      <c r="BO115" s="198">
        <f t="shared" si="103"/>
        <v>0</v>
      </c>
      <c r="BP115" s="72">
        <f t="shared" ca="1" si="104"/>
        <v>0</v>
      </c>
      <c r="BQ115" s="78">
        <f t="shared" si="85"/>
        <v>0</v>
      </c>
      <c r="BR115" s="78">
        <f t="shared" si="86"/>
        <v>0</v>
      </c>
      <c r="BS115" s="80">
        <f t="shared" ca="1" si="105"/>
        <v>0</v>
      </c>
      <c r="BT115" s="80">
        <f t="shared" ca="1" si="106"/>
        <v>0</v>
      </c>
      <c r="BU115" s="259" t="str">
        <f t="shared" ca="1" si="87"/>
        <v/>
      </c>
      <c r="BV115" s="206" t="str">
        <f t="shared" ca="1" si="88"/>
        <v/>
      </c>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row>
    <row r="116" spans="1:116" ht="13.5" hidden="1" customHeight="1" thickBot="1">
      <c r="A116" s="5"/>
      <c r="B116" s="327" t="str">
        <f t="shared" si="28"/>
        <v>-</v>
      </c>
      <c r="C116" s="399">
        <v>80</v>
      </c>
      <c r="D116" s="701"/>
      <c r="E116" s="702"/>
      <c r="F116" s="477"/>
      <c r="G116" s="484"/>
      <c r="H116" s="468"/>
      <c r="I116" s="469"/>
      <c r="J116" s="493"/>
      <c r="K116" s="494"/>
      <c r="L116" s="495"/>
      <c r="M116" s="496"/>
      <c r="N116" s="376" t="str">
        <f t="shared" ca="1" si="89"/>
        <v/>
      </c>
      <c r="O116" s="377" t="str">
        <f t="shared" ca="1" si="90"/>
        <v/>
      </c>
      <c r="P116" s="378">
        <f t="shared" ca="1" si="91"/>
        <v>0</v>
      </c>
      <c r="Q116" s="388" t="str">
        <f t="shared" ca="1" si="4"/>
        <v/>
      </c>
      <c r="R116" s="389" t="str">
        <f t="shared" ca="1" si="92"/>
        <v/>
      </c>
      <c r="S116" s="390">
        <f t="shared" ca="1" si="6"/>
        <v>0</v>
      </c>
      <c r="T116" s="391" t="str">
        <f t="shared" ca="1" si="93"/>
        <v/>
      </c>
      <c r="U116" s="5"/>
      <c r="V116" s="6"/>
      <c r="W116" s="4"/>
      <c r="X116" s="4">
        <v>80</v>
      </c>
      <c r="Y116" s="104" t="str">
        <f t="shared" si="74"/>
        <v>-</v>
      </c>
      <c r="Z116" s="104">
        <f t="shared" si="75"/>
        <v>0</v>
      </c>
      <c r="AA116" s="4"/>
      <c r="AB116" s="255">
        <f t="shared" si="52"/>
        <v>0</v>
      </c>
      <c r="AC116" s="256">
        <f>IF(SUM(AB116:AB$116)=0,0,F116&gt;0)</f>
        <v>0</v>
      </c>
      <c r="AD116" s="255">
        <f t="shared" si="53"/>
        <v>0</v>
      </c>
      <c r="AE116" s="58">
        <f>IF(SUM(AB116:AB$116)=0,0,AND(AC116=FALSE,AD116=0,SUM(AD116:AD$116)&gt;0))</f>
        <v>0</v>
      </c>
      <c r="AF116" s="58">
        <f t="shared" si="107"/>
        <v>0</v>
      </c>
      <c r="AG116" s="58">
        <f t="shared" si="108"/>
        <v>0</v>
      </c>
      <c r="AH116" s="60">
        <f t="shared" si="109"/>
        <v>0</v>
      </c>
      <c r="AI116" s="60">
        <f t="shared" si="110"/>
        <v>0</v>
      </c>
      <c r="AJ116" s="58">
        <f t="shared" si="111"/>
        <v>0</v>
      </c>
      <c r="AK116" s="58" t="str">
        <f t="shared" si="112"/>
        <v/>
      </c>
      <c r="AL116" s="58">
        <f t="shared" si="113"/>
        <v>0</v>
      </c>
      <c r="AM116" s="58">
        <f t="shared" si="114"/>
        <v>0</v>
      </c>
      <c r="AN116" s="58">
        <f t="shared" si="115"/>
        <v>0</v>
      </c>
      <c r="AO116" s="58">
        <f t="shared" si="116"/>
        <v>0</v>
      </c>
      <c r="AP116" s="58">
        <f t="shared" si="117"/>
        <v>0</v>
      </c>
      <c r="AQ116" s="58">
        <f t="shared" si="118"/>
        <v>0</v>
      </c>
      <c r="AR116" s="57">
        <f t="shared" si="119"/>
        <v>0</v>
      </c>
      <c r="AS116" s="410" t="str">
        <f t="shared" si="120"/>
        <v/>
      </c>
      <c r="AT116" s="58">
        <f t="shared" si="94"/>
        <v>0</v>
      </c>
      <c r="AU116" s="58">
        <f t="shared" si="95"/>
        <v>0</v>
      </c>
      <c r="AV116" s="58">
        <f t="shared" si="96"/>
        <v>0</v>
      </c>
      <c r="AW116" s="59" t="b">
        <f t="shared" ca="1" si="97"/>
        <v>0</v>
      </c>
      <c r="AX116" s="69"/>
      <c r="AY116" s="201">
        <f t="shared" ca="1" si="98"/>
        <v>0</v>
      </c>
      <c r="AZ116" s="73">
        <f t="shared" ca="1" si="99"/>
        <v>0</v>
      </c>
      <c r="BA116" s="73">
        <f t="shared" ca="1" si="44"/>
        <v>0</v>
      </c>
      <c r="BB116" s="204">
        <f t="shared" ca="1" si="100"/>
        <v>0</v>
      </c>
      <c r="BC116" s="210">
        <f t="shared" si="101"/>
        <v>0</v>
      </c>
      <c r="BD116" s="73">
        <f t="shared" si="45"/>
        <v>0</v>
      </c>
      <c r="BE116" s="73">
        <f t="shared" si="46"/>
        <v>0</v>
      </c>
      <c r="BF116" s="73">
        <f t="shared" si="47"/>
        <v>0</v>
      </c>
      <c r="BG116" s="202">
        <f t="shared" ca="1" si="48"/>
        <v>0</v>
      </c>
      <c r="BH116" s="69"/>
      <c r="BI116" s="201">
        <f t="shared" si="18"/>
        <v>0</v>
      </c>
      <c r="BJ116" s="73">
        <f t="shared" si="19"/>
        <v>0</v>
      </c>
      <c r="BK116" s="73">
        <f t="shared" si="49"/>
        <v>0</v>
      </c>
      <c r="BL116" s="73">
        <f t="shared" ca="1" si="50"/>
        <v>0</v>
      </c>
      <c r="BM116" s="202">
        <f t="shared" ca="1" si="102"/>
        <v>0</v>
      </c>
      <c r="BN116" s="69"/>
      <c r="BO116" s="201">
        <f t="shared" si="103"/>
        <v>0</v>
      </c>
      <c r="BP116" s="73">
        <f t="shared" ca="1" si="104"/>
        <v>0</v>
      </c>
      <c r="BQ116" s="320">
        <f t="shared" si="51"/>
        <v>0</v>
      </c>
      <c r="BR116" s="320">
        <f t="shared" si="23"/>
        <v>0</v>
      </c>
      <c r="BS116" s="321">
        <f t="shared" ca="1" si="105"/>
        <v>0</v>
      </c>
      <c r="BT116" s="321">
        <f t="shared" ca="1" si="106"/>
        <v>0</v>
      </c>
      <c r="BU116" s="322" t="str">
        <f t="shared" ca="1" si="26"/>
        <v/>
      </c>
      <c r="BV116" s="323" t="str">
        <f t="shared" ca="1" si="27"/>
        <v/>
      </c>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row>
    <row r="117" spans="1:116" ht="6" customHeight="1">
      <c r="A117" s="5"/>
      <c r="B117" s="86"/>
      <c r="C117" s="23"/>
      <c r="D117" s="70"/>
      <c r="E117" s="70"/>
      <c r="F117" s="70"/>
      <c r="G117" s="70"/>
      <c r="H117" s="70"/>
      <c r="I117" s="70"/>
      <c r="J117" s="70"/>
      <c r="K117" s="70"/>
      <c r="L117" s="70"/>
      <c r="M117" s="70"/>
      <c r="N117" s="70"/>
      <c r="O117" s="70"/>
      <c r="P117" s="70"/>
      <c r="Q117" s="70"/>
      <c r="R117" s="70"/>
      <c r="S117" s="70"/>
      <c r="T117" s="23"/>
      <c r="U117" s="5"/>
      <c r="V117" s="6"/>
      <c r="W117" s="4"/>
      <c r="X117" s="4"/>
      <c r="Y117" s="4"/>
      <c r="Z117" s="4"/>
      <c r="AA117" s="4"/>
      <c r="AB117" s="257"/>
      <c r="AC117" s="257"/>
      <c r="AD117" s="257"/>
      <c r="AE117" s="69"/>
      <c r="AF117" s="69"/>
      <c r="AG117" s="69"/>
      <c r="AH117" s="69"/>
      <c r="AI117" s="69"/>
      <c r="AJ117" s="69"/>
      <c r="AK117" s="69"/>
      <c r="AL117" s="69"/>
      <c r="AM117" s="69"/>
      <c r="AN117" s="69"/>
      <c r="AO117" s="69"/>
      <c r="AP117" s="69"/>
      <c r="AQ117" s="69"/>
      <c r="AR117" s="69"/>
      <c r="AS117" s="69"/>
      <c r="AT117" s="69"/>
      <c r="AU117" s="69"/>
      <c r="AV117" s="69"/>
      <c r="AW117" s="69"/>
      <c r="AX117" s="69"/>
      <c r="AY117" s="69"/>
      <c r="AZ117" s="69"/>
      <c r="BA117" s="69"/>
      <c r="BB117" s="69"/>
      <c r="BC117" s="69"/>
      <c r="BD117" s="69"/>
      <c r="BE117" s="69"/>
      <c r="BF117" s="69"/>
      <c r="BG117" s="69"/>
      <c r="BH117" s="69"/>
      <c r="BI117" s="69"/>
      <c r="BJ117" s="69"/>
      <c r="BK117" s="69"/>
      <c r="BL117" s="69"/>
      <c r="BM117" s="69"/>
      <c r="BN117" s="69"/>
      <c r="BO117" s="69"/>
      <c r="BP117" s="69"/>
      <c r="BQ117" s="69"/>
      <c r="BR117" s="69"/>
      <c r="BS117" s="69"/>
      <c r="BT117" s="69"/>
      <c r="BU117" s="69"/>
      <c r="BV117" s="69"/>
      <c r="BW117" s="69"/>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row>
    <row r="118" spans="1:116" ht="12.75" customHeight="1">
      <c r="A118" s="5"/>
      <c r="B118" s="94" t="s">
        <v>112</v>
      </c>
      <c r="C118" s="92"/>
      <c r="D118" s="92"/>
      <c r="E118" s="92"/>
      <c r="F118" s="92"/>
      <c r="G118" s="92"/>
      <c r="H118" s="92"/>
      <c r="I118" s="92"/>
      <c r="J118" s="92"/>
      <c r="K118" s="92"/>
      <c r="L118" s="92"/>
      <c r="M118" s="92"/>
      <c r="N118" s="5"/>
      <c r="O118" s="5"/>
      <c r="P118" s="5"/>
      <c r="S118" s="113" t="str">
        <f ca="1">IF(AND(AllInputsOK=TRUE,ShowPassCond=TRUE,ShowPassSHG=TRUE),"If inputs (including air movement levels) are valid","")</f>
        <v/>
      </c>
      <c r="T118" s="699" t="str">
        <f ca="1">IF(AND(AllInputsOK=TRUE,ShowPassCond=TRUE,ShowPassSHG=TRUE),"ü",IF(VisibleFailures&gt;0,"û",""))</f>
        <v/>
      </c>
      <c r="U118" s="5"/>
      <c r="V118" s="6"/>
      <c r="W118" s="4"/>
      <c r="X118" s="102"/>
      <c r="Y118" s="4"/>
      <c r="Z118" s="4"/>
      <c r="AA118" s="4"/>
      <c r="AB118" s="85" t="s">
        <v>101</v>
      </c>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row>
    <row r="119" spans="1:116" ht="48" customHeight="1">
      <c r="A119" s="5"/>
      <c r="B119" s="703" t="s">
        <v>215</v>
      </c>
      <c r="C119" s="704"/>
      <c r="D119" s="704"/>
      <c r="E119" s="704"/>
      <c r="F119" s="704"/>
      <c r="G119" s="704"/>
      <c r="H119" s="704"/>
      <c r="I119" s="704"/>
      <c r="J119" s="704"/>
      <c r="K119" s="704"/>
      <c r="L119" s="704"/>
      <c r="M119" s="704"/>
      <c r="N119" s="704"/>
      <c r="O119" s="704"/>
      <c r="P119" s="704"/>
      <c r="Q119" s="213"/>
      <c r="R119" s="92"/>
      <c r="T119" s="700"/>
      <c r="U119" s="5"/>
      <c r="V119" s="6"/>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row>
    <row r="120" spans="1:116">
      <c r="A120" s="12"/>
      <c r="B120" s="142" t="s">
        <v>371</v>
      </c>
      <c r="C120" s="143"/>
      <c r="D120" s="143"/>
      <c r="E120" s="143"/>
      <c r="F120" s="143"/>
      <c r="G120" s="143"/>
      <c r="H120" s="143"/>
      <c r="I120" s="143"/>
      <c r="J120" s="143"/>
      <c r="K120" s="143"/>
      <c r="L120" s="143"/>
      <c r="M120" s="143"/>
      <c r="N120" s="143"/>
      <c r="O120" s="143"/>
      <c r="P120" s="143"/>
      <c r="Q120" s="143"/>
      <c r="R120" s="143"/>
      <c r="S120" s="143"/>
      <c r="T120" s="143"/>
      <c r="U120" s="12"/>
      <c r="V120" s="13"/>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11"/>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row>
    <row r="121" spans="1:116" ht="10.5" customHeight="1">
      <c r="A121" s="4"/>
      <c r="B121" s="6"/>
      <c r="C121" s="6"/>
      <c r="D121" s="6"/>
      <c r="E121" s="6"/>
      <c r="F121" s="6"/>
      <c r="G121" s="6"/>
      <c r="H121" s="6"/>
      <c r="I121" s="6"/>
      <c r="J121" s="6"/>
      <c r="K121" s="6"/>
      <c r="L121" s="6"/>
      <c r="M121" s="6"/>
      <c r="N121" s="6"/>
      <c r="O121" s="6"/>
      <c r="P121" s="6"/>
      <c r="Q121" s="6"/>
      <c r="R121" s="6"/>
      <c r="S121" s="6"/>
      <c r="T121" s="6"/>
      <c r="U121" s="6"/>
      <c r="V121" s="6"/>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row>
    <row r="122" spans="1:116" ht="10.5" customHeight="1" outlineLevel="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row>
    <row r="123" spans="1:116" outlineLevel="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89"/>
      <c r="AG123" s="95"/>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row>
    <row r="124" spans="1:116" outlineLevel="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89"/>
      <c r="AG124" s="95"/>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row>
    <row r="125" spans="1:116" outlineLevel="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89"/>
      <c r="AG125" s="95"/>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row>
    <row r="126" spans="1:116" outlineLevel="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89"/>
      <c r="AG126" s="95"/>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row>
    <row r="127" spans="1:116" outlineLevel="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89"/>
      <c r="AG127" s="95"/>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row>
    <row r="128" spans="1:116" outlineLevel="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89"/>
      <c r="AG128" s="95"/>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row>
    <row r="129" spans="1:116" outlineLevel="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89"/>
      <c r="AG129" s="95"/>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row>
    <row r="130" spans="1:116" outlineLevel="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89"/>
      <c r="AG130" s="95"/>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row>
    <row r="131" spans="1:116" outlineLevel="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89"/>
      <c r="AG131" s="95"/>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row>
    <row r="132" spans="1:116" outlineLevel="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89"/>
      <c r="AG132" s="95"/>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row>
    <row r="133" spans="1:116" outlineLevel="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89"/>
      <c r="AG133" s="95"/>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row>
    <row r="134" spans="1:116" outlineLevel="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89"/>
      <c r="AG134" s="95"/>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row>
    <row r="135" spans="1:116" outlineLevel="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89"/>
      <c r="AG135" s="95"/>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row>
    <row r="136" spans="1:116" outlineLevel="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89"/>
      <c r="AG136" s="95"/>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row>
    <row r="137" spans="1:116" outlineLevel="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89"/>
      <c r="AG137" s="95"/>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row>
    <row r="138" spans="1:116" outlineLevel="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89"/>
      <c r="AG138" s="95"/>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row>
    <row r="139" spans="1:116" outlineLevel="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89"/>
      <c r="AG139" s="95"/>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row>
    <row r="140" spans="1:116" outlineLevel="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89"/>
      <c r="AG140" s="95"/>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row>
    <row r="141" spans="1:116" outlineLevel="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89"/>
      <c r="AG141" s="95"/>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row>
    <row r="142" spans="1:116" outlineLevel="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89"/>
      <c r="AG142" s="95"/>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row>
    <row r="143" spans="1:116" outlineLevel="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89"/>
      <c r="AG143" s="95"/>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row>
    <row r="144" spans="1:116" outlineLevel="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89"/>
      <c r="AG144" s="95"/>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row>
    <row r="145" spans="1:116" outlineLevel="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89"/>
      <c r="AG145" s="95"/>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row>
    <row r="146" spans="1:116" outlineLevel="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89"/>
      <c r="AG146" s="95"/>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row>
    <row r="147" spans="1:116" outlineLevel="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89"/>
      <c r="AG147" s="95"/>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row>
    <row r="148" spans="1:116" outlineLevel="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89"/>
      <c r="AG148" s="95"/>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row>
    <row r="149" spans="1:116">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89"/>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row>
    <row r="150" spans="1:116" hidden="1" outlineLevel="1">
      <c r="A150" s="4"/>
      <c r="B150" s="4"/>
      <c r="C150" s="4"/>
      <c r="D150" s="4"/>
      <c r="E150" s="35" t="s">
        <v>258</v>
      </c>
      <c r="F150" s="261" t="b">
        <f>COUNTA(TableInputs)=0</f>
        <v>1</v>
      </c>
      <c r="G150" s="4"/>
      <c r="H150" s="4"/>
      <c r="I150" s="4"/>
      <c r="J150" s="4"/>
      <c r="K150" s="4"/>
      <c r="L150" s="4"/>
      <c r="M150" s="394">
        <f>COUNTIF(M153:M171,"&gt;0")</f>
        <v>1</v>
      </c>
      <c r="N150" s="394">
        <f ca="1">COUNTIF(N153:N171,"&gt;0")</f>
        <v>0</v>
      </c>
      <c r="O150" s="4"/>
      <c r="P150" s="4"/>
      <c r="Q150" s="418">
        <f ca="1">SUM(M150:N150)</f>
        <v>1</v>
      </c>
      <c r="R150" s="4"/>
      <c r="S150" s="4"/>
      <c r="T150" s="4"/>
      <c r="U150" s="4"/>
      <c r="V150" s="4"/>
      <c r="W150" s="21"/>
      <c r="X150" s="21"/>
      <c r="Y150" s="21"/>
      <c r="Z150" s="21"/>
      <c r="AA150" s="21"/>
      <c r="AB150" s="4"/>
      <c r="AC150" s="4"/>
      <c r="AD150" s="4"/>
      <c r="AE150" s="4"/>
      <c r="AF150" s="89"/>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row>
    <row r="151" spans="1:116" hidden="1" outlineLevel="1">
      <c r="A151" s="4"/>
      <c r="B151" s="39"/>
      <c r="C151" s="39"/>
      <c r="D151" s="39"/>
      <c r="E151" s="39"/>
      <c r="F151" s="81" t="s">
        <v>257</v>
      </c>
      <c r="G151" s="21"/>
      <c r="H151" s="260"/>
      <c r="I151" s="62"/>
      <c r="J151" s="21"/>
      <c r="K151" s="21"/>
      <c r="L151" s="21"/>
      <c r="M151" s="417" t="s">
        <v>341</v>
      </c>
      <c r="N151" s="81" t="s">
        <v>342</v>
      </c>
      <c r="O151" s="81"/>
      <c r="P151" s="21"/>
      <c r="Q151" s="419" t="s">
        <v>343</v>
      </c>
      <c r="R151" s="21"/>
      <c r="S151" s="21"/>
      <c r="T151" s="21"/>
      <c r="U151" s="21"/>
      <c r="V151" s="21"/>
      <c r="W151" s="21"/>
      <c r="X151" s="21"/>
      <c r="Y151" s="21"/>
      <c r="Z151" s="21"/>
      <c r="AA151" s="21"/>
      <c r="AB151" s="4"/>
      <c r="AC151" s="4"/>
      <c r="AD151" s="4"/>
      <c r="AE151" s="4"/>
      <c r="AF151" s="89"/>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row>
    <row r="152" spans="1:116" ht="22.5" hidden="1" outlineLevel="1">
      <c r="A152" s="4"/>
      <c r="B152" s="38" t="s">
        <v>226</v>
      </c>
      <c r="C152" s="38"/>
      <c r="D152" s="38"/>
      <c r="E152" s="38"/>
      <c r="F152" s="9" t="s">
        <v>45</v>
      </c>
      <c r="G152" s="37"/>
      <c r="H152" s="18" t="s">
        <v>336</v>
      </c>
      <c r="I152" s="21"/>
      <c r="J152" s="21"/>
      <c r="K152" s="21"/>
      <c r="L152" s="21"/>
      <c r="M152" s="21"/>
      <c r="N152" s="21"/>
      <c r="O152" s="21"/>
      <c r="P152" s="21"/>
      <c r="Q152" s="21"/>
      <c r="R152" s="21"/>
      <c r="S152" s="21"/>
      <c r="T152" s="21"/>
      <c r="U152" s="21"/>
      <c r="V152" s="21"/>
      <c r="W152" s="21"/>
      <c r="X152" s="21"/>
      <c r="Y152" s="21"/>
      <c r="Z152" s="21"/>
      <c r="AA152" s="21"/>
      <c r="AB152" s="4"/>
      <c r="AC152" s="4"/>
      <c r="AD152" s="4"/>
      <c r="AE152" s="4"/>
      <c r="AF152" s="89"/>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row>
    <row r="153" spans="1:116" hidden="1" outlineLevel="1">
      <c r="A153" s="4"/>
      <c r="B153" s="39"/>
      <c r="C153" s="39"/>
      <c r="D153" s="39"/>
      <c r="E153" s="262" t="s">
        <v>250</v>
      </c>
      <c r="F153" s="110" t="b">
        <f>AND(NoGlazing=TRUE,ISBLANK(Building))</f>
        <v>1</v>
      </c>
      <c r="G153" s="41"/>
      <c r="H153" s="452" t="str">
        <f>IF(F153=TRUE,"1. Enter a description of the building and the part(s) of it covered by this assessment.","")</f>
        <v>1. Enter a description of the building and the part(s) of it covered by this assessment.</v>
      </c>
      <c r="I153" s="21"/>
      <c r="J153" s="21"/>
      <c r="K153" s="21"/>
      <c r="L153" s="21"/>
      <c r="M153" s="393">
        <f>LEN(H153)</f>
        <v>88</v>
      </c>
      <c r="N153" s="21"/>
      <c r="O153" s="21"/>
      <c r="P153" s="21"/>
      <c r="Q153" s="21"/>
      <c r="R153" s="21"/>
      <c r="S153" s="21"/>
      <c r="T153" s="21"/>
      <c r="U153" s="21"/>
      <c r="V153" s="21"/>
      <c r="W153" s="21"/>
      <c r="X153" s="21"/>
      <c r="Y153" s="21"/>
      <c r="Z153" s="21"/>
      <c r="AA153" s="21"/>
      <c r="AB153" s="4"/>
      <c r="AC153" s="4"/>
      <c r="AD153" s="4"/>
      <c r="AE153" s="4"/>
      <c r="AF153" s="89"/>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row>
    <row r="154" spans="1:116" hidden="1" outlineLevel="1">
      <c r="A154" s="4"/>
      <c r="B154" s="39"/>
      <c r="C154" s="39"/>
      <c r="D154" s="39"/>
      <c r="E154" s="262" t="s">
        <v>251</v>
      </c>
      <c r="F154" s="145" t="b">
        <f>AND(NoGlazing=FALSE,ISBLANK(Building))</f>
        <v>0</v>
      </c>
      <c r="G154" s="43"/>
      <c r="H154" s="453" t="str">
        <f>IF(F154=TRUE,"No building identification","")</f>
        <v/>
      </c>
      <c r="I154" s="21"/>
      <c r="J154" s="21"/>
      <c r="K154" s="21"/>
      <c r="L154" s="21"/>
      <c r="M154" s="21"/>
      <c r="N154" s="393">
        <f>LEN(H154)</f>
        <v>0</v>
      </c>
      <c r="O154" s="21"/>
      <c r="P154" s="21"/>
      <c r="Q154" s="21"/>
      <c r="R154" s="21"/>
      <c r="S154" s="21"/>
      <c r="T154" s="21"/>
      <c r="U154" s="21"/>
      <c r="V154" s="21"/>
      <c r="W154" s="21"/>
      <c r="X154" s="21"/>
      <c r="Y154" s="21"/>
      <c r="Z154" s="21"/>
      <c r="AA154" s="21"/>
      <c r="AB154" s="4"/>
      <c r="AC154" s="4"/>
      <c r="AD154" s="4"/>
      <c r="AE154" s="4"/>
      <c r="AF154" s="89"/>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row>
    <row r="155" spans="1:116" hidden="1" outlineLevel="1">
      <c r="A155" s="4"/>
      <c r="B155" s="39"/>
      <c r="C155" s="39"/>
      <c r="D155" s="39"/>
      <c r="E155" s="262" t="s">
        <v>260</v>
      </c>
      <c r="F155" s="109" t="b">
        <f>AND(NoGlazing=TRUE,ISBLANK(Building)=FALSE,ISBLANK(Zone))</f>
        <v>0</v>
      </c>
      <c r="G155" s="21"/>
      <c r="H155" s="454" t="str">
        <f>IF(F155=TRUE,"2. Enter zone","")</f>
        <v/>
      </c>
      <c r="I155" s="21"/>
      <c r="J155" s="21"/>
      <c r="K155" s="21"/>
      <c r="L155" s="21"/>
      <c r="M155" s="393">
        <f>LEN(H155)</f>
        <v>0</v>
      </c>
      <c r="N155" s="21"/>
      <c r="O155" s="21"/>
      <c r="P155" s="21"/>
      <c r="Q155" s="21"/>
      <c r="R155" s="21"/>
      <c r="S155" s="21"/>
      <c r="T155" s="21"/>
      <c r="U155" s="21"/>
      <c r="V155" s="21"/>
      <c r="W155" s="21"/>
      <c r="X155" s="21"/>
      <c r="Y155" s="21"/>
      <c r="Z155" s="21"/>
      <c r="AA155" s="21"/>
      <c r="AB155" s="4"/>
      <c r="AC155" s="4"/>
      <c r="AD155" s="4"/>
      <c r="AE155" s="4"/>
      <c r="AF155" s="89"/>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row>
    <row r="156" spans="1:116" hidden="1" outlineLevel="1">
      <c r="A156" s="4"/>
      <c r="B156" s="39"/>
      <c r="C156" s="39"/>
      <c r="D156" s="39"/>
      <c r="E156" s="262" t="s">
        <v>249</v>
      </c>
      <c r="F156" s="109" t="b">
        <f>AND(NoGlazing=FALSE,ISBLANK(Zone))</f>
        <v>0</v>
      </c>
      <c r="G156" s="280"/>
      <c r="H156" s="453" t="str">
        <f>IF(F156=TRUE,"No zone","")</f>
        <v/>
      </c>
      <c r="I156" s="21"/>
      <c r="J156" s="21"/>
      <c r="K156" s="21"/>
      <c r="L156" s="21"/>
      <c r="M156" s="21"/>
      <c r="N156" s="393">
        <f>LEN(H156)</f>
        <v>0</v>
      </c>
      <c r="O156" s="21"/>
      <c r="P156" s="21"/>
      <c r="Q156" s="21"/>
      <c r="R156" s="21"/>
      <c r="S156" s="21"/>
      <c r="T156" s="21"/>
      <c r="U156" s="21"/>
      <c r="V156" s="21"/>
      <c r="W156" s="21"/>
      <c r="X156" s="21"/>
      <c r="Y156" s="21"/>
      <c r="Z156" s="21"/>
      <c r="AA156" s="21"/>
      <c r="AB156" s="4"/>
      <c r="AC156" s="4"/>
      <c r="AD156" s="4"/>
      <c r="AE156" s="4"/>
      <c r="AF156" s="89"/>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row>
    <row r="157" spans="1:116" hidden="1" outlineLevel="1">
      <c r="A157" s="4"/>
      <c r="B157" s="39"/>
      <c r="C157" s="39"/>
      <c r="D157" s="39"/>
      <c r="E157" s="35"/>
      <c r="F157" s="281" t="s">
        <v>46</v>
      </c>
      <c r="G157" s="42"/>
      <c r="H157" s="280"/>
      <c r="I157" s="21"/>
      <c r="J157" s="21"/>
      <c r="K157" s="21"/>
      <c r="L157" s="21"/>
      <c r="M157" s="21"/>
      <c r="N157" s="21"/>
      <c r="O157" s="21"/>
      <c r="P157" s="21"/>
      <c r="Q157" s="21"/>
      <c r="R157" s="21"/>
      <c r="S157" s="21"/>
      <c r="T157" s="21"/>
      <c r="U157" s="21"/>
      <c r="V157" s="21"/>
      <c r="W157" s="21"/>
      <c r="X157" s="21"/>
      <c r="Y157" s="21"/>
      <c r="Z157" s="21"/>
      <c r="AA157" s="21"/>
      <c r="AB157" s="4"/>
      <c r="AC157" s="4"/>
      <c r="AD157" s="4"/>
      <c r="AE157" s="4"/>
      <c r="AF157" s="89"/>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row>
    <row r="158" spans="1:116" hidden="1" outlineLevel="1">
      <c r="A158" s="4"/>
      <c r="B158" s="4"/>
      <c r="C158" s="4"/>
      <c r="D158" s="4"/>
      <c r="E158" s="262" t="s">
        <v>261</v>
      </c>
      <c r="F158" s="109" t="b">
        <f>AND(NoGlazing=TRUE,COUNTA(Building,Zone)=2,ISBLANK(Storey))</f>
        <v>0</v>
      </c>
      <c r="G158" s="42"/>
      <c r="H158" s="455" t="str">
        <f>IF(F158,"3. Enter storey","")</f>
        <v/>
      </c>
      <c r="I158" s="21"/>
      <c r="J158" s="21"/>
      <c r="K158" s="21"/>
      <c r="L158" s="21"/>
      <c r="M158" s="393">
        <f>LEN(H158)</f>
        <v>0</v>
      </c>
      <c r="N158" s="21"/>
      <c r="O158" s="21"/>
      <c r="P158" s="21"/>
      <c r="Q158" s="21"/>
      <c r="R158" s="21"/>
      <c r="S158" s="21"/>
      <c r="T158" s="21"/>
      <c r="U158" s="21"/>
      <c r="V158" s="21"/>
      <c r="W158" s="21"/>
      <c r="X158" s="21"/>
      <c r="Y158" s="21"/>
      <c r="Z158" s="21"/>
      <c r="AA158" s="21"/>
      <c r="AB158" s="4"/>
      <c r="AC158" s="4"/>
      <c r="AD158" s="4"/>
      <c r="AE158" s="4"/>
      <c r="AF158" s="89"/>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row>
    <row r="159" spans="1:116" hidden="1" outlineLevel="1">
      <c r="A159" s="4"/>
      <c r="B159" s="4"/>
      <c r="C159" s="4"/>
      <c r="D159" s="4"/>
      <c r="E159" s="262" t="s">
        <v>252</v>
      </c>
      <c r="F159" s="109" t="b">
        <f>AND(NoGlazing=FALSE,ISBLANK(Storey))</f>
        <v>0</v>
      </c>
      <c r="G159" s="42"/>
      <c r="H159" s="456" t="str">
        <f>IF(F159=TRUE,"No Storey ","")</f>
        <v/>
      </c>
      <c r="I159" s="21"/>
      <c r="J159" s="21"/>
      <c r="K159" s="21"/>
      <c r="L159" s="21"/>
      <c r="M159" s="21"/>
      <c r="N159" s="393">
        <f>LEN(H159)</f>
        <v>0</v>
      </c>
      <c r="O159" s="21"/>
      <c r="P159" s="21"/>
      <c r="Q159" s="21"/>
      <c r="R159" s="21"/>
      <c r="S159" s="21"/>
      <c r="T159" s="21"/>
      <c r="U159" s="21"/>
      <c r="V159" s="21"/>
      <c r="W159" s="21"/>
      <c r="X159" s="21"/>
      <c r="Y159" s="21"/>
      <c r="Z159" s="21"/>
      <c r="AA159" s="21"/>
      <c r="AB159" s="4"/>
      <c r="AC159" s="4"/>
      <c r="AD159" s="4"/>
      <c r="AE159" s="4"/>
      <c r="AF159" s="89"/>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row>
    <row r="160" spans="1:116" hidden="1" outlineLevel="1">
      <c r="A160" s="4"/>
      <c r="B160" s="4"/>
      <c r="C160" s="4"/>
      <c r="D160" s="4"/>
      <c r="E160" s="262" t="s">
        <v>136</v>
      </c>
      <c r="F160" s="282" t="b">
        <f>COUNTA(Zone,Building,Storey)=3</f>
        <v>0</v>
      </c>
      <c r="G160" s="281" t="s">
        <v>106</v>
      </c>
      <c r="H160" s="280"/>
      <c r="I160" s="450" t="s">
        <v>289</v>
      </c>
      <c r="J160" s="43"/>
      <c r="K160" s="44"/>
      <c r="L160" s="43"/>
      <c r="M160" s="43"/>
      <c r="N160" s="45"/>
      <c r="O160" s="43"/>
      <c r="P160" s="43"/>
      <c r="Q160" s="43"/>
      <c r="R160" s="43"/>
      <c r="S160" s="43"/>
      <c r="T160" s="43"/>
      <c r="U160" s="43"/>
      <c r="V160" s="43"/>
      <c r="W160" s="21"/>
      <c r="X160" s="21"/>
      <c r="Y160" s="21"/>
      <c r="Z160" s="21"/>
      <c r="AA160" s="21"/>
      <c r="AB160" s="4"/>
      <c r="AC160" s="4"/>
      <c r="AD160" s="4"/>
      <c r="AE160" s="4"/>
      <c r="AF160" s="89"/>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row>
    <row r="161" spans="1:116" hidden="1" outlineLevel="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89"/>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row>
    <row r="162" spans="1:116" hidden="1" outlineLevel="1">
      <c r="A162" s="4"/>
      <c r="B162" s="38" t="s">
        <v>227</v>
      </c>
      <c r="C162" s="38"/>
      <c r="D162" s="38"/>
      <c r="E162" s="38"/>
      <c r="F162" s="9" t="s">
        <v>31</v>
      </c>
      <c r="G162" s="31"/>
      <c r="H162" s="31"/>
      <c r="I162" s="34"/>
      <c r="J162" s="34"/>
      <c r="K162" s="34"/>
      <c r="L162" s="34"/>
      <c r="M162" s="34"/>
      <c r="N162" s="34"/>
      <c r="O162" s="34"/>
      <c r="P162" s="442"/>
      <c r="Q162" s="34"/>
      <c r="R162" s="34"/>
      <c r="S162" s="34"/>
      <c r="T162" s="34"/>
      <c r="U162" s="34"/>
      <c r="V162" s="34"/>
      <c r="W162" s="4"/>
      <c r="X162" s="4"/>
      <c r="Y162" s="4"/>
      <c r="Z162" s="4"/>
      <c r="AA162" s="4"/>
      <c r="AB162" s="4"/>
      <c r="AC162" s="4"/>
      <c r="AD162" s="4"/>
      <c r="AE162" s="4"/>
      <c r="AF162" s="89"/>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row>
    <row r="163" spans="1:116" hidden="1" outlineLevel="1">
      <c r="A163" s="4"/>
      <c r="B163" s="4"/>
      <c r="C163" s="4"/>
      <c r="D163" s="4"/>
      <c r="E163" s="262" t="s">
        <v>262</v>
      </c>
      <c r="F163" s="109" t="b">
        <f>AND(NoGlazing=TRUE,COUNTA(Building,Zone,Storey)=3,AreaAll=0)</f>
        <v>0</v>
      </c>
      <c r="G163" s="283" t="s">
        <v>110</v>
      </c>
      <c r="H163" s="457" t="str">
        <f>IF(F163=TRUE,"4. Enter area(s) below for applicable floor type(s)","")</f>
        <v/>
      </c>
      <c r="I163" s="34"/>
      <c r="J163" s="34"/>
      <c r="K163" s="34"/>
      <c r="L163" s="34"/>
      <c r="M163" s="393">
        <f>LEN(H163)</f>
        <v>0</v>
      </c>
      <c r="N163" s="34"/>
      <c r="O163" s="34"/>
      <c r="P163" s="441"/>
      <c r="Q163" s="34"/>
      <c r="R163" s="34"/>
      <c r="S163" s="34"/>
      <c r="T163" s="34"/>
      <c r="U163" s="34"/>
      <c r="V163" s="34"/>
      <c r="W163" s="21"/>
      <c r="X163" s="21"/>
      <c r="Y163" s="21"/>
      <c r="Z163" s="21"/>
      <c r="AA163" s="21"/>
      <c r="AB163" s="4"/>
      <c r="AC163" s="4"/>
      <c r="AD163" s="4"/>
      <c r="AE163" s="4"/>
      <c r="AF163" s="89"/>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row>
    <row r="164" spans="1:116" hidden="1" outlineLevel="1">
      <c r="A164" s="4"/>
      <c r="B164" s="4"/>
      <c r="C164" s="4"/>
      <c r="D164" s="4"/>
      <c r="E164" s="262" t="s">
        <v>259</v>
      </c>
      <c r="F164" s="145" t="b">
        <f>AND(NoGlazing=FALSE,AreaAll=0)</f>
        <v>0</v>
      </c>
      <c r="G164" s="42"/>
      <c r="H164" s="458" t="str">
        <f>IF(F164=TRUE,"No area(s)","")</f>
        <v/>
      </c>
      <c r="I164" s="34"/>
      <c r="J164" s="34"/>
      <c r="K164" s="34"/>
      <c r="L164" s="34"/>
      <c r="M164" s="21"/>
      <c r="N164" s="393">
        <f>LEN(H164)</f>
        <v>0</v>
      </c>
      <c r="O164" s="34"/>
      <c r="P164" s="442"/>
      <c r="Q164" s="34"/>
      <c r="R164" s="34"/>
      <c r="S164" s="34"/>
      <c r="T164" s="34"/>
      <c r="U164" s="34"/>
      <c r="V164" s="34"/>
      <c r="W164" s="21"/>
      <c r="X164" s="21"/>
      <c r="Y164" s="21"/>
      <c r="Z164" s="21"/>
      <c r="AA164" s="21"/>
      <c r="AB164" s="21"/>
      <c r="AC164" s="21"/>
      <c r="AD164" s="4"/>
      <c r="AE164" s="4"/>
      <c r="AF164" s="89"/>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row>
    <row r="165" spans="1:116" hidden="1" outlineLevel="1">
      <c r="A165" s="4"/>
      <c r="B165" s="4"/>
      <c r="C165" s="4"/>
      <c r="D165" s="4"/>
      <c r="E165" s="262" t="s">
        <v>354</v>
      </c>
      <c r="F165" s="109" t="b">
        <f>AND(NoGlazing=TRUE,First3Inputs=TRUE,AreaAll&gt;0,ISBLANK(WallConcession))</f>
        <v>0</v>
      </c>
      <c r="G165" s="42"/>
      <c r="H165" s="459" t="str">
        <f>IF(F165=TRUE,"INITIAL WALL INSULATION OPTION CHOICE NEEDED","")</f>
        <v/>
      </c>
      <c r="I165" s="34"/>
      <c r="J165" s="34"/>
      <c r="K165" s="34"/>
      <c r="L165" s="34"/>
      <c r="M165" s="393">
        <f t="shared" ref="M165:M166" si="121">LEN(H165)</f>
        <v>0</v>
      </c>
      <c r="N165" s="34"/>
      <c r="O165" s="34"/>
      <c r="P165" s="441"/>
      <c r="Q165" s="34"/>
      <c r="R165" s="34"/>
      <c r="S165" s="34"/>
      <c r="T165" s="34"/>
      <c r="U165" s="34"/>
      <c r="V165" s="34"/>
      <c r="W165" s="21"/>
      <c r="X165" s="274"/>
      <c r="Y165" s="4"/>
      <c r="Z165" s="93"/>
      <c r="AA165" s="21"/>
      <c r="AB165" s="4"/>
      <c r="AC165" s="4"/>
      <c r="AD165" s="4"/>
      <c r="AE165" s="4"/>
      <c r="AF165" s="89"/>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row>
    <row r="166" spans="1:116" hidden="1" outlineLevel="1">
      <c r="A166" s="4"/>
      <c r="B166" s="4"/>
      <c r="C166" s="4"/>
      <c r="D166" s="4"/>
      <c r="E166" s="262" t="s">
        <v>263</v>
      </c>
      <c r="F166" s="145" t="b">
        <f>AND(NoGlazing=TRUE,First3Inputs=TRUE,AreaAll&gt;0,WallConcession&gt;0,ISBLANK(AirMovement))</f>
        <v>0</v>
      </c>
      <c r="G166" s="284" t="s">
        <v>351</v>
      </c>
      <c r="H166" s="459" t="str">
        <f>IF(F166=TRUE,"6. Enter Air Movement","")</f>
        <v/>
      </c>
      <c r="I166" s="34"/>
      <c r="J166" s="34"/>
      <c r="K166" s="34"/>
      <c r="L166" s="34"/>
      <c r="M166" s="393">
        <f t="shared" si="121"/>
        <v>0</v>
      </c>
      <c r="N166" s="34"/>
      <c r="O166" s="34"/>
      <c r="P166" s="444"/>
      <c r="Q166" s="34"/>
      <c r="R166" s="34"/>
      <c r="S166" s="34"/>
      <c r="T166" s="34"/>
      <c r="U166" s="34"/>
      <c r="V166" s="34"/>
      <c r="W166" s="21"/>
      <c r="X166" s="21"/>
      <c r="Y166" s="21"/>
      <c r="Z166" s="21"/>
      <c r="AA166" s="21"/>
      <c r="AB166" s="4"/>
      <c r="AC166" s="4"/>
      <c r="AD166" s="4"/>
      <c r="AE166" s="4"/>
      <c r="AF166" s="89"/>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row>
    <row r="167" spans="1:116" hidden="1" outlineLevel="1">
      <c r="A167" s="4"/>
      <c r="B167" s="4"/>
      <c r="C167" s="4"/>
      <c r="D167" s="4"/>
      <c r="E167" s="262" t="s">
        <v>264</v>
      </c>
      <c r="F167" s="145" t="b">
        <f>AND(NoGlazing=FALSE,ISBLANK(AirMovement))</f>
        <v>0</v>
      </c>
      <c r="G167" s="284" t="s">
        <v>352</v>
      </c>
      <c r="H167" s="458" t="str">
        <f>IF(F167=TRUE,"No Air Movement","")</f>
        <v/>
      </c>
      <c r="I167" s="34"/>
      <c r="J167" s="34"/>
      <c r="K167" s="34"/>
      <c r="L167" s="34"/>
      <c r="M167" s="21"/>
      <c r="N167" s="393">
        <f>LEN(H167)</f>
        <v>0</v>
      </c>
      <c r="O167" s="34"/>
      <c r="P167" s="442"/>
      <c r="Q167" s="34"/>
      <c r="R167" s="34"/>
      <c r="S167" s="34"/>
      <c r="T167" s="34"/>
      <c r="U167" s="34"/>
      <c r="V167" s="34"/>
      <c r="W167" s="21"/>
      <c r="X167" s="21"/>
      <c r="Y167" s="21"/>
      <c r="Z167" s="21"/>
      <c r="AA167" s="21"/>
      <c r="AB167" s="21"/>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row>
    <row r="168" spans="1:116" hidden="1" outlineLevel="1">
      <c r="A168" s="4"/>
      <c r="B168" s="4"/>
      <c r="C168" s="4"/>
      <c r="D168" s="4"/>
      <c r="E168" s="262" t="s">
        <v>253</v>
      </c>
      <c r="F168" s="145" t="b">
        <f>AND(AreaA&gt;0,AirMovement&gt;0)</f>
        <v>0</v>
      </c>
      <c r="G168" s="285" t="s">
        <v>47</v>
      </c>
      <c r="H168" s="286"/>
      <c r="I168" s="34"/>
      <c r="J168" s="34"/>
      <c r="K168" s="34"/>
      <c r="L168" s="34"/>
      <c r="M168" s="34"/>
      <c r="N168" s="34"/>
      <c r="O168" s="34"/>
      <c r="P168" s="443"/>
      <c r="Q168" s="34"/>
      <c r="R168" s="34"/>
      <c r="S168" s="34"/>
      <c r="T168" s="34"/>
      <c r="U168" s="34"/>
      <c r="V168" s="34"/>
      <c r="W168" s="21"/>
      <c r="X168" s="21"/>
      <c r="Y168" s="21"/>
      <c r="Z168" s="21"/>
      <c r="AA168" s="21"/>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row>
    <row r="169" spans="1:116" hidden="1" outlineLevel="1">
      <c r="A169" s="4"/>
      <c r="B169" s="4"/>
      <c r="C169" s="4"/>
      <c r="D169" s="4"/>
      <c r="E169" s="262" t="s">
        <v>254</v>
      </c>
      <c r="F169" s="145" t="b">
        <f>AND(AreaB&gt;0,AirMovement&gt;0)</f>
        <v>0</v>
      </c>
      <c r="G169" s="285" t="s">
        <v>48</v>
      </c>
      <c r="H169" s="286"/>
      <c r="I169" s="34"/>
      <c r="J169" s="34"/>
      <c r="K169" s="34"/>
      <c r="L169" s="34"/>
      <c r="M169" s="34"/>
      <c r="N169" s="34"/>
      <c r="O169" s="34"/>
      <c r="P169" s="34"/>
      <c r="Q169" s="34"/>
      <c r="R169" s="34"/>
      <c r="S169" s="34"/>
      <c r="T169" s="34"/>
      <c r="U169" s="34"/>
      <c r="V169" s="34"/>
      <c r="W169" s="21"/>
      <c r="X169" s="21"/>
      <c r="Y169" s="21"/>
      <c r="Z169" s="21"/>
      <c r="AA169" s="21"/>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row>
    <row r="170" spans="1:116" hidden="1" outlineLevel="1">
      <c r="A170" s="4"/>
      <c r="B170" s="4"/>
      <c r="C170" s="4"/>
      <c r="D170" s="4"/>
      <c r="E170" s="445" t="s">
        <v>287</v>
      </c>
      <c r="F170" s="145" t="b">
        <f ca="1">AND(ISBLANK(H29)=FALSE,ISNA(MATCH(WallConcession,WallConcessions,0)))</f>
        <v>0</v>
      </c>
      <c r="G170" s="42"/>
      <c r="H170" s="451" t="str">
        <f ca="1">IF(AND(First3Inputs=TRUE,AreaAll&gt;0,AirMovement&gt;0,F170=TRUE,ISBLANK(WallConcession)=FALSE),"Selected wall concession is not available in climate zone "&amp;Zone,"")</f>
        <v/>
      </c>
      <c r="I170" s="34"/>
      <c r="J170" s="34"/>
      <c r="K170" s="34"/>
      <c r="L170" s="34"/>
      <c r="M170" s="21"/>
      <c r="N170" s="393">
        <f ca="1">LEN(H170)</f>
        <v>0</v>
      </c>
      <c r="O170" s="34"/>
      <c r="P170" s="441"/>
      <c r="Q170" s="34"/>
      <c r="R170" s="34"/>
      <c r="S170" s="34"/>
      <c r="T170" s="34"/>
      <c r="U170" s="34"/>
      <c r="V170" s="34"/>
      <c r="W170" s="21"/>
      <c r="X170" s="21"/>
      <c r="Y170" s="21"/>
      <c r="Z170" s="21"/>
      <c r="AA170" s="21"/>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row>
    <row r="171" spans="1:116" hidden="1" outlineLevel="1">
      <c r="A171" s="4"/>
      <c r="B171" s="4"/>
      <c r="C171" s="4"/>
      <c r="D171" s="4"/>
      <c r="E171" s="262" t="s">
        <v>355</v>
      </c>
      <c r="F171" s="145" t="b">
        <f>AND(NoGlazing=FALSE,COUNTA(Building,Zone,Storey,AirMovement)=4,AreaAll&gt;0,ISBLANK(H29)=TRUE)</f>
        <v>0</v>
      </c>
      <c r="G171" s="42"/>
      <c r="H171" s="458" t="str">
        <f>IF(F171=TRUE,"Wall insulation option is blank but other data is present","")</f>
        <v/>
      </c>
      <c r="I171" s="34"/>
      <c r="J171" s="34"/>
      <c r="K171" s="34"/>
      <c r="L171" s="34"/>
      <c r="M171" s="393"/>
      <c r="N171" s="393">
        <f>LEN(H171)</f>
        <v>0</v>
      </c>
      <c r="O171" s="34"/>
      <c r="P171" s="34"/>
      <c r="Q171" s="34"/>
      <c r="R171" s="34"/>
      <c r="S171" s="34"/>
      <c r="T171" s="34"/>
      <c r="U171" s="34"/>
      <c r="V171" s="34"/>
      <c r="W171" s="21"/>
      <c r="X171" s="21"/>
      <c r="Y171" s="21"/>
      <c r="Z171" s="21"/>
      <c r="AA171" s="21"/>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row>
    <row r="172" spans="1:116" hidden="1" outlineLevel="1">
      <c r="A172" s="4"/>
      <c r="B172" s="4"/>
      <c r="C172" s="4"/>
      <c r="D172" s="4"/>
      <c r="E172" s="262" t="s">
        <v>321</v>
      </c>
      <c r="F172" s="145" t="b">
        <f ca="1">AND(UpperInputsAlerts=0,F170=FALSE,NoGlazing=TRUE)</f>
        <v>0</v>
      </c>
      <c r="G172" s="284" t="s">
        <v>93</v>
      </c>
      <c r="H172" s="460" t="str">
        <f ca="1">IF(TopInputsOK=TRUE,"7. Enter glazing details in this table. Input above and arrow near 'ID' alter the number of rows.","")</f>
        <v/>
      </c>
      <c r="I172" s="450" t="s">
        <v>320</v>
      </c>
      <c r="J172" s="46"/>
      <c r="K172" s="47"/>
      <c r="L172" s="47"/>
      <c r="M172" s="47"/>
      <c r="N172" s="47"/>
      <c r="O172" s="47"/>
      <c r="P172" s="47"/>
      <c r="Q172" s="47"/>
      <c r="R172" s="47"/>
      <c r="S172" s="47"/>
      <c r="T172" s="47"/>
      <c r="U172" s="47"/>
      <c r="V172" s="47"/>
      <c r="W172" s="21"/>
      <c r="X172" s="21"/>
      <c r="Y172" s="21"/>
      <c r="Z172" s="21"/>
      <c r="AA172" s="21"/>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row>
    <row r="173" spans="1:116" hidden="1" outlineLevel="1">
      <c r="A173" s="4"/>
      <c r="B173" s="4"/>
      <c r="C173" s="4"/>
      <c r="D173" s="4"/>
      <c r="E173" s="39"/>
      <c r="F173" s="81"/>
      <c r="G173" s="40"/>
      <c r="H173" s="40"/>
      <c r="I173" s="40"/>
      <c r="J173" s="40"/>
      <c r="K173" s="40"/>
      <c r="L173" s="34"/>
      <c r="M173" s="34"/>
      <c r="N173" s="34"/>
      <c r="O173" s="34"/>
      <c r="P173" s="34"/>
      <c r="Q173" s="34"/>
      <c r="R173" s="34"/>
      <c r="S173" s="34"/>
      <c r="T173" s="34"/>
      <c r="U173" s="34"/>
      <c r="V173" s="4"/>
      <c r="W173" s="21"/>
      <c r="X173" s="21"/>
      <c r="Y173" s="21"/>
      <c r="Z173" s="21"/>
      <c r="AA173" s="21"/>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row>
    <row r="174" spans="1:116" hidden="1" outlineLevel="1">
      <c r="A174" s="4"/>
      <c r="B174" s="38" t="s">
        <v>338</v>
      </c>
      <c r="C174" s="414"/>
      <c r="D174" s="414"/>
      <c r="E174" s="414"/>
      <c r="F174" s="415">
        <v>1</v>
      </c>
      <c r="G174" s="415">
        <v>2</v>
      </c>
      <c r="H174" s="415">
        <v>3</v>
      </c>
      <c r="I174" s="415">
        <v>4</v>
      </c>
      <c r="J174" s="415">
        <v>5</v>
      </c>
      <c r="K174" s="415">
        <v>6</v>
      </c>
      <c r="L174" s="415">
        <v>7</v>
      </c>
      <c r="M174" s="415">
        <v>8</v>
      </c>
      <c r="N174" s="34"/>
      <c r="O174" s="34"/>
      <c r="P174" s="34"/>
      <c r="Q174" s="34"/>
      <c r="R174" s="34"/>
      <c r="S174" s="34"/>
      <c r="T174" s="34"/>
      <c r="U174" s="34"/>
      <c r="V174" s="4"/>
      <c r="W174" s="21"/>
      <c r="X174" s="21"/>
      <c r="Y174" s="21"/>
      <c r="Z174" s="21"/>
      <c r="AA174" s="21"/>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row>
    <row r="175" spans="1:116" hidden="1" outlineLevel="1">
      <c r="A175" s="4"/>
      <c r="B175" s="4"/>
      <c r="C175" s="4"/>
      <c r="D175" s="4"/>
      <c r="E175" s="416" t="s">
        <v>340</v>
      </c>
      <c r="F175" s="212" t="str">
        <f t="shared" ref="F175:M175" ca="1" si="122">IF(UpperInputsFlagged=0,INDEX(Orientations,1,F174),"")</f>
        <v/>
      </c>
      <c r="G175" s="212" t="str">
        <f t="shared" ca="1" si="122"/>
        <v/>
      </c>
      <c r="H175" s="212" t="str">
        <f t="shared" ca="1" si="122"/>
        <v/>
      </c>
      <c r="I175" s="212" t="str">
        <f t="shared" ca="1" si="122"/>
        <v/>
      </c>
      <c r="J175" s="212" t="str">
        <f t="shared" ca="1" si="122"/>
        <v/>
      </c>
      <c r="K175" s="212" t="str">
        <f t="shared" ca="1" si="122"/>
        <v/>
      </c>
      <c r="L175" s="212" t="str">
        <f t="shared" ca="1" si="122"/>
        <v/>
      </c>
      <c r="M175" s="212" t="str">
        <f t="shared" ca="1" si="122"/>
        <v/>
      </c>
      <c r="N175" s="116" t="s">
        <v>339</v>
      </c>
      <c r="O175" s="34"/>
      <c r="P175" s="34"/>
      <c r="Q175" s="34"/>
      <c r="R175" s="34"/>
      <c r="S175" s="34"/>
      <c r="T175" s="34"/>
      <c r="U175" s="34"/>
      <c r="V175" s="4"/>
      <c r="W175" s="21"/>
      <c r="X175" s="21"/>
      <c r="Y175" s="21"/>
      <c r="Z175" s="21"/>
      <c r="AA175" s="21"/>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row>
    <row r="176" spans="1:116" hidden="1" outlineLevel="1">
      <c r="A176" s="4"/>
      <c r="B176" s="4"/>
      <c r="C176" s="4"/>
      <c r="D176" s="4"/>
      <c r="E176" s="39"/>
      <c r="F176" s="81"/>
      <c r="G176" s="40"/>
      <c r="H176" s="40"/>
      <c r="I176" s="40"/>
      <c r="J176" s="40"/>
      <c r="K176" s="40"/>
      <c r="L176" s="34"/>
      <c r="M176" s="34"/>
      <c r="N176" s="34"/>
      <c r="O176" s="34"/>
      <c r="P176" s="34"/>
      <c r="Q176" s="34"/>
      <c r="R176" s="34"/>
      <c r="S176" s="34"/>
      <c r="T176" s="34"/>
      <c r="U176" s="34"/>
      <c r="V176" s="4"/>
      <c r="W176" s="21"/>
      <c r="X176" s="21"/>
      <c r="Y176" s="21"/>
      <c r="Z176" s="21"/>
      <c r="AA176" s="21"/>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row>
    <row r="177" spans="1:116" hidden="1" outlineLevel="1">
      <c r="A177" s="4"/>
      <c r="B177" s="38" t="s">
        <v>49</v>
      </c>
      <c r="C177" s="38"/>
      <c r="D177" s="38"/>
      <c r="E177" s="38"/>
      <c r="F177" s="38"/>
      <c r="G177" s="38"/>
      <c r="H177" s="38"/>
      <c r="I177" s="38"/>
      <c r="J177" s="38"/>
      <c r="K177" s="38"/>
      <c r="L177" s="38"/>
      <c r="M177" s="38"/>
      <c r="N177" s="38"/>
      <c r="O177" s="38"/>
      <c r="P177" s="38"/>
      <c r="Q177" s="38"/>
      <c r="R177" s="38"/>
      <c r="S177" s="38"/>
      <c r="T177" s="38"/>
      <c r="U177" s="38"/>
      <c r="V177" s="38"/>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row>
    <row r="178" spans="1:116" hidden="1" outlineLevel="1">
      <c r="A178" s="4"/>
      <c r="B178" s="4"/>
      <c r="C178" s="4"/>
      <c r="D178" s="4"/>
      <c r="E178" s="35" t="s">
        <v>134</v>
      </c>
      <c r="F178" s="287">
        <f>COUNT(Rows)</f>
        <v>80</v>
      </c>
      <c r="G178" s="290" t="s">
        <v>122</v>
      </c>
      <c r="H178" s="291"/>
      <c r="I178" s="15"/>
      <c r="J178" s="15"/>
      <c r="K178" s="15"/>
      <c r="L178" s="34"/>
      <c r="M178" s="34"/>
      <c r="N178" s="34"/>
      <c r="O178" s="34"/>
      <c r="P178" s="34"/>
      <c r="Q178" s="34"/>
      <c r="R178" s="34"/>
      <c r="S178" s="34"/>
      <c r="T178" s="34"/>
      <c r="U178" s="3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row>
    <row r="179" spans="1:116" hidden="1" outlineLevel="1">
      <c r="A179" s="4"/>
      <c r="B179" s="4"/>
      <c r="C179" s="4"/>
      <c r="D179" s="4"/>
      <c r="E179" s="35" t="s">
        <v>135</v>
      </c>
      <c r="F179" s="288">
        <f>SUBTOTAL(2,Rows)</f>
        <v>40</v>
      </c>
      <c r="G179" s="292" t="s">
        <v>123</v>
      </c>
      <c r="H179" s="286"/>
      <c r="I179" s="15"/>
      <c r="J179" s="15"/>
      <c r="K179" s="15"/>
      <c r="L179" s="34"/>
      <c r="M179" s="34"/>
      <c r="N179" s="34"/>
      <c r="O179" s="34"/>
      <c r="P179" s="34"/>
      <c r="Q179" s="34"/>
      <c r="R179" s="34"/>
      <c r="S179" s="34"/>
      <c r="T179" s="34"/>
      <c r="U179" s="3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row>
    <row r="180" spans="1:116" hidden="1" outlineLevel="1">
      <c r="A180" s="4"/>
      <c r="B180" s="4"/>
      <c r="C180" s="4"/>
      <c r="D180" s="4"/>
      <c r="E180" s="35" t="s">
        <v>255</v>
      </c>
      <c r="F180" s="288">
        <f>SUBTOTAL(9,Z37:Z116)</f>
        <v>0</v>
      </c>
      <c r="G180" s="292" t="s">
        <v>128</v>
      </c>
      <c r="H180" s="42"/>
      <c r="I180" s="4"/>
      <c r="J180" s="4"/>
      <c r="K180" s="4"/>
      <c r="L180" s="34"/>
      <c r="M180" s="34"/>
      <c r="N180" s="34"/>
      <c r="O180" s="34"/>
      <c r="P180" s="34"/>
      <c r="Q180" s="34"/>
      <c r="R180" s="34"/>
      <c r="S180" s="34"/>
      <c r="T180" s="34"/>
      <c r="U180" s="3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row>
    <row r="181" spans="1:116" hidden="1" outlineLevel="1">
      <c r="A181" s="4"/>
      <c r="B181" s="4"/>
      <c r="C181" s="4"/>
      <c r="D181" s="4"/>
      <c r="E181" s="35" t="s">
        <v>256</v>
      </c>
      <c r="F181" s="289">
        <f>RowsActive-ActiveDisplayed</f>
        <v>0</v>
      </c>
      <c r="G181" s="292" t="s">
        <v>129</v>
      </c>
      <c r="H181" s="411" t="str">
        <f>IF(ActiveHidden&lt;&gt;0,ActiveHidden&amp;" row"&amp;IF(ActiveHidden=1,"","s")&amp;" containing glazing details "&amp;IF(ActiveHidden=1,"is","are")&amp;" hidden.
(Use input above and arrow at left to display at least "&amp;LastActive&amp;" row"&amp;IF(LastActive=1,".)","s.)"),"")</f>
        <v/>
      </c>
      <c r="I181" s="4"/>
      <c r="J181" s="4"/>
      <c r="K181" s="4"/>
      <c r="L181" s="34"/>
      <c r="M181" s="34"/>
      <c r="N181" s="34"/>
      <c r="O181" s="34"/>
      <c r="P181" s="34"/>
      <c r="Q181" s="34"/>
      <c r="R181" s="34"/>
      <c r="S181" s="34"/>
      <c r="T181" s="34"/>
      <c r="U181" s="34"/>
      <c r="V181" s="21"/>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row>
    <row r="182" spans="1:116" hidden="1" outlineLevel="1">
      <c r="A182" s="4"/>
      <c r="B182" s="4"/>
      <c r="C182" s="4"/>
      <c r="D182" s="4"/>
      <c r="E182" s="207" t="s">
        <v>211</v>
      </c>
      <c r="F182" s="212" t="s">
        <v>216</v>
      </c>
      <c r="G182" s="212" t="s">
        <v>217</v>
      </c>
      <c r="H182" s="212" t="s">
        <v>218</v>
      </c>
      <c r="I182" s="116" t="s">
        <v>213</v>
      </c>
      <c r="J182" s="98"/>
      <c r="K182" s="4"/>
      <c r="L182" s="4"/>
      <c r="M182" s="4"/>
      <c r="N182" s="4"/>
      <c r="O182" s="4"/>
      <c r="P182" s="34"/>
      <c r="Q182" s="34"/>
      <c r="R182" s="34"/>
      <c r="S182" s="34"/>
      <c r="T182" s="3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row>
    <row r="183" spans="1:116" hidden="1" outlineLevel="1">
      <c r="A183" s="4"/>
      <c r="B183" s="4"/>
      <c r="C183" s="4"/>
      <c r="D183" s="4"/>
      <c r="E183" s="4"/>
      <c r="F183" s="15"/>
      <c r="G183" s="4"/>
      <c r="H183" s="4"/>
      <c r="I183" s="98"/>
      <c r="J183" s="98"/>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row>
    <row r="184" spans="1:116" hidden="1" outlineLevel="1">
      <c r="A184" s="4"/>
      <c r="B184" s="38" t="s">
        <v>137</v>
      </c>
      <c r="C184" s="88"/>
      <c r="D184" s="88"/>
      <c r="E184" s="88"/>
      <c r="F184" s="9" t="s">
        <v>31</v>
      </c>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row>
    <row r="185" spans="1:116" hidden="1" outlineLevel="1">
      <c r="A185" s="4"/>
      <c r="B185" s="4"/>
      <c r="C185" s="4"/>
      <c r="D185" s="4"/>
      <c r="E185" s="262" t="s">
        <v>291</v>
      </c>
      <c r="F185" s="64">
        <f>COUNTA(SectorsListed)</f>
        <v>0</v>
      </c>
      <c r="G185" s="81" t="s">
        <v>111</v>
      </c>
      <c r="H185" s="15"/>
      <c r="I185" s="15"/>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row>
    <row r="186" spans="1:116" hidden="1" outlineLevel="1">
      <c r="A186" s="4"/>
      <c r="B186" s="4"/>
      <c r="C186" s="4"/>
      <c r="D186" s="4"/>
      <c r="E186" s="262" t="s">
        <v>290</v>
      </c>
      <c r="F186" s="111" t="b">
        <f>AND(F185&gt;0,AreaAll=0,ISBLANK(AirMovement))</f>
        <v>0</v>
      </c>
      <c r="G186" s="278"/>
      <c r="H186" s="278"/>
      <c r="I186" s="278"/>
      <c r="J186" s="278"/>
      <c r="K186" s="278"/>
      <c r="L186" s="278"/>
      <c r="M186" s="278"/>
      <c r="N186" s="278"/>
      <c r="O186" s="278"/>
      <c r="P186" s="278"/>
      <c r="Q186" s="278"/>
      <c r="R186" s="278"/>
      <c r="S186" s="278"/>
      <c r="T186" s="278"/>
      <c r="U186" s="278"/>
      <c r="V186" s="278"/>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row>
    <row r="187" spans="1:116" hidden="1" outlineLevel="1">
      <c r="A187" s="4"/>
      <c r="B187" s="4"/>
      <c r="C187" s="4"/>
      <c r="D187" s="4"/>
      <c r="E187" s="262" t="s">
        <v>295</v>
      </c>
      <c r="F187" s="111" t="b">
        <f>AND(F185&gt;0,AreaAll=0,AirMovement&gt;0)</f>
        <v>0</v>
      </c>
      <c r="G187" s="278"/>
      <c r="H187" s="278"/>
      <c r="I187" s="278"/>
      <c r="J187" s="278"/>
      <c r="K187" s="278"/>
      <c r="L187" s="278"/>
      <c r="M187" s="278"/>
      <c r="N187" s="278"/>
      <c r="O187" s="278"/>
      <c r="P187" s="278"/>
      <c r="Q187" s="278"/>
      <c r="R187" s="278"/>
      <c r="S187" s="278"/>
      <c r="T187" s="278"/>
      <c r="U187" s="278"/>
      <c r="V187" s="278"/>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row>
    <row r="188" spans="1:116" hidden="1" outlineLevel="1">
      <c r="A188" s="4"/>
      <c r="B188" s="4"/>
      <c r="C188" s="4"/>
      <c r="D188" s="4"/>
      <c r="E188" s="262" t="s">
        <v>296</v>
      </c>
      <c r="F188" s="109" t="b">
        <f>AND(F185&gt;0,AreaAll=0,ISBLANK(AirMovement))</f>
        <v>0</v>
      </c>
      <c r="G188" s="278"/>
      <c r="H188" s="278"/>
      <c r="I188" s="278"/>
      <c r="J188" s="278"/>
      <c r="K188" s="278"/>
      <c r="L188" s="278"/>
      <c r="M188" s="278"/>
      <c r="N188" s="278"/>
      <c r="O188" s="278"/>
      <c r="P188" s="278"/>
      <c r="Q188" s="278"/>
      <c r="R188" s="278"/>
      <c r="S188" s="278"/>
      <c r="T188" s="278"/>
      <c r="U188" s="278"/>
      <c r="V188" s="278"/>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row>
    <row r="189" spans="1:116" hidden="1" outlineLevel="1">
      <c r="A189" s="4"/>
      <c r="B189" s="4"/>
      <c r="C189" s="4"/>
      <c r="D189" s="4"/>
      <c r="E189" s="4"/>
      <c r="F189" s="15"/>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row>
    <row r="190" spans="1:116" hidden="1" outlineLevel="1">
      <c r="A190" s="4"/>
      <c r="B190" s="38" t="s">
        <v>292</v>
      </c>
      <c r="C190" s="88"/>
      <c r="D190" s="88"/>
      <c r="E190" s="88"/>
      <c r="F190" s="88"/>
      <c r="G190" s="88"/>
      <c r="H190" s="88"/>
      <c r="I190" s="88"/>
      <c r="J190" s="88"/>
      <c r="K190" s="88"/>
      <c r="L190" s="88"/>
      <c r="M190" s="88"/>
      <c r="N190" s="88"/>
      <c r="O190" s="88"/>
      <c r="P190" s="88"/>
      <c r="Q190" s="88"/>
      <c r="R190" s="88"/>
      <c r="S190" s="88"/>
      <c r="T190" s="88"/>
      <c r="U190" s="88"/>
      <c r="V190" s="88"/>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row>
    <row r="191" spans="1:116" hidden="1" outlineLevel="1">
      <c r="A191" s="4"/>
      <c r="B191" s="48" t="s">
        <v>293</v>
      </c>
      <c r="C191" s="4"/>
      <c r="D191" s="95"/>
      <c r="E191" s="48"/>
      <c r="F191" s="15"/>
      <c r="G191" s="4"/>
      <c r="H191" s="4"/>
      <c r="I191" s="4"/>
      <c r="J191" s="32"/>
      <c r="K191" s="32"/>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row>
    <row r="192" spans="1:116" hidden="1" outlineLevel="1">
      <c r="A192" s="4"/>
      <c r="B192" s="4"/>
      <c r="C192" s="4"/>
      <c r="D192" s="95">
        <f>COUNTIF(G199:G209,Zone)</f>
        <v>0</v>
      </c>
      <c r="E192" s="48" t="s">
        <v>286</v>
      </c>
      <c r="F192" s="15"/>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row>
    <row r="193" spans="1:116" hidden="1" outlineLevel="1">
      <c r="A193" s="4"/>
      <c r="B193" s="4"/>
      <c r="C193" s="4"/>
      <c r="D193" s="266">
        <v>0</v>
      </c>
      <c r="E193" s="279" t="s">
        <v>297</v>
      </c>
      <c r="F193" s="15"/>
      <c r="G193" s="4"/>
      <c r="H193" s="4"/>
      <c r="I193" s="81" t="s">
        <v>353</v>
      </c>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row>
    <row r="194" spans="1:116" hidden="1" outlineLevel="1">
      <c r="A194" s="4"/>
      <c r="B194" s="4"/>
      <c r="C194" s="4"/>
      <c r="D194" s="266">
        <v>1</v>
      </c>
      <c r="E194" s="265" t="str">
        <f>IF(D192=0,"",INDEX(F$199:F$209,MATCH(Zone,G$199:G$209,0),1))</f>
        <v/>
      </c>
      <c r="F194" s="15"/>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row>
    <row r="195" spans="1:116" hidden="1" outlineLevel="1">
      <c r="A195" s="4"/>
      <c r="B195" s="4"/>
      <c r="C195" s="4"/>
      <c r="D195" s="266">
        <v>2</v>
      </c>
      <c r="E195" s="265" t="str">
        <f>IF(COUNTIF(G$199:G$209,Zone)=2,INDEX(F$199:F$209,MATCH(Zone,G$199:G$209,0)+1,1),"")</f>
        <v/>
      </c>
      <c r="F195" s="15"/>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row>
    <row r="196" spans="1:116" hidden="1" outlineLevel="1">
      <c r="A196" s="4"/>
      <c r="B196" s="4"/>
      <c r="C196" s="4"/>
      <c r="D196" s="4"/>
      <c r="E196" s="4"/>
      <c r="F196" s="15"/>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row>
    <row r="197" spans="1:116" hidden="1" outlineLevel="1">
      <c r="A197" s="4"/>
      <c r="B197" s="4"/>
      <c r="C197" s="4"/>
      <c r="D197" s="4"/>
      <c r="E197" s="4"/>
      <c r="F197" s="9" t="s">
        <v>294</v>
      </c>
      <c r="G197" s="9" t="s">
        <v>265</v>
      </c>
      <c r="H197" s="9" t="s">
        <v>266</v>
      </c>
      <c r="I197" s="9" t="s">
        <v>267</v>
      </c>
      <c r="J197" s="275" t="s">
        <v>268</v>
      </c>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row>
    <row r="198" spans="1:116" hidden="1" outlineLevel="1">
      <c r="A198" s="4"/>
      <c r="B198" s="4"/>
      <c r="C198" s="4"/>
      <c r="D198" s="4"/>
      <c r="E198" s="4"/>
      <c r="F198" s="276" t="str">
        <f>NoWallConcession</f>
        <v>No wall insulation concession used</v>
      </c>
      <c r="G198" s="32"/>
      <c r="H198" s="32"/>
      <c r="I198" s="32"/>
      <c r="J198" s="263"/>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row>
    <row r="199" spans="1:116" hidden="1" outlineLevel="1">
      <c r="A199" s="4"/>
      <c r="B199" s="4"/>
      <c r="C199" s="4"/>
      <c r="D199" s="4"/>
      <c r="E199" s="4"/>
      <c r="F199" s="277" t="s">
        <v>275</v>
      </c>
      <c r="G199" s="4">
        <v>1</v>
      </c>
      <c r="H199" s="264"/>
      <c r="I199" s="264">
        <v>0.2</v>
      </c>
      <c r="J199" s="4" t="s">
        <v>269</v>
      </c>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row>
    <row r="200" spans="1:116" hidden="1" outlineLevel="1">
      <c r="A200" s="4"/>
      <c r="B200" s="4"/>
      <c r="C200" s="4"/>
      <c r="D200" s="4"/>
      <c r="E200" s="4"/>
      <c r="F200" s="277" t="s">
        <v>276</v>
      </c>
      <c r="G200" s="4">
        <v>2</v>
      </c>
      <c r="H200" s="264"/>
      <c r="I200" s="264">
        <v>0.2</v>
      </c>
      <c r="J200" s="4" t="s">
        <v>269</v>
      </c>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row>
    <row r="201" spans="1:116" hidden="1" outlineLevel="1">
      <c r="A201" s="4"/>
      <c r="B201" s="4"/>
      <c r="C201" s="4"/>
      <c r="D201" s="4"/>
      <c r="E201" s="4"/>
      <c r="F201" s="277" t="s">
        <v>277</v>
      </c>
      <c r="G201" s="4">
        <v>3</v>
      </c>
      <c r="H201" s="264"/>
      <c r="I201" s="264">
        <v>0.2</v>
      </c>
      <c r="J201" s="4" t="s">
        <v>269</v>
      </c>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row>
    <row r="202" spans="1:116" hidden="1" outlineLevel="1">
      <c r="A202" s="4"/>
      <c r="B202" s="4"/>
      <c r="C202" s="4"/>
      <c r="D202" s="4"/>
      <c r="E202" s="4"/>
      <c r="F202" s="277" t="s">
        <v>278</v>
      </c>
      <c r="G202" s="4">
        <v>4</v>
      </c>
      <c r="H202" s="264">
        <v>0.15</v>
      </c>
      <c r="I202" s="264"/>
      <c r="J202" s="4" t="s">
        <v>270</v>
      </c>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row>
    <row r="203" spans="1:116" hidden="1" outlineLevel="1">
      <c r="A203" s="4"/>
      <c r="B203" s="4"/>
      <c r="C203" s="4"/>
      <c r="D203" s="4"/>
      <c r="E203" s="4"/>
      <c r="F203" s="277" t="s">
        <v>279</v>
      </c>
      <c r="G203" s="4">
        <v>4</v>
      </c>
      <c r="H203" s="264">
        <v>0.2</v>
      </c>
      <c r="I203" s="264"/>
      <c r="J203" s="4" t="s">
        <v>272</v>
      </c>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row>
    <row r="204" spans="1:116" hidden="1" outlineLevel="1">
      <c r="A204" s="4"/>
      <c r="B204" s="4"/>
      <c r="C204" s="4"/>
      <c r="D204" s="4"/>
      <c r="E204" s="4"/>
      <c r="F204" s="277" t="s">
        <v>280</v>
      </c>
      <c r="G204" s="4">
        <v>5</v>
      </c>
      <c r="H204" s="264"/>
      <c r="I204" s="264">
        <v>0.15</v>
      </c>
      <c r="J204" s="4" t="s">
        <v>270</v>
      </c>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row>
    <row r="205" spans="1:116" hidden="1" outlineLevel="1">
      <c r="A205" s="4"/>
      <c r="B205" s="4"/>
      <c r="C205" s="4"/>
      <c r="D205" s="4"/>
      <c r="E205" s="4"/>
      <c r="F205" s="277" t="s">
        <v>281</v>
      </c>
      <c r="G205" s="4">
        <v>5</v>
      </c>
      <c r="H205" s="264"/>
      <c r="I205" s="264">
        <v>0.15</v>
      </c>
      <c r="J205" s="4" t="s">
        <v>271</v>
      </c>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row>
    <row r="206" spans="1:116" hidden="1" outlineLevel="1">
      <c r="A206" s="4"/>
      <c r="B206" s="4"/>
      <c r="C206" s="4"/>
      <c r="D206" s="4"/>
      <c r="E206" s="4"/>
      <c r="F206" s="277" t="s">
        <v>282</v>
      </c>
      <c r="G206" s="4">
        <v>6</v>
      </c>
      <c r="H206" s="264">
        <v>0.15</v>
      </c>
      <c r="I206" s="264"/>
      <c r="J206" s="4" t="s">
        <v>270</v>
      </c>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row>
    <row r="207" spans="1:116" hidden="1" outlineLevel="1">
      <c r="A207" s="4"/>
      <c r="B207" s="4"/>
      <c r="C207" s="4"/>
      <c r="D207" s="4"/>
      <c r="E207" s="4"/>
      <c r="F207" s="277" t="s">
        <v>283</v>
      </c>
      <c r="G207" s="4">
        <v>6</v>
      </c>
      <c r="H207" s="264">
        <v>0.2</v>
      </c>
      <c r="I207" s="264"/>
      <c r="J207" s="4" t="s">
        <v>272</v>
      </c>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row>
    <row r="208" spans="1:116" hidden="1" outlineLevel="1">
      <c r="A208" s="4"/>
      <c r="B208" s="4"/>
      <c r="C208" s="4"/>
      <c r="D208" s="4"/>
      <c r="E208" s="4"/>
      <c r="F208" s="277" t="s">
        <v>284</v>
      </c>
      <c r="G208" s="4">
        <v>7</v>
      </c>
      <c r="H208" s="264">
        <v>0.15</v>
      </c>
      <c r="I208" s="264"/>
      <c r="J208" s="4" t="s">
        <v>273</v>
      </c>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row>
    <row r="209" spans="1:116" hidden="1" outlineLevel="1">
      <c r="A209" s="4"/>
      <c r="B209" s="4"/>
      <c r="C209" s="4"/>
      <c r="D209" s="4"/>
      <c r="E209" s="4"/>
      <c r="F209" s="277" t="s">
        <v>285</v>
      </c>
      <c r="G209" s="4">
        <v>7</v>
      </c>
      <c r="H209" s="264">
        <v>0.2</v>
      </c>
      <c r="I209" s="264"/>
      <c r="J209" s="4" t="s">
        <v>274</v>
      </c>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row>
    <row r="210" spans="1:116" collapsed="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row>
    <row r="211" spans="1:116">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row>
    <row r="212" spans="1:116">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row>
    <row r="213" spans="1:116">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row>
    <row r="214" spans="1:116">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row>
    <row r="215" spans="1:116">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row>
    <row r="216" spans="1:116">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row>
    <row r="217" spans="1:116">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row>
    <row r="218" spans="1:116">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row>
    <row r="219" spans="1:116">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row>
    <row r="220" spans="1:116">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row>
    <row r="221" spans="1:116">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row>
  </sheetData>
  <sheetProtection password="EFF1" sheet="1" objects="1" scenarios="1" selectLockedCells="1" autoFilter="0"/>
  <autoFilter ref="B36:B116">
    <filterColumn colId="0">
      <filters>
        <filter val="40"/>
      </filters>
    </filterColumn>
  </autoFilter>
  <mergeCells count="90">
    <mergeCell ref="D45:E45"/>
    <mergeCell ref="D46:E46"/>
    <mergeCell ref="D47:E47"/>
    <mergeCell ref="D40:E40"/>
    <mergeCell ref="D41:E41"/>
    <mergeCell ref="D42:E42"/>
    <mergeCell ref="D43:E43"/>
    <mergeCell ref="D44:E44"/>
    <mergeCell ref="B26:M26"/>
    <mergeCell ref="H29:O29"/>
    <mergeCell ref="D70:E70"/>
    <mergeCell ref="D52:E52"/>
    <mergeCell ref="D53:E53"/>
    <mergeCell ref="D50:E50"/>
    <mergeCell ref="D51:E51"/>
    <mergeCell ref="D36:E36"/>
    <mergeCell ref="D59:E59"/>
    <mergeCell ref="D60:E60"/>
    <mergeCell ref="D61:E61"/>
    <mergeCell ref="D62:E62"/>
    <mergeCell ref="D63:E63"/>
    <mergeCell ref="B28:D28"/>
    <mergeCell ref="B30:D30"/>
    <mergeCell ref="D49:E49"/>
    <mergeCell ref="T118:T119"/>
    <mergeCell ref="D55:E55"/>
    <mergeCell ref="D56:E56"/>
    <mergeCell ref="D57:E57"/>
    <mergeCell ref="D72:E72"/>
    <mergeCell ref="D73:E73"/>
    <mergeCell ref="D75:E75"/>
    <mergeCell ref="D116:E116"/>
    <mergeCell ref="B119:P119"/>
    <mergeCell ref="D64:E64"/>
    <mergeCell ref="D65:E65"/>
    <mergeCell ref="D74:E74"/>
    <mergeCell ref="D78:E78"/>
    <mergeCell ref="D79:E79"/>
    <mergeCell ref="D80:E80"/>
    <mergeCell ref="D81:E81"/>
    <mergeCell ref="Q34:T34"/>
    <mergeCell ref="Q35:R35"/>
    <mergeCell ref="S35:T35"/>
    <mergeCell ref="D76:E76"/>
    <mergeCell ref="D77:E77"/>
    <mergeCell ref="D48:E48"/>
    <mergeCell ref="D71:E71"/>
    <mergeCell ref="D66:E66"/>
    <mergeCell ref="D67:E67"/>
    <mergeCell ref="D68:E68"/>
    <mergeCell ref="D69:E69"/>
    <mergeCell ref="D58:E58"/>
    <mergeCell ref="D54:E54"/>
    <mergeCell ref="D37:E37"/>
    <mergeCell ref="D38:E38"/>
    <mergeCell ref="D39:E39"/>
    <mergeCell ref="D82:E82"/>
    <mergeCell ref="D83:E83"/>
    <mergeCell ref="D84:E84"/>
    <mergeCell ref="D85:E85"/>
    <mergeCell ref="D86:E86"/>
    <mergeCell ref="D87:E87"/>
    <mergeCell ref="D88:E88"/>
    <mergeCell ref="D89:E89"/>
    <mergeCell ref="D90:E90"/>
    <mergeCell ref="D91:E91"/>
    <mergeCell ref="D92:E92"/>
    <mergeCell ref="D93:E93"/>
    <mergeCell ref="D94:E94"/>
    <mergeCell ref="D95:E95"/>
    <mergeCell ref="D96:E96"/>
    <mergeCell ref="D97:E97"/>
    <mergeCell ref="D98:E98"/>
    <mergeCell ref="D99:E99"/>
    <mergeCell ref="D100:E100"/>
    <mergeCell ref="D101:E101"/>
    <mergeCell ref="D102:E102"/>
    <mergeCell ref="D103:E103"/>
    <mergeCell ref="D104:E104"/>
    <mergeCell ref="D105:E105"/>
    <mergeCell ref="D106:E106"/>
    <mergeCell ref="D107:E107"/>
    <mergeCell ref="D108:E108"/>
    <mergeCell ref="D109:E109"/>
    <mergeCell ref="D115:E115"/>
    <mergeCell ref="D110:E110"/>
    <mergeCell ref="D111:E111"/>
    <mergeCell ref="D112:E112"/>
    <mergeCell ref="D113:E113"/>
    <mergeCell ref="D114:E114"/>
  </mergeCells>
  <phoneticPr fontId="2" type="noConversion"/>
  <conditionalFormatting sqref="E150 E158:E160 E153:E156 E186:E188 E163:E172">
    <cfRule type="expression" dxfId="226" priority="35" stopIfTrue="1">
      <formula>F150=TRUE</formula>
    </cfRule>
  </conditionalFormatting>
  <conditionalFormatting sqref="AS37:AS116">
    <cfRule type="expression" dxfId="225" priority="19" stopIfTrue="1">
      <formula>AND(AC37=FALSE,AD37&gt;0,LEN(AS37)&gt;0)</formula>
    </cfRule>
    <cfRule type="expression" dxfId="224" priority="39" stopIfTrue="1">
      <formula>AND(AD37&gt;0,LEN(AS37)&gt;0)</formula>
    </cfRule>
  </conditionalFormatting>
  <conditionalFormatting sqref="S27">
    <cfRule type="expression" dxfId="223" priority="184" stopIfTrue="1">
      <formula>S27+T27&gt;0</formula>
    </cfRule>
  </conditionalFormatting>
  <conditionalFormatting sqref="O37:O116">
    <cfRule type="expression" dxfId="222" priority="196" stopIfTrue="1">
      <formula>OR(AC37&lt;&gt;TRUE,InputIssues&gt;0)</formula>
    </cfRule>
  </conditionalFormatting>
  <conditionalFormatting sqref="D37:E116">
    <cfRule type="expression" dxfId="221" priority="204" stopIfTrue="1">
      <formula>$AC37=TRUE</formula>
    </cfRule>
    <cfRule type="expression" dxfId="220" priority="205" stopIfTrue="1">
      <formula>COUNTA($D37)&gt;0</formula>
    </cfRule>
  </conditionalFormatting>
  <conditionalFormatting sqref="B37:B116">
    <cfRule type="expression" dxfId="219" priority="206" stopIfTrue="1">
      <formula>AC37=TRUE</formula>
    </cfRule>
  </conditionalFormatting>
  <conditionalFormatting sqref="C37:C116">
    <cfRule type="expression" dxfId="218" priority="208" stopIfTrue="1">
      <formula>AC37=TRUE</formula>
    </cfRule>
    <cfRule type="expression" dxfId="217" priority="209" stopIfTrue="1">
      <formula>OR(COUNTA(D37)&gt;0,AE37=TRUE)</formula>
    </cfRule>
  </conditionalFormatting>
  <conditionalFormatting sqref="F186:F188 F163:F172 F153:F156 X165 F158:F160 F150">
    <cfRule type="cellIs" dxfId="216" priority="95" stopIfTrue="1" operator="equal">
      <formula>TRUE</formula>
    </cfRule>
  </conditionalFormatting>
  <conditionalFormatting sqref="G186:V188">
    <cfRule type="cellIs" dxfId="215" priority="96" stopIfTrue="1" operator="notEqual">
      <formula>0</formula>
    </cfRule>
  </conditionalFormatting>
  <conditionalFormatting sqref="BO29:BP29 AE35 AG35:AO35">
    <cfRule type="cellIs" dxfId="214" priority="101" stopIfTrue="1" operator="greaterThan">
      <formula>0</formula>
    </cfRule>
  </conditionalFormatting>
  <conditionalFormatting sqref="BO27 BV26">
    <cfRule type="cellIs" dxfId="213" priority="110" stopIfTrue="1" operator="lessThan">
      <formula>0</formula>
    </cfRule>
  </conditionalFormatting>
  <conditionalFormatting sqref="BK37:BM116 AY37:BB116 BF37:BG116 BO37:BR116">
    <cfRule type="cellIs" dxfId="212" priority="103" stopIfTrue="1" operator="equal">
      <formula>0</formula>
    </cfRule>
  </conditionalFormatting>
  <conditionalFormatting sqref="BC37:BC116">
    <cfRule type="cellIs" dxfId="211" priority="104" stopIfTrue="1" operator="equal">
      <formula>FALSE</formula>
    </cfRule>
    <cfRule type="cellIs" dxfId="210" priority="105" stopIfTrue="1" operator="notEqual">
      <formula>0</formula>
    </cfRule>
  </conditionalFormatting>
  <conditionalFormatting sqref="BU37:BV116">
    <cfRule type="cellIs" dxfId="209" priority="106" stopIfTrue="1" operator="equal">
      <formula>""</formula>
    </cfRule>
  </conditionalFormatting>
  <conditionalFormatting sqref="BS37:BT116">
    <cfRule type="cellIs" dxfId="208" priority="107" stopIfTrue="1" operator="equal">
      <formula>TRUE</formula>
    </cfRule>
  </conditionalFormatting>
  <conditionalFormatting sqref="BD37:BE116 BI37:BJ116">
    <cfRule type="cellIs" dxfId="207" priority="108" stopIfTrue="1" operator="equal">
      <formula>0</formula>
    </cfRule>
    <cfRule type="cellIs" dxfId="206" priority="109" stopIfTrue="1" operator="equal">
      <formula>10</formula>
    </cfRule>
  </conditionalFormatting>
  <conditionalFormatting sqref="AP37:AQ116 AC37:AC116">
    <cfRule type="cellIs" dxfId="205" priority="111" stopIfTrue="1" operator="equal">
      <formula>TRUE</formula>
    </cfRule>
  </conditionalFormatting>
  <conditionalFormatting sqref="AU37:AV116">
    <cfRule type="cellIs" dxfId="204" priority="112" stopIfTrue="1" operator="equal">
      <formula>TRUE</formula>
    </cfRule>
  </conditionalFormatting>
  <conditionalFormatting sqref="AT37:AT116">
    <cfRule type="cellIs" dxfId="203" priority="113" stopIfTrue="1" operator="equal">
      <formula>TRUE</formula>
    </cfRule>
  </conditionalFormatting>
  <conditionalFormatting sqref="AR37:AR116">
    <cfRule type="cellIs" dxfId="202" priority="114" stopIfTrue="1" operator="notEqual">
      <formula>0</formula>
    </cfRule>
  </conditionalFormatting>
  <conditionalFormatting sqref="AI37:AI116">
    <cfRule type="cellIs" dxfId="201" priority="118" stopIfTrue="1" operator="equal">
      <formula>TRUE</formula>
    </cfRule>
  </conditionalFormatting>
  <conditionalFormatting sqref="F181">
    <cfRule type="cellIs" dxfId="200" priority="99" stopIfTrue="1" operator="greaterThan">
      <formula>0</formula>
    </cfRule>
  </conditionalFormatting>
  <conditionalFormatting sqref="H157 H160 G156">
    <cfRule type="cellIs" dxfId="199" priority="97" stopIfTrue="1" operator="notEqual">
      <formula>0</formula>
    </cfRule>
  </conditionalFormatting>
  <conditionalFormatting sqref="G32">
    <cfRule type="expression" dxfId="198" priority="129" stopIfTrue="1">
      <formula>RowsPreferred&lt;&gt;RowsDisplayed</formula>
    </cfRule>
  </conditionalFormatting>
  <conditionalFormatting sqref="F32">
    <cfRule type="expression" dxfId="197" priority="175" stopIfTrue="1">
      <formula>ActiveHidden&gt;0</formula>
    </cfRule>
  </conditionalFormatting>
  <conditionalFormatting sqref="AB35:AD35">
    <cfRule type="cellIs" dxfId="196" priority="115" stopIfTrue="1" operator="greaterThan">
      <formula>0</formula>
    </cfRule>
  </conditionalFormatting>
  <conditionalFormatting sqref="AB37:AB116 AD37:AD116">
    <cfRule type="cellIs" dxfId="195" priority="128" stopIfTrue="1" operator="notEqual">
      <formula>0</formula>
    </cfRule>
  </conditionalFormatting>
  <conditionalFormatting sqref="T118:T119">
    <cfRule type="expression" dxfId="194" priority="179" stopIfTrue="1">
      <formula>VisibleFailures&gt;0</formula>
    </cfRule>
    <cfRule type="expression" dxfId="193" priority="180" stopIfTrue="1">
      <formula>AND(AllInputsOK=TRUE,ShowPassCond=TRUE,ShowPassSHG=TRUE)</formula>
    </cfRule>
  </conditionalFormatting>
  <conditionalFormatting sqref="T27">
    <cfRule type="expression" dxfId="192" priority="262" stopIfTrue="1">
      <formula>AND(T27&lt;&gt;"",T27&gt;0)</formula>
    </cfRule>
  </conditionalFormatting>
  <conditionalFormatting sqref="B31">
    <cfRule type="expression" dxfId="191" priority="126" stopIfTrue="1">
      <formula>VentsMissing=0</formula>
    </cfRule>
  </conditionalFormatting>
  <conditionalFormatting sqref="B36">
    <cfRule type="expression" dxfId="190" priority="267" stopIfTrue="1">
      <formula>OR(RowsPreferred&lt;&gt;RowsDisplayed,ActiveHidden&lt;&gt;0)</formula>
    </cfRule>
  </conditionalFormatting>
  <conditionalFormatting sqref="Q36">
    <cfRule type="expression" dxfId="189" priority="269" stopIfTrue="1">
      <formula>AllInputsOK=FALSE</formula>
    </cfRule>
    <cfRule type="expression" dxfId="188" priority="270" stopIfTrue="1">
      <formula>AND(VisibleFailures&gt;0,FailedConductance&lt;&gt;0)</formula>
    </cfRule>
    <cfRule type="expression" dxfId="187" priority="271" stopIfTrue="1">
      <formula>ShowPassCond=TRUE</formula>
    </cfRule>
  </conditionalFormatting>
  <conditionalFormatting sqref="R36">
    <cfRule type="expression" dxfId="186" priority="272" stopIfTrue="1">
      <formula>AllInputsOK=FALSE</formula>
    </cfRule>
    <cfRule type="expression" dxfId="185" priority="273" stopIfTrue="1">
      <formula>AND(VisibleFailures&gt;0,FailedConductance&lt;&gt;0)</formula>
    </cfRule>
    <cfRule type="expression" dxfId="184" priority="274" stopIfTrue="1">
      <formula>ShowPassCond=TRUE</formula>
    </cfRule>
  </conditionalFormatting>
  <conditionalFormatting sqref="S36">
    <cfRule type="expression" dxfId="183" priority="275" stopIfTrue="1">
      <formula>AllInputsOK=FALSE</formula>
    </cfRule>
    <cfRule type="expression" dxfId="182" priority="276" stopIfTrue="1">
      <formula>AND(VisibleFailures&gt;0,FailedSHG&lt;&gt;0)</formula>
    </cfRule>
    <cfRule type="expression" dxfId="181" priority="277" stopIfTrue="1">
      <formula>ShowPassSHG=TRUE</formula>
    </cfRule>
  </conditionalFormatting>
  <conditionalFormatting sqref="T36">
    <cfRule type="expression" dxfId="180" priority="278" stopIfTrue="1">
      <formula>AllInputsOK=FALSE</formula>
    </cfRule>
    <cfRule type="expression" dxfId="179" priority="279" stopIfTrue="1">
      <formula>AND(VisibleFailures&gt;0,FailedSHG&lt;&gt;0)</formula>
    </cfRule>
    <cfRule type="expression" dxfId="178" priority="280" stopIfTrue="1">
      <formula>ShowPassSHG=TRUE</formula>
    </cfRule>
  </conditionalFormatting>
  <conditionalFormatting sqref="Q35:R35">
    <cfRule type="expression" dxfId="177" priority="283" stopIfTrue="1">
      <formula>AND(VisibleFailures&gt;0,FailedConductance&lt;&gt;0)</formula>
    </cfRule>
    <cfRule type="expression" dxfId="176" priority="284" stopIfTrue="1">
      <formula>AND(ShowPassCond=TRUE,InputIssues=0)</formula>
    </cfRule>
  </conditionalFormatting>
  <conditionalFormatting sqref="S35:T35">
    <cfRule type="expression" dxfId="175" priority="285" stopIfTrue="1">
      <formula>AND(VisibleFailures&gt;0,FailedSHG&lt;&gt;0)</formula>
    </cfRule>
    <cfRule type="expression" dxfId="174" priority="286" stopIfTrue="1">
      <formula>AND(ShowPassSHG=TRUE,InputIssues=0)</formula>
    </cfRule>
  </conditionalFormatting>
  <conditionalFormatting sqref="B28:D28">
    <cfRule type="expression" dxfId="173" priority="287" stopIfTrue="1">
      <formula>AND(COUNTA(TableInputs)&gt;0,ISBLANK(Storey))</formula>
    </cfRule>
    <cfRule type="expression" dxfId="172" priority="288" stopIfTrue="1">
      <formula>$F$158=TRUE</formula>
    </cfRule>
  </conditionalFormatting>
  <conditionalFormatting sqref="O26">
    <cfRule type="expression" dxfId="171" priority="289" stopIfTrue="1">
      <formula>NoZoneTableActive=TRUE</formula>
    </cfRule>
    <cfRule type="expression" dxfId="170" priority="290" stopIfTrue="1">
      <formula>$F$155=TRUE</formula>
    </cfRule>
  </conditionalFormatting>
  <conditionalFormatting sqref="H29:O29">
    <cfRule type="expression" dxfId="169" priority="1" stopIfTrue="1">
      <formula>$F$165=TRUE</formula>
    </cfRule>
    <cfRule type="expression" dxfId="168" priority="291" stopIfTrue="1">
      <formula>F171=TRUE</formula>
    </cfRule>
    <cfRule type="expression" dxfId="167" priority="292" stopIfTrue="1">
      <formula>AND(First3Inputs=TRUE,AreaAll&gt;0,AirMovement&gt;0,$F$170=TRUE)</formula>
    </cfRule>
  </conditionalFormatting>
  <conditionalFormatting sqref="B30:D30">
    <cfRule type="expression" dxfId="166" priority="293" stopIfTrue="1">
      <formula>$F$167=TRUE</formula>
    </cfRule>
    <cfRule type="expression" dxfId="165" priority="294" stopIfTrue="1">
      <formula>$F$166=TRUE</formula>
    </cfRule>
    <cfRule type="expression" dxfId="164" priority="295" stopIfTrue="1">
      <formula>OR(ActiveA=TRUE,ActiveB=TRUE)</formula>
    </cfRule>
  </conditionalFormatting>
  <conditionalFormatting sqref="F28">
    <cfRule type="expression" dxfId="163" priority="296" stopIfTrue="1">
      <formula>$F$164=TRUE</formula>
    </cfRule>
    <cfRule type="expression" dxfId="162" priority="297" stopIfTrue="1">
      <formula>$F$163=TRUE</formula>
    </cfRule>
    <cfRule type="expression" dxfId="161" priority="298" stopIfTrue="1">
      <formula>ActiveA=TRUE</formula>
    </cfRule>
  </conditionalFormatting>
  <conditionalFormatting sqref="F29">
    <cfRule type="expression" dxfId="160" priority="299" stopIfTrue="1">
      <formula>$F$164=TRUE</formula>
    </cfRule>
    <cfRule type="expression" dxfId="159" priority="300" stopIfTrue="1">
      <formula>$F$163=TRUE</formula>
    </cfRule>
    <cfRule type="expression" dxfId="158" priority="301" stopIfTrue="1">
      <formula>ActiveB=TRUE</formula>
    </cfRule>
  </conditionalFormatting>
  <conditionalFormatting sqref="AF37:AH116 AJ37:AL116 AN37:AN116">
    <cfRule type="cellIs" dxfId="157" priority="302" stopIfTrue="1" operator="equal">
      <formula>TRUE</formula>
    </cfRule>
  </conditionalFormatting>
  <conditionalFormatting sqref="AE37:AE116">
    <cfRule type="cellIs" dxfId="156" priority="303" stopIfTrue="1" operator="equal">
      <formula>TRUE</formula>
    </cfRule>
  </conditionalFormatting>
  <conditionalFormatting sqref="N32:T32">
    <cfRule type="expression" dxfId="155" priority="307" stopIfTrue="1">
      <formula>InputsAlert=""</formula>
    </cfRule>
  </conditionalFormatting>
  <conditionalFormatting sqref="B26:M26">
    <cfRule type="expression" dxfId="154" priority="186" stopIfTrue="1">
      <formula>$F$154=TRUE</formula>
    </cfRule>
    <cfRule type="expression" dxfId="153" priority="187" stopIfTrue="1">
      <formula>F153=TRUE</formula>
    </cfRule>
  </conditionalFormatting>
  <conditionalFormatting sqref="AW37">
    <cfRule type="cellIs" dxfId="152" priority="22" operator="equal">
      <formula>TRUE</formula>
    </cfRule>
  </conditionalFormatting>
  <conditionalFormatting sqref="AW38:AW116">
    <cfRule type="cellIs" dxfId="151" priority="21" operator="equal">
      <formula>TRUE</formula>
    </cfRule>
  </conditionalFormatting>
  <conditionalFormatting sqref="H28">
    <cfRule type="expression" dxfId="150" priority="2" stopIfTrue="1">
      <formula>$F$165=TRUE</formula>
    </cfRule>
    <cfRule type="expression" dxfId="149" priority="20" stopIfTrue="1">
      <formula>OR(F170=TRUE,F171=TRUE)</formula>
    </cfRule>
  </conditionalFormatting>
  <conditionalFormatting sqref="T37:T116">
    <cfRule type="expression" dxfId="148" priority="308" stopIfTrue="1">
      <formula>OR(AC37=0,AE37=TRUE,InputIssues&gt;0)</formula>
    </cfRule>
    <cfRule type="expression" dxfId="147" priority="309" stopIfTrue="1">
      <formula>AND(AW37=TRUE,BT37=TRUE)</formula>
    </cfRule>
    <cfRule type="expression" dxfId="146" priority="310" stopIfTrue="1">
      <formula>AND(AC37=TRUE,ShowPassSHG=TRUE,InputIssues=0)</formula>
    </cfRule>
  </conditionalFormatting>
  <conditionalFormatting sqref="N37:N116">
    <cfRule type="expression" dxfId="145" priority="311" stopIfTrue="1">
      <formula>OR(AC37&lt;&gt;TRUE,InputIssues&gt;0)</formula>
    </cfRule>
    <cfRule type="expression" dxfId="144" priority="312" stopIfTrue="1">
      <formula>AND(AP37=TRUE,OR(L37="device",N37&gt;2))</formula>
    </cfRule>
    <cfRule type="expression" dxfId="143" priority="313" stopIfTrue="1">
      <formula>AND(AP37=TRUE,AT37=TRUE)</formula>
    </cfRule>
  </conditionalFormatting>
  <conditionalFormatting sqref="Q37:Q116">
    <cfRule type="expression" dxfId="142" priority="314" stopIfTrue="1">
      <formula>OR(AC37=0,AC37=FALSE,AE37=TRUE,InputIssues&gt;0)</formula>
    </cfRule>
    <cfRule type="expression" dxfId="141" priority="315" stopIfTrue="1">
      <formula>AND(AW37=TRUE,BS37=TRUE,InputsAlert="")</formula>
    </cfRule>
    <cfRule type="expression" dxfId="140" priority="316" stopIfTrue="1">
      <formula>AND(AC37=TRUE,ShowPassCond=TRUE,InputIssues=0)</formula>
    </cfRule>
  </conditionalFormatting>
  <conditionalFormatting sqref="R37:R116">
    <cfRule type="expression" dxfId="139" priority="317" stopIfTrue="1">
      <formula>OR(AC37=0,AC37=FALSE,AE37=TRUE,InputIssues&gt;0)</formula>
    </cfRule>
    <cfRule type="expression" dxfId="138" priority="318" stopIfTrue="1">
      <formula>AND(AW37=TRUE,BS37=TRUE,InputsAlert="")</formula>
    </cfRule>
    <cfRule type="expression" dxfId="137" priority="319" stopIfTrue="1">
      <formula>AND(AC37=TRUE,ShowPassCond=TRUE,InputIssues=0)</formula>
    </cfRule>
  </conditionalFormatting>
  <conditionalFormatting sqref="S37:S116">
    <cfRule type="expression" dxfId="136" priority="320" stopIfTrue="1">
      <formula>OR(AC37=0,AC37=FALSE,AE37=TRUE,InputIssues&gt;0)</formula>
    </cfRule>
    <cfRule type="expression" dxfId="135" priority="321" stopIfTrue="1">
      <formula>AND(AW37=TRUE,BT37=TRUE,InputsAlert="")</formula>
    </cfRule>
    <cfRule type="expression" dxfId="134" priority="322" stopIfTrue="1">
      <formula>AND(AC37=TRUE,ShowPassSHG=TRUE,InputIssues=0)</formula>
    </cfRule>
  </conditionalFormatting>
  <conditionalFormatting sqref="F37:F116">
    <cfRule type="expression" dxfId="133" priority="3" stopIfTrue="1">
      <formula>AND(AW37=TRUE,OR(BS37=TRUE,BT37=TRUE))</formula>
    </cfRule>
    <cfRule type="expression" dxfId="132" priority="7" stopIfTrue="1">
      <formula>AF37=TRUE</formula>
    </cfRule>
    <cfRule type="expression" dxfId="131" priority="323" stopIfTrue="1">
      <formula>AC37=TRUE</formula>
    </cfRule>
  </conditionalFormatting>
  <conditionalFormatting sqref="H37:H116">
    <cfRule type="expression" dxfId="130" priority="325" stopIfTrue="1">
      <formula>OR(AND(H37&gt;0,AC37=FALSE),AW37=TRUE)</formula>
    </cfRule>
    <cfRule type="expression" dxfId="129" priority="326" stopIfTrue="1">
      <formula>AND(AC37=TRUE,AH37=TRUE)</formula>
    </cfRule>
    <cfRule type="expression" dxfId="128" priority="327" stopIfTrue="1">
      <formula>AND(AC37=TRUE,AI37&lt;&gt;TRUE)</formula>
    </cfRule>
  </conditionalFormatting>
  <conditionalFormatting sqref="I37:I116">
    <cfRule type="expression" dxfId="127" priority="328" stopIfTrue="1">
      <formula>OR(AND(I37&gt;0,AC37=FALSE),AND(I37&gt;0,AW37=TRUE))</formula>
    </cfRule>
    <cfRule type="expression" dxfId="126" priority="329" stopIfTrue="1">
      <formula>AND(AC37=TRUE,AH37=TRUE)</formula>
    </cfRule>
    <cfRule type="expression" dxfId="125" priority="330" stopIfTrue="1">
      <formula>OR(AND(ISBLANK(I37),AC37=TRUE),AND(AC37=TRUE,OR(AI37=0,AI37=TRUE)))</formula>
    </cfRule>
  </conditionalFormatting>
  <conditionalFormatting sqref="J37:J116">
    <cfRule type="expression" dxfId="124" priority="331" stopIfTrue="1">
      <formula>OR(AND(J37&gt;0,AC37=FALSE),AND(AW37=TRUE,BS37=TRUE))</formula>
    </cfRule>
    <cfRule type="expression" dxfId="123" priority="332" stopIfTrue="1">
      <formula>AJ37=TRUE</formula>
    </cfRule>
    <cfRule type="expression" dxfId="122" priority="333" stopIfTrue="1">
      <formula>AC37=TRUE</formula>
    </cfRule>
  </conditionalFormatting>
  <conditionalFormatting sqref="K37:K116">
    <cfRule type="expression" dxfId="121" priority="334" stopIfTrue="1">
      <formula>OR(AND(K37&gt;0,AC37=FALSE),AND(AW37=TRUE,OR(BS37=TRUE,BT37=TRUE)))</formula>
    </cfRule>
    <cfRule type="expression" dxfId="120" priority="335" stopIfTrue="1">
      <formula>AL37=TRUE</formula>
    </cfRule>
    <cfRule type="expression" dxfId="119" priority="336" stopIfTrue="1">
      <formula>AC37=TRUE</formula>
    </cfRule>
  </conditionalFormatting>
  <conditionalFormatting sqref="L37:L116">
    <cfRule type="expression" dxfId="118" priority="6" stopIfTrue="1">
      <formula>OR(AND(L37&gt;0,ShowPassCond=FALSE,InputsAlert=""),AND(L37&gt;0,AC37=FALSE),AM37=TRUE,AND(AW37=TRUE,BT37=TRUE))</formula>
    </cfRule>
    <cfRule type="expression" dxfId="117" priority="337" stopIfTrue="1">
      <formula>AO37=TRUE</formula>
    </cfRule>
    <cfRule type="expression" dxfId="116" priority="338" stopIfTrue="1">
      <formula>AND(AC37=TRUE,OR(AN37=TRUE,AO37=TRUE,AT37=TRUE))</formula>
    </cfRule>
    <cfRule type="expression" dxfId="115" priority="339" stopIfTrue="1">
      <formula>AC37=TRUE</formula>
    </cfRule>
  </conditionalFormatting>
  <conditionalFormatting sqref="G37:G116">
    <cfRule type="expression" dxfId="114" priority="340" stopIfTrue="1">
      <formula>OR(AND(G37&gt;0,AC37=FALSE),AW37=TRUE)</formula>
    </cfRule>
    <cfRule type="expression" dxfId="113" priority="341" stopIfTrue="1">
      <formula>AND(AC37=TRUE,OR(AG37=TRUE,AH37=TRUE))</formula>
    </cfRule>
    <cfRule type="expression" dxfId="112" priority="342" stopIfTrue="1">
      <formula>AC37=TRUE</formula>
    </cfRule>
  </conditionalFormatting>
  <conditionalFormatting sqref="M37:M116">
    <cfRule type="expression" dxfId="111" priority="343" stopIfTrue="1">
      <formula>OR(AND(L37&gt;0,ShowPassCond=FALSE,InputsAlert=""),AND(M37&gt;0,AC37=FALSE),AO37=TRUE,AND(AW37=TRUE,BT37=TRUE))</formula>
    </cfRule>
    <cfRule type="expression" dxfId="110" priority="344" stopIfTrue="1">
      <formula>AND(AC37=TRUE,AN37=TRUE)</formula>
    </cfRule>
    <cfRule type="expression" dxfId="109" priority="345" stopIfTrue="1">
      <formula>AC37=TRUE</formula>
    </cfRule>
  </conditionalFormatting>
  <conditionalFormatting sqref="P37:P116">
    <cfRule type="expression" dxfId="108" priority="347" stopIfTrue="1">
      <formula>OR(AC37&lt;&gt;TRUE,InputIssues&gt;0)</formula>
    </cfRule>
    <cfRule type="expression" dxfId="107" priority="348" stopIfTrue="1">
      <formula>AND(AP37=TRUE,H37&gt;0,I37&gt;0,I37&lt;&gt;G37*H37)</formula>
    </cfRule>
  </conditionalFormatting>
  <conditionalFormatting sqref="B25">
    <cfRule type="expression" dxfId="106" priority="17" stopIfTrue="1">
      <formula>$F$153=TRUE</formula>
    </cfRule>
    <cfRule type="expression" dxfId="105" priority="18" stopIfTrue="1">
      <formula>$F$154=TRUE</formula>
    </cfRule>
  </conditionalFormatting>
  <conditionalFormatting sqref="B27">
    <cfRule type="expression" dxfId="104" priority="15" stopIfTrue="1">
      <formula>F158=TRUE</formula>
    </cfRule>
    <cfRule type="expression" dxfId="103" priority="16" stopIfTrue="1">
      <formula>$F$159=TRUE</formula>
    </cfRule>
  </conditionalFormatting>
  <conditionalFormatting sqref="B29">
    <cfRule type="expression" dxfId="102" priority="12" stopIfTrue="1">
      <formula>VentPending=TRUE</formula>
    </cfRule>
    <cfRule type="expression" dxfId="101" priority="14" stopIfTrue="1">
      <formula>OrphanVent=TRUE</formula>
    </cfRule>
  </conditionalFormatting>
  <conditionalFormatting sqref="O25">
    <cfRule type="expression" dxfId="100" priority="11" stopIfTrue="1">
      <formula>F155=TRUE</formula>
    </cfRule>
    <cfRule type="expression" dxfId="99" priority="13" stopIfTrue="1">
      <formula>NoZoneTableActive=TRUE</formula>
    </cfRule>
  </conditionalFormatting>
  <conditionalFormatting sqref="F27">
    <cfRule type="expression" dxfId="98" priority="9" stopIfTrue="1">
      <formula>EmptyA=TRUE</formula>
    </cfRule>
    <cfRule type="expression" dxfId="97" priority="10" stopIfTrue="1">
      <formula>$F$164=TRUE</formula>
    </cfRule>
  </conditionalFormatting>
  <conditionalFormatting sqref="B34">
    <cfRule type="expression" dxfId="96" priority="8" stopIfTrue="1">
      <formula>AND(TopInputsOK=TRUE,TableEntries=COUNTA($D$37:$E$116))</formula>
    </cfRule>
  </conditionalFormatting>
  <conditionalFormatting sqref="AO37:AO116">
    <cfRule type="cellIs" dxfId="95" priority="5" operator="equal">
      <formula>TRUE</formula>
    </cfRule>
  </conditionalFormatting>
  <conditionalFormatting sqref="AM37:AM116">
    <cfRule type="cellIs" dxfId="94" priority="4" operator="equal">
      <formula>TRUE</formula>
    </cfRule>
  </conditionalFormatting>
  <dataValidations xWindow="737" yWindow="235" count="16">
    <dataValidation type="custom" allowBlank="1" showErrorMessage="1" errorTitle="Invalid entry" error="Width (if used) must be a number greater than zero. _x000a__x000a_Not needed when an Area has already been given. Clear Area if intending to specify Height and Width." sqref="H37:H116">
      <formula1>AND(H37&gt;0,COUNTA(I37)=0)</formula1>
    </dataValidation>
    <dataValidation type="decimal" allowBlank="1" showErrorMessage="1" errorTitle="Invalid entry" error="Area (when given) must be a number greater than zero._x000a__x000a_Not needed when Height and Width are given (and will be ignored if equal to or smaller than Height x Width)." sqref="I37:I116">
      <formula1>0.01</formula1>
      <formula2>10000</formula2>
    </dataValidation>
    <dataValidation type="whole" showErrorMessage="1" errorTitle="Invalid climate zone number" error="Only whole numbers between 1 and 8 (for climate zones 1-8) are permitted." promptTitle="BCA Climate Zone" prompt="Enter a whole number between 1 and 8." sqref="O26">
      <formula1>1</formula1>
      <formula2>8</formula2>
    </dataValidation>
    <dataValidation type="decimal" operator="greaterThan" allowBlank="1" showErrorMessage="1" errorTitle="Invalid height" error="No extra credit for a shading edge at or below the base of the glazing._x000a__x000a_Enter a number greater than zero (eg. 0.001 or larger)" prompt="P is halved if H is more than the glazing height plus 0.5m" sqref="M37:M116">
      <formula1>0</formula1>
    </dataValidation>
    <dataValidation type="decimal" allowBlank="1" showErrorMessage="1" errorTitle="Value is outside the valid range" error="Total System SHGC values cannot be more than 1.00 or less than 0. Please enter a value within these limits._x000a__x000a_(In practice, values greater than 0.81 or less than 0.16 are unlikely to be realistic.)" sqref="K37:K116">
      <formula1>0</formula1>
      <formula2>1</formula2>
    </dataValidation>
    <dataValidation type="decimal" allowBlank="1" showErrorMessage="1" errorTitle="Value is outside the valid range" error="Total System U-values must be no more than 8.0 and no less than 1.0. Please enter a value within these limits._x000a__x000a_(In practice, values greater than 7.9 or less than 2.1 are unlikely to be realistic.)" sqref="J37:J116">
      <formula1>1</formula1>
      <formula2>8</formula2>
    </dataValidation>
    <dataValidation type="whole" allowBlank="1" showInputMessage="1" showErrorMessage="1" errorTitle="Invalid entry" error="'Floor area' must be a whole number greater than zero. (No decimal places.)_x000a_Do not type the 'm²' label." promptTitle="Suspended =" prompt="A suspended floor (including a timber or steel framed floor or a suspended concrete slab)._x000a__x000a_Type only a whole number (without 'm²' label)." sqref="F29">
      <formula1>1</formula1>
      <formula2>999</formula2>
    </dataValidation>
    <dataValidation type="decimal" operator="greaterThan" allowBlank="1" showErrorMessage="1" errorTitle="Invalid entry" error="Height (if used) must be a number greater than zero." sqref="G37:G116">
      <formula1>0</formula1>
    </dataValidation>
    <dataValidation type="whole" allowBlank="1" showErrorMessage="1" errorTitle="Invalid entry" error="Please select a number large enough to display all rows containing data but no more than 80 (the maximum available in the table)." sqref="F32">
      <formula1>MAX(1,LastActive)</formula1>
      <formula2>RowsAvailable</formula2>
    </dataValidation>
    <dataValidation type="custom" allowBlank="1" showInputMessage="1" showErrorMessage="1" errorTitle="Invalid entry" error="P must be a number greater than zero or the word 'device' (without the quotation marks)." promptTitle="Input advice:" prompt="If shading is provided by an external shading device complying with 3.12.2.2(b), enter 'device' (without the quotation marks)." sqref="L37:L116">
      <formula1>OR(AND(ISNUMBER(L37),L37&gt;=0),L37="device")</formula1>
    </dataValidation>
    <dataValidation type="whole" allowBlank="1" showInputMessage="1" showErrorMessage="1" errorTitle="Invalid entry" error="'Floor area' must be a whole number greater than zero. (No decimal places.)_x000a_Do not type the 'm²' label." promptTitle="Direct contact =" prompt="A floor in direct contact with the ground (including a concrete slab on ground or on consolidated fill)._x000a__x000a_Type only a whole number (without 'm²' label)." sqref="F28">
      <formula1>1</formula1>
      <formula2>999</formula2>
    </dataValidation>
    <dataValidation type="list" allowBlank="1" showInputMessage="1" showErrorMessage="1" errorTitle="Invalid entry" error="Please use only the values on the drop down list." promptTitle="Type of Exposure factor" prompt="In zones 2-8, this column can show Exposure factors for Solar heat gain (Es), for Conductance (Ew) or their relationship (Ew / Es). (The choice is for information and does not affect calculations.)" sqref="O36">
      <formula1>ValidExposures</formula1>
    </dataValidation>
    <dataValidation allowBlank="1" showErrorMessage="1" errorTitle="Invalid selection" error="Please select &quot;PUBLIC DRAFT&quot; or &quot;USER VARIABLE&quot; from the drop down list." sqref="R24"/>
    <dataValidation type="custom" allowBlank="1" showErrorMessage="1" errorTitle="Invalid entry" error="Only 'Standard' or 'High' or a multiple of 'Standard' can be used in this cell._x000a__x000a_A multiple of 'Standard' must be greater than 1 but less than 2. Enter just the number. A 'Std'  label will be added automatically." promptTitle="Air Movement" prompt="First calculate the applicable Air Movement level._x000a__x000a_Type 'Standard' or 'High' or a multiple of Standard if in between. A multiple can only be a number more than 1 but less than 2._x000a__x000a_Press Enter or Tab to leave the cell." sqref="B30:D30">
      <formula1>AND(AND(MultipleAir&gt;=1,MultipleAir&lt;=2),OR(SuffixAir="S",SuffixAir="H"))</formula1>
    </dataValidation>
    <dataValidation type="list" allowBlank="1" showInputMessage="1" showErrorMessage="1" errorTitle="Invalid entry" error="Select entry only from the drop down list." promptTitle="Wall insulation concessions" prompt="Selecting any listed option from Table 3.12.1.3b will increase glazing stringency and make compliance more difficult. Options vary with climate zone. No concession is available in climate zone 8." sqref="H29:O29">
      <formula1>WallConcessions</formula1>
    </dataValidation>
    <dataValidation type="list" showErrorMessage="1" errorTitle="Invalid entry" error="Select a value from the drop down list (if available)._x000a__x000a_(Inputs above this table must be complete for the list to appear.)" promptTitle="Orientation sector" prompt="Select a sector from the drop down list._x000a__x000a_The list shows only when inputs above this table are complete." sqref="F37:F116">
      <formula1>OrientationsA</formula1>
    </dataValidation>
  </dataValidations>
  <printOptions horizontalCentered="1"/>
  <pageMargins left="0.35433070866141736" right="0.23622047244094491" top="0.59055118110236227" bottom="0.59055118110236227" header="0.35433070866141736" footer="0.35433070866141736"/>
  <pageSetup paperSize="9" fitToHeight="0" orientation="landscape" r:id="rId1"/>
  <headerFooter>
    <oddHeader>&amp;L&amp;"Arial,Italic"Report from &amp;F&amp;R&amp;"Arial,Italic"printed &amp;D</oddHeader>
    <oddFooter>&amp;R&amp;"Arial,Italic"page &amp;P of &amp;N</oddFooter>
  </headerFooter>
  <drawing r:id="rId2"/>
  <legacyDrawing r:id="rId3"/>
  <picture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0"/>
    <pageSetUpPr fitToPage="1"/>
  </sheetPr>
  <dimension ref="A1:CF224"/>
  <sheetViews>
    <sheetView tabSelected="1" showOutlineSymbols="0" zoomScaleNormal="100" workbookViewId="0">
      <selection activeCell="G29" sqref="G29"/>
    </sheetView>
  </sheetViews>
  <sheetFormatPr defaultRowHeight="11.25"/>
  <cols>
    <col min="1" max="1" width="1.5703125" style="497" customWidth="1"/>
    <col min="2" max="2" width="3.140625" style="497" customWidth="1"/>
    <col min="3" max="3" width="5.7109375" style="497" customWidth="1"/>
    <col min="4" max="4" width="10.5703125" style="497" customWidth="1"/>
    <col min="5" max="6" width="4.7109375" style="497" customWidth="1"/>
    <col min="7" max="7" width="7" style="497" customWidth="1"/>
    <col min="8" max="8" width="6.28515625" style="497" customWidth="1"/>
    <col min="9" max="9" width="1.7109375" style="497" customWidth="1"/>
    <col min="10" max="10" width="5.140625" style="497" customWidth="1"/>
    <col min="11" max="12" width="4.7109375" style="497" customWidth="1"/>
    <col min="13" max="24" width="4.85546875" style="497" customWidth="1"/>
    <col min="25" max="25" width="1.7109375" style="497" customWidth="1"/>
    <col min="26" max="26" width="13.42578125" style="526" customWidth="1"/>
    <col min="27" max="27" width="30.140625" style="526" hidden="1" customWidth="1"/>
    <col min="28" max="28" width="9.140625" style="497" hidden="1" customWidth="1"/>
    <col min="29" max="29" width="42.42578125" style="497" hidden="1" customWidth="1"/>
    <col min="30" max="30" width="2.7109375" style="497" hidden="1" customWidth="1"/>
    <col min="31" max="31" width="6.42578125" style="497" hidden="1" customWidth="1"/>
    <col min="32" max="32" width="6.140625" style="497" hidden="1" customWidth="1"/>
    <col min="33" max="43" width="5.7109375" style="497" hidden="1" customWidth="1"/>
    <col min="44" max="44" width="12.5703125" style="497" hidden="1" customWidth="1"/>
    <col min="45" max="45" width="8.5703125" style="497" hidden="1" customWidth="1"/>
    <col min="46" max="46" width="8.7109375" style="497" hidden="1" customWidth="1"/>
    <col min="47" max="47" width="3.28515625" style="497" hidden="1" customWidth="1"/>
    <col min="48" max="59" width="5.7109375" style="497" hidden="1" customWidth="1"/>
    <col min="60" max="60" width="2.5703125" style="497" hidden="1" customWidth="1"/>
    <col min="61" max="61" width="11.5703125" style="497" hidden="1" customWidth="1"/>
    <col min="62" max="62" width="25.85546875" style="497" hidden="1" customWidth="1"/>
    <col min="63" max="63" width="10.85546875" style="497" hidden="1" customWidth="1"/>
    <col min="64" max="64" width="19.7109375" style="497" hidden="1" customWidth="1"/>
    <col min="65" max="65" width="71" style="497" hidden="1" customWidth="1"/>
    <col min="66" max="66" width="7.42578125" style="497" hidden="1" customWidth="1"/>
    <col min="67" max="67" width="8.140625" style="497" hidden="1" customWidth="1"/>
    <col min="68" max="68" width="17.140625" style="497" hidden="1" customWidth="1"/>
    <col min="69" max="69" width="6.85546875" style="497" hidden="1" customWidth="1"/>
    <col min="70" max="70" width="10.28515625" style="497" hidden="1" customWidth="1"/>
    <col min="71" max="71" width="11.140625" style="497" hidden="1" customWidth="1"/>
    <col min="72" max="72" width="15.140625" style="497" hidden="1" customWidth="1"/>
    <col min="73" max="73" width="12.85546875" style="497" hidden="1" customWidth="1"/>
    <col min="74" max="74" width="13" style="497" hidden="1" customWidth="1"/>
    <col min="75" max="78" width="12" style="497" hidden="1" customWidth="1"/>
    <col min="79" max="80" width="25.28515625" style="497" hidden="1" customWidth="1"/>
    <col min="81" max="81" width="3.7109375" style="497" hidden="1" customWidth="1"/>
    <col min="82" max="82" width="27.140625" style="497" hidden="1" customWidth="1"/>
    <col min="83" max="83" width="3.5703125" style="497" hidden="1" customWidth="1"/>
    <col min="84" max="16384" width="9.140625" style="497"/>
  </cols>
  <sheetData>
    <row r="1" spans="1:84" s="517" customFormat="1" ht="12.75">
      <c r="B1" s="518" t="s">
        <v>164</v>
      </c>
      <c r="Z1" s="572"/>
      <c r="AA1" s="572"/>
    </row>
    <row r="2" spans="1:84" s="517" customFormat="1" ht="12.75">
      <c r="B2" s="519" t="s">
        <v>167</v>
      </c>
      <c r="Z2" s="572"/>
      <c r="AA2" s="572"/>
    </row>
    <row r="3" spans="1:84" s="517" customFormat="1" ht="12.75">
      <c r="B3" s="519" t="s">
        <v>170</v>
      </c>
      <c r="E3" s="497"/>
      <c r="Z3" s="572"/>
      <c r="AA3" s="572"/>
    </row>
    <row r="4" spans="1:84" s="517" customFormat="1" ht="12.75">
      <c r="B4" s="519" t="s">
        <v>171</v>
      </c>
      <c r="Z4" s="572"/>
      <c r="AA4" s="572"/>
    </row>
    <row r="5" spans="1:84" s="517" customFormat="1" ht="12.75">
      <c r="B5" s="520" t="s">
        <v>166</v>
      </c>
      <c r="D5" s="505"/>
      <c r="Z5" s="572"/>
      <c r="AA5" s="572"/>
    </row>
    <row r="6" spans="1:84" s="517" customFormat="1" ht="12.75">
      <c r="D6" s="505"/>
      <c r="Z6" s="572"/>
      <c r="AA6" s="572"/>
    </row>
    <row r="7" spans="1:84" s="517" customFormat="1" ht="12.75">
      <c r="Z7" s="572"/>
      <c r="AA7" s="572"/>
    </row>
    <row r="8" spans="1:84" s="517" customFormat="1" ht="12.75">
      <c r="A8" s="572"/>
      <c r="B8" s="572"/>
      <c r="C8" s="572"/>
      <c r="D8" s="572"/>
      <c r="E8" s="572"/>
      <c r="F8" s="572"/>
      <c r="G8" s="572"/>
      <c r="H8" s="572"/>
      <c r="I8" s="572"/>
      <c r="J8" s="572"/>
      <c r="K8" s="572"/>
      <c r="L8" s="572"/>
      <c r="M8" s="572"/>
      <c r="N8" s="572"/>
      <c r="O8" s="572"/>
      <c r="P8" s="572"/>
      <c r="Q8" s="572"/>
      <c r="R8" s="572"/>
      <c r="S8" s="572"/>
      <c r="T8" s="572"/>
      <c r="U8" s="572"/>
      <c r="V8" s="572"/>
      <c r="W8" s="572"/>
      <c r="X8" s="572"/>
      <c r="Y8" s="572"/>
      <c r="Z8" s="572"/>
      <c r="AA8" s="572"/>
    </row>
    <row r="9" spans="1:84" ht="10.5" customHeight="1" thickBot="1">
      <c r="A9" s="571"/>
      <c r="B9" s="571"/>
      <c r="C9" s="571"/>
      <c r="D9" s="571"/>
      <c r="E9" s="571"/>
      <c r="F9" s="571"/>
      <c r="G9" s="571"/>
      <c r="H9" s="571"/>
      <c r="I9" s="571"/>
      <c r="J9" s="571"/>
      <c r="K9" s="571"/>
      <c r="L9" s="571"/>
      <c r="M9" s="571"/>
      <c r="N9" s="571"/>
      <c r="O9" s="571"/>
      <c r="P9" s="571"/>
      <c r="Q9" s="571"/>
      <c r="R9" s="571"/>
      <c r="S9" s="571"/>
      <c r="T9" s="571"/>
      <c r="U9" s="571"/>
      <c r="V9" s="571"/>
      <c r="W9" s="571"/>
      <c r="X9" s="571"/>
      <c r="Y9" s="571"/>
      <c r="Z9" s="572"/>
      <c r="AA9" s="572"/>
    </row>
    <row r="10" spans="1:84" ht="18" customHeight="1" thickBot="1">
      <c r="A10" s="571"/>
      <c r="B10" s="608" t="s">
        <v>550</v>
      </c>
      <c r="C10" s="609"/>
      <c r="D10" s="610"/>
      <c r="E10" s="610"/>
      <c r="F10" s="610"/>
      <c r="G10" s="610"/>
      <c r="H10" s="610"/>
      <c r="I10" s="611"/>
      <c r="J10" s="612"/>
      <c r="K10" s="612"/>
      <c r="L10" s="613" t="s">
        <v>546</v>
      </c>
      <c r="M10" s="681"/>
      <c r="N10" s="612"/>
      <c r="O10" s="613" t="s">
        <v>547</v>
      </c>
      <c r="P10" s="721"/>
      <c r="Q10" s="721"/>
      <c r="R10" s="721"/>
      <c r="S10" s="722"/>
      <c r="T10" s="612"/>
      <c r="U10" s="612"/>
      <c r="V10" s="612"/>
      <c r="W10" s="612"/>
      <c r="X10" s="613" t="str">
        <f>CONCATENATE("Report v:"," ",$D$111)</f>
        <v>Report v: 07 Feb 2015</v>
      </c>
      <c r="Y10" s="571"/>
      <c r="Z10" s="572"/>
      <c r="AA10" s="572"/>
      <c r="AB10" s="516"/>
      <c r="AC10" s="521" t="s">
        <v>384</v>
      </c>
      <c r="AD10" s="516"/>
      <c r="AE10" s="521" t="s">
        <v>533</v>
      </c>
      <c r="AF10" s="516"/>
      <c r="AG10" s="516"/>
      <c r="AH10" s="516"/>
      <c r="AI10" s="516"/>
      <c r="AJ10" s="516"/>
      <c r="AK10" s="516"/>
      <c r="AL10" s="516"/>
      <c r="AM10" s="516"/>
      <c r="AN10" s="516"/>
      <c r="AO10" s="516"/>
      <c r="AP10" s="516"/>
      <c r="AQ10" s="516"/>
      <c r="AR10" s="521" t="s">
        <v>533</v>
      </c>
      <c r="AS10" s="516"/>
      <c r="AT10" s="516"/>
      <c r="AU10" s="516"/>
      <c r="AV10" s="521" t="s">
        <v>533</v>
      </c>
      <c r="AW10" s="516"/>
      <c r="AX10" s="516"/>
      <c r="AY10" s="516"/>
      <c r="AZ10" s="516"/>
      <c r="BA10" s="516"/>
      <c r="BB10" s="516"/>
      <c r="BC10" s="516"/>
      <c r="BD10" s="516"/>
      <c r="BE10" s="516"/>
      <c r="BF10" s="516"/>
      <c r="BG10" s="516"/>
      <c r="BH10" s="516"/>
      <c r="BI10" s="521" t="s">
        <v>533</v>
      </c>
      <c r="BJ10" s="516"/>
      <c r="BK10" s="516"/>
      <c r="BL10" s="516"/>
      <c r="BM10" s="516"/>
      <c r="BN10" s="521" t="s">
        <v>502</v>
      </c>
      <c r="BO10" s="516"/>
      <c r="BP10" s="516"/>
      <c r="BQ10" s="516"/>
      <c r="BR10" s="516"/>
      <c r="BS10" s="516"/>
      <c r="BT10" s="516"/>
      <c r="BU10" s="516"/>
      <c r="BV10" s="516"/>
      <c r="BW10" s="516"/>
      <c r="BX10" s="516"/>
      <c r="BY10" s="516"/>
      <c r="BZ10" s="516"/>
      <c r="CA10" s="516"/>
      <c r="CB10" s="516"/>
      <c r="CC10" s="516"/>
      <c r="CD10" s="521" t="s">
        <v>446</v>
      </c>
      <c r="CE10" s="516"/>
      <c r="CF10" s="517"/>
    </row>
    <row r="11" spans="1:84" ht="15.75" customHeight="1">
      <c r="A11" s="605"/>
      <c r="B11" s="725" t="str">
        <f>IF(OR(Zone=2,OR(Zone=7,Zone=8)),$AC$42,IF(ISBLANK(Zone),CONCATENATE("Climate zone:"," ",$AC$17),CONCATENATE("Climate zone:"," ",Zone)))</f>
        <v>Climate zone: Data</v>
      </c>
      <c r="C11" s="725"/>
      <c r="D11" s="725"/>
      <c r="E11" s="725"/>
      <c r="F11" s="604" t="str">
        <f>CONCATENATE("Building site:"," ",Building)</f>
        <v xml:space="preserve">Building site: </v>
      </c>
      <c r="G11" s="513"/>
      <c r="H11" s="513"/>
      <c r="I11" s="513"/>
      <c r="J11" s="513"/>
      <c r="K11" s="513"/>
      <c r="L11" s="513"/>
      <c r="M11" s="513"/>
      <c r="N11" s="513"/>
      <c r="O11" s="604"/>
      <c r="P11" s="604"/>
      <c r="Q11" s="604" t="str">
        <f>CONCATENATE("Storey assessed:"," ",Storey)</f>
        <v xml:space="preserve">Storey assessed: </v>
      </c>
      <c r="R11" s="604"/>
      <c r="S11" s="513"/>
      <c r="T11" s="513"/>
      <c r="U11" s="513"/>
      <c r="V11" s="604"/>
      <c r="W11" s="604"/>
      <c r="X11" s="515"/>
      <c r="Y11" s="605"/>
      <c r="AB11" s="516"/>
      <c r="CE11" s="516"/>
    </row>
    <row r="12" spans="1:84" ht="11.25" customHeight="1">
      <c r="A12" s="571"/>
      <c r="B12" s="760" t="s">
        <v>608</v>
      </c>
      <c r="C12" s="760"/>
      <c r="D12" s="760"/>
      <c r="E12" s="760"/>
      <c r="F12" s="760"/>
      <c r="G12" s="760"/>
      <c r="H12" s="760"/>
      <c r="I12" s="760"/>
      <c r="J12" s="760"/>
      <c r="K12" s="760"/>
      <c r="L12" s="760"/>
      <c r="M12" s="760"/>
      <c r="N12" s="760"/>
      <c r="O12" s="760"/>
      <c r="P12" s="760"/>
      <c r="Q12" s="760"/>
      <c r="R12" s="760"/>
      <c r="S12" s="760"/>
      <c r="T12" s="760"/>
      <c r="U12" s="760"/>
      <c r="V12" s="760"/>
      <c r="W12" s="760"/>
      <c r="X12" s="760"/>
      <c r="Y12" s="571"/>
      <c r="Z12" s="572"/>
      <c r="AA12" s="572"/>
      <c r="AB12" s="516"/>
      <c r="AC12" s="500" t="s">
        <v>447</v>
      </c>
      <c r="BN12" s="498"/>
      <c r="CD12" s="498"/>
      <c r="CE12" s="516"/>
    </row>
    <row r="13" spans="1:84" ht="11.25" customHeight="1">
      <c r="A13" s="571"/>
      <c r="B13" s="760"/>
      <c r="C13" s="760"/>
      <c r="D13" s="760"/>
      <c r="E13" s="760"/>
      <c r="F13" s="760"/>
      <c r="G13" s="760"/>
      <c r="H13" s="760"/>
      <c r="I13" s="760"/>
      <c r="J13" s="760"/>
      <c r="K13" s="760"/>
      <c r="L13" s="760"/>
      <c r="M13" s="760"/>
      <c r="N13" s="760"/>
      <c r="O13" s="760"/>
      <c r="P13" s="760"/>
      <c r="Q13" s="760"/>
      <c r="R13" s="760"/>
      <c r="S13" s="760"/>
      <c r="T13" s="760"/>
      <c r="U13" s="760"/>
      <c r="V13" s="760"/>
      <c r="W13" s="760"/>
      <c r="X13" s="760"/>
      <c r="Y13" s="571"/>
      <c r="Z13" s="572"/>
      <c r="AA13" s="572"/>
      <c r="AB13" s="516"/>
      <c r="AC13" s="500" t="s">
        <v>393</v>
      </c>
      <c r="AR13" s="511" t="s">
        <v>402</v>
      </c>
      <c r="AS13" s="511"/>
      <c r="CC13" s="522"/>
      <c r="CE13" s="516"/>
    </row>
    <row r="14" spans="1:84" ht="11.25" customHeight="1">
      <c r="A14" s="571"/>
      <c r="B14" s="502" t="s">
        <v>609</v>
      </c>
      <c r="C14" s="502"/>
      <c r="D14" s="502"/>
      <c r="E14" s="502"/>
      <c r="F14" s="502"/>
      <c r="G14" s="502"/>
      <c r="H14" s="502"/>
      <c r="I14" s="502"/>
      <c r="J14" s="502"/>
      <c r="K14" s="502"/>
      <c r="L14" s="502"/>
      <c r="M14" s="502"/>
      <c r="N14" s="502"/>
      <c r="O14" s="502"/>
      <c r="P14" s="502"/>
      <c r="Q14" s="502"/>
      <c r="R14" s="502"/>
      <c r="S14" s="502"/>
      <c r="T14" s="502"/>
      <c r="U14" s="502"/>
      <c r="V14" s="502"/>
      <c r="W14" s="502"/>
      <c r="X14" s="502"/>
      <c r="Y14" s="571"/>
      <c r="Z14" s="572"/>
      <c r="AA14" s="572"/>
      <c r="AB14" s="516"/>
      <c r="AC14" s="523" t="s">
        <v>416</v>
      </c>
      <c r="AR14" s="511" t="s">
        <v>401</v>
      </c>
      <c r="AS14" s="511" t="e">
        <f>J29*F29*K29</f>
        <v>#VALUE!</v>
      </c>
      <c r="CD14" s="498"/>
      <c r="CE14" s="516"/>
    </row>
    <row r="15" spans="1:84" ht="11.25" customHeight="1">
      <c r="A15" s="571"/>
      <c r="B15" s="509"/>
      <c r="C15" s="509"/>
      <c r="D15" s="509"/>
      <c r="E15" s="509"/>
      <c r="F15" s="509"/>
      <c r="G15" s="509"/>
      <c r="H15" s="509"/>
      <c r="I15" s="509"/>
      <c r="J15" s="509"/>
      <c r="K15" s="509"/>
      <c r="L15" s="509"/>
      <c r="M15" s="509"/>
      <c r="N15" s="509"/>
      <c r="O15" s="509"/>
      <c r="P15" s="509"/>
      <c r="Q15" s="509"/>
      <c r="R15" s="509"/>
      <c r="S15" s="509"/>
      <c r="T15" s="509"/>
      <c r="U15" s="509"/>
      <c r="V15" s="509"/>
      <c r="W15" s="509"/>
      <c r="X15" s="509"/>
      <c r="Y15" s="571"/>
      <c r="Z15" s="572"/>
      <c r="AA15" s="572"/>
      <c r="AB15" s="516"/>
      <c r="AC15" s="500" t="s">
        <v>421</v>
      </c>
      <c r="AR15" s="511"/>
      <c r="AS15" s="511"/>
      <c r="CD15" s="498"/>
      <c r="CE15" s="516"/>
    </row>
    <row r="16" spans="1:84" ht="11.25" customHeight="1">
      <c r="A16" s="571"/>
      <c r="B16" s="747"/>
      <c r="C16" s="748"/>
      <c r="D16" s="748"/>
      <c r="E16" s="748"/>
      <c r="F16" s="748"/>
      <c r="G16" s="748"/>
      <c r="H16" s="749"/>
      <c r="I16" s="501"/>
      <c r="J16" s="509"/>
      <c r="K16" s="501"/>
      <c r="L16" s="501"/>
      <c r="M16" s="741" t="s">
        <v>517</v>
      </c>
      <c r="N16" s="741"/>
      <c r="O16" s="741"/>
      <c r="P16" s="741"/>
      <c r="Q16" s="741"/>
      <c r="R16" s="741"/>
      <c r="S16" s="741"/>
      <c r="T16" s="741"/>
      <c r="U16" s="741"/>
      <c r="V16" s="741"/>
      <c r="W16" s="741"/>
      <c r="X16" s="741"/>
      <c r="Y16" s="571"/>
      <c r="Z16" s="572"/>
      <c r="AA16" s="572"/>
      <c r="AB16" s="516"/>
      <c r="AC16" s="500" t="s">
        <v>422</v>
      </c>
      <c r="AR16" s="511" t="s">
        <v>403</v>
      </c>
      <c r="AS16" s="511"/>
      <c r="CD16" s="498"/>
      <c r="CE16" s="516"/>
    </row>
    <row r="17" spans="1:83" ht="11.25" customHeight="1">
      <c r="A17" s="571"/>
      <c r="B17" s="750"/>
      <c r="C17" s="751"/>
      <c r="D17" s="751"/>
      <c r="E17" s="751"/>
      <c r="F17" s="751"/>
      <c r="G17" s="751"/>
      <c r="H17" s="752"/>
      <c r="I17" s="501"/>
      <c r="J17" s="509"/>
      <c r="K17" s="501"/>
      <c r="L17" s="501"/>
      <c r="M17" s="763" t="s">
        <v>456</v>
      </c>
      <c r="N17" s="764"/>
      <c r="O17" s="764"/>
      <c r="P17" s="764"/>
      <c r="Q17" s="764"/>
      <c r="R17" s="764"/>
      <c r="S17" s="764"/>
      <c r="T17" s="764"/>
      <c r="U17" s="764"/>
      <c r="V17" s="764"/>
      <c r="W17" s="764"/>
      <c r="X17" s="764"/>
      <c r="Y17" s="571"/>
      <c r="Z17" s="572"/>
      <c r="AA17" s="572"/>
      <c r="AB17" s="516"/>
      <c r="AC17" s="500" t="s">
        <v>423</v>
      </c>
      <c r="AR17" s="511" t="s">
        <v>399</v>
      </c>
      <c r="AS17" s="511">
        <f>J29*2*K23</f>
        <v>0</v>
      </c>
      <c r="CD17" s="498"/>
      <c r="CE17" s="516"/>
    </row>
    <row r="18" spans="1:83" ht="11.25" customHeight="1">
      <c r="A18" s="571"/>
      <c r="B18" s="750"/>
      <c r="C18" s="751"/>
      <c r="D18" s="751"/>
      <c r="E18" s="751"/>
      <c r="F18" s="751"/>
      <c r="G18" s="751"/>
      <c r="H18" s="752"/>
      <c r="I18" s="501"/>
      <c r="J18" s="746" t="s">
        <v>467</v>
      </c>
      <c r="K18" s="746"/>
      <c r="L18" s="501"/>
      <c r="M18" s="736"/>
      <c r="N18" s="736"/>
      <c r="O18" s="736"/>
      <c r="P18" s="736"/>
      <c r="Q18" s="736"/>
      <c r="R18" s="736"/>
      <c r="S18" s="736"/>
      <c r="T18" s="736"/>
      <c r="U18" s="736"/>
      <c r="V18" s="736"/>
      <c r="W18" s="736"/>
      <c r="X18" s="736"/>
      <c r="Y18" s="571"/>
      <c r="Z18" s="572"/>
      <c r="AA18" s="572"/>
      <c r="AB18" s="516"/>
      <c r="AC18" s="500" t="s">
        <v>59</v>
      </c>
      <c r="AR18" s="511" t="s">
        <v>400</v>
      </c>
      <c r="AS18" s="511" t="e">
        <f>F29*K29*2*K23</f>
        <v>#VALUE!</v>
      </c>
      <c r="CD18" s="498"/>
      <c r="CE18" s="516"/>
    </row>
    <row r="19" spans="1:83" ht="11.25" customHeight="1">
      <c r="A19" s="571"/>
      <c r="B19" s="753"/>
      <c r="C19" s="754"/>
      <c r="D19" s="754"/>
      <c r="E19" s="754"/>
      <c r="F19" s="754"/>
      <c r="G19" s="754"/>
      <c r="H19" s="755"/>
      <c r="I19" s="501"/>
      <c r="J19" s="746"/>
      <c r="K19" s="746"/>
      <c r="L19" s="501"/>
      <c r="M19" s="737"/>
      <c r="N19" s="737"/>
      <c r="O19" s="737"/>
      <c r="P19" s="737"/>
      <c r="Q19" s="737"/>
      <c r="R19" s="737"/>
      <c r="S19" s="737"/>
      <c r="T19" s="737"/>
      <c r="U19" s="737"/>
      <c r="V19" s="737"/>
      <c r="W19" s="737"/>
      <c r="X19" s="737"/>
      <c r="Y19" s="571"/>
      <c r="Z19" s="572"/>
      <c r="AA19" s="572"/>
      <c r="AB19" s="516"/>
      <c r="AC19" s="500" t="s">
        <v>60</v>
      </c>
      <c r="AR19" s="511"/>
      <c r="AS19" s="529" t="e">
        <f>SUM(AS17:AS18)</f>
        <v>#VALUE!</v>
      </c>
      <c r="CD19" s="498"/>
      <c r="CE19" s="516"/>
    </row>
    <row r="20" spans="1:83" ht="11.25" customHeight="1">
      <c r="A20" s="571"/>
      <c r="B20" s="509"/>
      <c r="C20" s="509"/>
      <c r="D20" s="509"/>
      <c r="E20" s="509"/>
      <c r="F20" s="509"/>
      <c r="G20" s="509"/>
      <c r="H20" s="509"/>
      <c r="I20" s="501"/>
      <c r="J20" s="746"/>
      <c r="K20" s="746"/>
      <c r="L20" s="501"/>
      <c r="M20" s="737"/>
      <c r="N20" s="737"/>
      <c r="O20" s="737"/>
      <c r="P20" s="737"/>
      <c r="Q20" s="737"/>
      <c r="R20" s="737"/>
      <c r="S20" s="737"/>
      <c r="T20" s="737"/>
      <c r="U20" s="737"/>
      <c r="V20" s="737"/>
      <c r="W20" s="737"/>
      <c r="X20" s="737"/>
      <c r="Y20" s="571"/>
      <c r="Z20" s="572"/>
      <c r="AA20" s="572"/>
      <c r="AB20" s="516"/>
      <c r="AC20" s="500" t="s">
        <v>427</v>
      </c>
      <c r="AR20" s="511"/>
      <c r="AS20" s="511"/>
      <c r="AV20" s="531" t="s">
        <v>420</v>
      </c>
      <c r="CD20" s="498"/>
      <c r="CE20" s="516"/>
    </row>
    <row r="21" spans="1:83" ht="11.25" customHeight="1">
      <c r="A21" s="571"/>
      <c r="B21" s="509"/>
      <c r="C21" s="509"/>
      <c r="D21" s="509"/>
      <c r="E21" s="509"/>
      <c r="F21" s="509"/>
      <c r="G21" s="509"/>
      <c r="H21" s="509"/>
      <c r="I21" s="501"/>
      <c r="J21" s="746"/>
      <c r="K21" s="746"/>
      <c r="L21" s="501"/>
      <c r="M21" s="738"/>
      <c r="N21" s="738"/>
      <c r="O21" s="738"/>
      <c r="P21" s="738"/>
      <c r="Q21" s="738"/>
      <c r="R21" s="738"/>
      <c r="S21" s="738"/>
      <c r="T21" s="738"/>
      <c r="U21" s="738"/>
      <c r="V21" s="738"/>
      <c r="W21" s="738"/>
      <c r="X21" s="738"/>
      <c r="Y21" s="571"/>
      <c r="Z21" s="572"/>
      <c r="AA21" s="572"/>
      <c r="AB21" s="516"/>
      <c r="AC21" s="500" t="s">
        <v>437</v>
      </c>
      <c r="AE21" s="498" t="s">
        <v>470</v>
      </c>
      <c r="AR21" s="511"/>
      <c r="AS21" s="511"/>
      <c r="AU21" s="532" t="s">
        <v>383</v>
      </c>
      <c r="AV21" s="533">
        <f t="shared" ref="AV21:BG21" si="0">IF(ISBLANK(M18),1,0)</f>
        <v>1</v>
      </c>
      <c r="AW21" s="533">
        <f t="shared" si="0"/>
        <v>1</v>
      </c>
      <c r="AX21" s="533">
        <f t="shared" si="0"/>
        <v>1</v>
      </c>
      <c r="AY21" s="533">
        <f t="shared" si="0"/>
        <v>1</v>
      </c>
      <c r="AZ21" s="533">
        <f t="shared" si="0"/>
        <v>1</v>
      </c>
      <c r="BA21" s="533">
        <f t="shared" si="0"/>
        <v>1</v>
      </c>
      <c r="BB21" s="533">
        <f t="shared" si="0"/>
        <v>1</v>
      </c>
      <c r="BC21" s="533">
        <f t="shared" si="0"/>
        <v>1</v>
      </c>
      <c r="BD21" s="533">
        <f t="shared" si="0"/>
        <v>1</v>
      </c>
      <c r="BE21" s="533">
        <f t="shared" si="0"/>
        <v>1</v>
      </c>
      <c r="BF21" s="533">
        <f t="shared" si="0"/>
        <v>1</v>
      </c>
      <c r="BG21" s="533">
        <f t="shared" si="0"/>
        <v>1</v>
      </c>
      <c r="BI21" s="498" t="s">
        <v>415</v>
      </c>
      <c r="CE21" s="516"/>
    </row>
    <row r="22" spans="1:83" ht="11.25" customHeight="1">
      <c r="A22" s="571"/>
      <c r="B22" s="734" t="s">
        <v>551</v>
      </c>
      <c r="C22" s="734"/>
      <c r="D22" s="734"/>
      <c r="E22" s="734"/>
      <c r="F22" s="735"/>
      <c r="G22" s="729" t="s">
        <v>462</v>
      </c>
      <c r="H22" s="730"/>
      <c r="I22" s="501"/>
      <c r="J22" s="510" t="s">
        <v>461</v>
      </c>
      <c r="K22" s="509"/>
      <c r="L22" s="501"/>
      <c r="M22" s="758" t="s">
        <v>457</v>
      </c>
      <c r="N22" s="759"/>
      <c r="O22" s="759"/>
      <c r="P22" s="759"/>
      <c r="Q22" s="759"/>
      <c r="R22" s="759"/>
      <c r="S22" s="759"/>
      <c r="T22" s="759"/>
      <c r="U22" s="759"/>
      <c r="V22" s="759"/>
      <c r="W22" s="759"/>
      <c r="X22" s="759"/>
      <c r="Y22" s="571"/>
      <c r="Z22" s="572"/>
      <c r="AA22" s="572"/>
      <c r="AB22" s="516"/>
      <c r="AC22" s="500" t="s">
        <v>438</v>
      </c>
      <c r="AE22" s="534" t="s">
        <v>472</v>
      </c>
      <c r="AR22" s="511"/>
      <c r="AS22" s="511"/>
      <c r="AU22" s="532" t="s">
        <v>418</v>
      </c>
      <c r="AV22" s="533">
        <f t="shared" ref="AV22:BG22" si="1">IF(ISBLANK(M23),1,0)</f>
        <v>1</v>
      </c>
      <c r="AW22" s="533">
        <f t="shared" si="1"/>
        <v>1</v>
      </c>
      <c r="AX22" s="533">
        <f t="shared" si="1"/>
        <v>1</v>
      </c>
      <c r="AY22" s="533">
        <f t="shared" si="1"/>
        <v>1</v>
      </c>
      <c r="AZ22" s="533">
        <f t="shared" si="1"/>
        <v>1</v>
      </c>
      <c r="BA22" s="533">
        <f t="shared" si="1"/>
        <v>1</v>
      </c>
      <c r="BB22" s="533">
        <f t="shared" si="1"/>
        <v>1</v>
      </c>
      <c r="BC22" s="533">
        <f t="shared" si="1"/>
        <v>1</v>
      </c>
      <c r="BD22" s="533">
        <f t="shared" si="1"/>
        <v>1</v>
      </c>
      <c r="BE22" s="533">
        <f t="shared" si="1"/>
        <v>1</v>
      </c>
      <c r="BF22" s="533">
        <f t="shared" si="1"/>
        <v>1</v>
      </c>
      <c r="BG22" s="533">
        <f t="shared" si="1"/>
        <v>1</v>
      </c>
      <c r="BI22" s="497" t="s">
        <v>414</v>
      </c>
      <c r="CE22" s="516"/>
    </row>
    <row r="23" spans="1:83" ht="11.25" customHeight="1">
      <c r="A23" s="571"/>
      <c r="B23" s="734"/>
      <c r="C23" s="734"/>
      <c r="D23" s="734"/>
      <c r="E23" s="734"/>
      <c r="F23" s="735"/>
      <c r="G23" s="731" t="s">
        <v>464</v>
      </c>
      <c r="H23" s="731" t="s">
        <v>465</v>
      </c>
      <c r="I23" s="501"/>
      <c r="J23" s="536" t="s">
        <v>460</v>
      </c>
      <c r="K23" s="577">
        <v>0.02</v>
      </c>
      <c r="L23" s="501" t="s">
        <v>394</v>
      </c>
      <c r="M23" s="635"/>
      <c r="N23" s="635"/>
      <c r="O23" s="635"/>
      <c r="P23" s="635"/>
      <c r="Q23" s="635"/>
      <c r="R23" s="635"/>
      <c r="S23" s="635"/>
      <c r="T23" s="635"/>
      <c r="U23" s="635"/>
      <c r="V23" s="635"/>
      <c r="W23" s="635"/>
      <c r="X23" s="635"/>
      <c r="Y23" s="571"/>
      <c r="Z23" s="572"/>
      <c r="AA23" s="572"/>
      <c r="AB23" s="516"/>
      <c r="AC23" s="500" t="s">
        <v>440</v>
      </c>
      <c r="AE23" s="781" t="str">
        <f>G23</f>
        <v>Existing (incl altered) glazing</v>
      </c>
      <c r="AF23" s="785" t="str">
        <f>H23</f>
        <v>Existing glazing AND part of building work</v>
      </c>
      <c r="AG23" s="775"/>
      <c r="AH23" s="776"/>
      <c r="AR23" s="511" t="s">
        <v>402</v>
      </c>
      <c r="AS23" s="511"/>
      <c r="AU23" s="532" t="s">
        <v>419</v>
      </c>
      <c r="AV23" s="533">
        <f t="shared" ref="AV23:BG23" si="2">IF(ISBLANK(M25),1,0)</f>
        <v>1</v>
      </c>
      <c r="AW23" s="533">
        <f t="shared" si="2"/>
        <v>1</v>
      </c>
      <c r="AX23" s="533">
        <f t="shared" si="2"/>
        <v>1</v>
      </c>
      <c r="AY23" s="533">
        <f t="shared" si="2"/>
        <v>1</v>
      </c>
      <c r="AZ23" s="533">
        <f t="shared" si="2"/>
        <v>1</v>
      </c>
      <c r="BA23" s="533">
        <f t="shared" si="2"/>
        <v>1</v>
      </c>
      <c r="BB23" s="533">
        <f t="shared" si="2"/>
        <v>1</v>
      </c>
      <c r="BC23" s="533">
        <f t="shared" si="2"/>
        <v>1</v>
      </c>
      <c r="BD23" s="533">
        <f t="shared" si="2"/>
        <v>1</v>
      </c>
      <c r="BE23" s="533">
        <f t="shared" si="2"/>
        <v>1</v>
      </c>
      <c r="BF23" s="533">
        <f t="shared" si="2"/>
        <v>1</v>
      </c>
      <c r="BG23" s="533">
        <f t="shared" si="2"/>
        <v>1</v>
      </c>
      <c r="BW23" s="537" t="s">
        <v>558</v>
      </c>
      <c r="BX23" s="537"/>
      <c r="BY23" s="640" t="s">
        <v>559</v>
      </c>
      <c r="BZ23" s="537"/>
      <c r="CE23" s="516"/>
    </row>
    <row r="24" spans="1:83" ht="11.25" customHeight="1" thickBot="1">
      <c r="A24" s="571"/>
      <c r="B24" s="614"/>
      <c r="C24" s="614"/>
      <c r="D24" s="614"/>
      <c r="E24" s="614"/>
      <c r="F24" s="614"/>
      <c r="G24" s="732"/>
      <c r="H24" s="732"/>
      <c r="I24" s="501"/>
      <c r="J24" s="510"/>
      <c r="K24" s="509"/>
      <c r="L24" s="501"/>
      <c r="M24" s="756" t="s">
        <v>458</v>
      </c>
      <c r="N24" s="757"/>
      <c r="O24" s="757"/>
      <c r="P24" s="757"/>
      <c r="Q24" s="757"/>
      <c r="R24" s="757"/>
      <c r="S24" s="757"/>
      <c r="T24" s="757"/>
      <c r="U24" s="757"/>
      <c r="V24" s="757"/>
      <c r="W24" s="757"/>
      <c r="X24" s="757"/>
      <c r="Y24" s="571"/>
      <c r="Z24" s="572"/>
      <c r="AA24" s="572"/>
      <c r="AB24" s="516"/>
      <c r="AC24" s="500" t="s">
        <v>441</v>
      </c>
      <c r="AE24" s="782"/>
      <c r="AF24" s="784"/>
      <c r="AG24" s="777"/>
      <c r="AH24" s="778"/>
      <c r="AR24" s="511"/>
      <c r="AS24" s="511" t="e">
        <f>AS14-AS19</f>
        <v>#VALUE!</v>
      </c>
      <c r="AV24" s="538">
        <f t="shared" ref="AV24:BG24" si="3">SUM(AV21:AV23)</f>
        <v>3</v>
      </c>
      <c r="AW24" s="538">
        <f t="shared" si="3"/>
        <v>3</v>
      </c>
      <c r="AX24" s="538">
        <f t="shared" si="3"/>
        <v>3</v>
      </c>
      <c r="AY24" s="538">
        <f t="shared" si="3"/>
        <v>3</v>
      </c>
      <c r="AZ24" s="538">
        <f t="shared" si="3"/>
        <v>3</v>
      </c>
      <c r="BA24" s="538">
        <f t="shared" si="3"/>
        <v>3</v>
      </c>
      <c r="BB24" s="538">
        <f t="shared" si="3"/>
        <v>3</v>
      </c>
      <c r="BC24" s="538">
        <f t="shared" si="3"/>
        <v>3</v>
      </c>
      <c r="BD24" s="538">
        <f t="shared" si="3"/>
        <v>3</v>
      </c>
      <c r="BE24" s="538">
        <f t="shared" si="3"/>
        <v>3</v>
      </c>
      <c r="BF24" s="538">
        <f t="shared" si="3"/>
        <v>3</v>
      </c>
      <c r="BG24" s="538">
        <f t="shared" si="3"/>
        <v>3</v>
      </c>
      <c r="BI24" s="497" t="s">
        <v>386</v>
      </c>
      <c r="BJ24" s="497" t="s">
        <v>411</v>
      </c>
      <c r="BK24" s="497" t="s">
        <v>412</v>
      </c>
      <c r="BL24" s="497" t="s">
        <v>413</v>
      </c>
      <c r="BT24" s="498" t="s">
        <v>423</v>
      </c>
      <c r="BW24" s="641" t="s">
        <v>499</v>
      </c>
      <c r="BX24" s="642" t="s">
        <v>228</v>
      </c>
      <c r="BY24" s="643" t="s">
        <v>499</v>
      </c>
      <c r="BZ24" s="644" t="s">
        <v>228</v>
      </c>
      <c r="CE24" s="516"/>
    </row>
    <row r="25" spans="1:83" ht="11.25" customHeight="1">
      <c r="A25" s="571"/>
      <c r="B25" s="615"/>
      <c r="C25" s="615"/>
      <c r="D25" s="615"/>
      <c r="E25" s="615"/>
      <c r="F25" s="615"/>
      <c r="G25" s="732"/>
      <c r="H25" s="732"/>
      <c r="I25" s="501"/>
      <c r="J25" s="510" t="s">
        <v>536</v>
      </c>
      <c r="K25" s="509"/>
      <c r="L25" s="501"/>
      <c r="M25" s="573"/>
      <c r="N25" s="573"/>
      <c r="O25" s="573"/>
      <c r="P25" s="573"/>
      <c r="Q25" s="573"/>
      <c r="R25" s="573"/>
      <c r="S25" s="573"/>
      <c r="T25" s="573"/>
      <c r="U25" s="573"/>
      <c r="V25" s="573"/>
      <c r="W25" s="573"/>
      <c r="X25" s="573"/>
      <c r="Y25" s="571"/>
      <c r="Z25" s="572"/>
      <c r="AA25" s="572"/>
      <c r="AB25" s="516"/>
      <c r="AC25" s="500" t="s">
        <v>451</v>
      </c>
      <c r="AE25" s="782"/>
      <c r="AF25" s="784"/>
      <c r="AG25" s="777"/>
      <c r="AH25" s="778"/>
      <c r="BF25" s="532" t="s">
        <v>475</v>
      </c>
      <c r="BG25" s="539">
        <f>SUM(AV24:BG24)</f>
        <v>36</v>
      </c>
      <c r="BJ25" s="514" t="s">
        <v>404</v>
      </c>
      <c r="BQ25" s="505" t="s">
        <v>560</v>
      </c>
      <c r="BT25" s="514" t="s">
        <v>561</v>
      </c>
      <c r="BW25" s="514" t="s">
        <v>562</v>
      </c>
      <c r="CE25" s="516"/>
    </row>
    <row r="26" spans="1:83" ht="11.25" customHeight="1">
      <c r="A26" s="571"/>
      <c r="B26" s="728" t="s">
        <v>463</v>
      </c>
      <c r="C26" s="728"/>
      <c r="D26" s="728"/>
      <c r="E26" s="728"/>
      <c r="F26" s="615"/>
      <c r="G26" s="732"/>
      <c r="H26" s="732"/>
      <c r="I26" s="501"/>
      <c r="J26" s="767" t="s">
        <v>443</v>
      </c>
      <c r="K26" s="767" t="s">
        <v>444</v>
      </c>
      <c r="L26" s="765" t="s">
        <v>442</v>
      </c>
      <c r="M26" s="744" t="s">
        <v>549</v>
      </c>
      <c r="N26" s="745"/>
      <c r="O26" s="745"/>
      <c r="P26" s="745"/>
      <c r="Q26" s="745"/>
      <c r="R26" s="745"/>
      <c r="S26" s="745"/>
      <c r="T26" s="745"/>
      <c r="U26" s="745"/>
      <c r="V26" s="745"/>
      <c r="W26" s="745"/>
      <c r="X26" s="745"/>
      <c r="Y26" s="571"/>
      <c r="Z26" s="572"/>
      <c r="AA26" s="572"/>
      <c r="AB26" s="503" t="s">
        <v>466</v>
      </c>
      <c r="AC26" s="504"/>
      <c r="AE26" s="782"/>
      <c r="AF26" s="784"/>
      <c r="AG26" s="777"/>
      <c r="AH26" s="778"/>
      <c r="AI26" s="775" t="str">
        <f>J26</f>
        <v>Height (m)</v>
      </c>
      <c r="AJ26" s="775"/>
      <c r="AK26" s="776"/>
      <c r="AL26" s="784" t="str">
        <f>K26</f>
        <v>Width (%)</v>
      </c>
      <c r="AM26" s="777"/>
      <c r="AN26" s="777"/>
      <c r="AO26" s="777"/>
      <c r="AP26" s="774" t="s">
        <v>471</v>
      </c>
      <c r="BJ26" s="499" t="s">
        <v>405</v>
      </c>
      <c r="BK26" s="499" t="s">
        <v>406</v>
      </c>
      <c r="BL26" s="499" t="s">
        <v>407</v>
      </c>
      <c r="BP26" s="645" t="s">
        <v>386</v>
      </c>
      <c r="BQ26" s="500">
        <v>1</v>
      </c>
      <c r="BR26" s="516" t="s">
        <v>563</v>
      </c>
      <c r="BS26" s="500" t="str">
        <f>$AC$51</f>
        <v>No</v>
      </c>
      <c r="BT26" s="500" t="str">
        <f>CONCATENATE(BQ26,BR26,BS26)</f>
        <v>1DirectNo</v>
      </c>
      <c r="BU26" s="500"/>
      <c r="BV26" s="500"/>
      <c r="BW26" s="506">
        <v>1.0900000000000001</v>
      </c>
      <c r="BX26" s="646">
        <v>2.94</v>
      </c>
      <c r="BY26" s="647">
        <v>1</v>
      </c>
      <c r="BZ26" s="648">
        <v>1</v>
      </c>
      <c r="CE26" s="516"/>
    </row>
    <row r="27" spans="1:83" ht="11.25" customHeight="1">
      <c r="A27" s="571"/>
      <c r="B27" s="728"/>
      <c r="C27" s="728"/>
      <c r="D27" s="728"/>
      <c r="E27" s="728"/>
      <c r="F27" s="615"/>
      <c r="G27" s="732"/>
      <c r="H27" s="732"/>
      <c r="I27" s="501"/>
      <c r="J27" s="768"/>
      <c r="K27" s="768"/>
      <c r="L27" s="765"/>
      <c r="M27" s="636" t="str">
        <f t="shared" ref="M27:X27" si="4">IF($B$11=$AC$42,"",IF(AND(AV24=0,OR($B$16=$BI$87,OR($B$16=$BI$88,$B$16=$BI$89))),5%,IF(AV24=0,INDEX(BC_AirMove,MATCH(Zone,BC_WAZones,0),MATCH(M25,BC_FanEvap,0)),"")))</f>
        <v/>
      </c>
      <c r="N27" s="637" t="str">
        <f t="shared" si="4"/>
        <v/>
      </c>
      <c r="O27" s="637" t="str">
        <f t="shared" si="4"/>
        <v/>
      </c>
      <c r="P27" s="637" t="str">
        <f t="shared" si="4"/>
        <v/>
      </c>
      <c r="Q27" s="637" t="str">
        <f t="shared" si="4"/>
        <v/>
      </c>
      <c r="R27" s="637" t="str">
        <f t="shared" si="4"/>
        <v/>
      </c>
      <c r="S27" s="637" t="str">
        <f t="shared" si="4"/>
        <v/>
      </c>
      <c r="T27" s="637" t="str">
        <f t="shared" si="4"/>
        <v/>
      </c>
      <c r="U27" s="637" t="str">
        <f t="shared" si="4"/>
        <v/>
      </c>
      <c r="V27" s="637" t="str">
        <f t="shared" si="4"/>
        <v/>
      </c>
      <c r="W27" s="637" t="str">
        <f t="shared" si="4"/>
        <v/>
      </c>
      <c r="X27" s="637" t="str">
        <f t="shared" si="4"/>
        <v/>
      </c>
      <c r="Y27" s="571"/>
      <c r="Z27" s="572"/>
      <c r="AA27" s="572"/>
      <c r="AB27" s="516"/>
      <c r="AC27" s="500" t="s">
        <v>468</v>
      </c>
      <c r="AE27" s="782"/>
      <c r="AF27" s="784"/>
      <c r="AG27" s="777"/>
      <c r="AH27" s="778"/>
      <c r="AI27" s="777"/>
      <c r="AJ27" s="777"/>
      <c r="AK27" s="778"/>
      <c r="AL27" s="784"/>
      <c r="AM27" s="777"/>
      <c r="AN27" s="777"/>
      <c r="AO27" s="777"/>
      <c r="AP27" s="774"/>
      <c r="AR27" s="498" t="s">
        <v>395</v>
      </c>
      <c r="AV27" s="497" t="s">
        <v>408</v>
      </c>
      <c r="BI27" s="514" t="s">
        <v>409</v>
      </c>
      <c r="BJ27" s="514" t="s">
        <v>410</v>
      </c>
      <c r="BN27" s="505" t="s">
        <v>503</v>
      </c>
      <c r="BQ27" s="500">
        <v>1</v>
      </c>
      <c r="BR27" s="500" t="str">
        <f>$BR$26</f>
        <v>Direct</v>
      </c>
      <c r="BS27" s="500" t="str">
        <f>$AC$50</f>
        <v>Yes</v>
      </c>
      <c r="BT27" s="500" t="str">
        <f t="shared" ref="BT27:BT45" si="5">CONCATENATE(BQ27,BR27,BS27)</f>
        <v>1DirectYes</v>
      </c>
      <c r="BU27" s="500"/>
      <c r="BV27" s="500"/>
      <c r="BW27" s="506">
        <v>1.0900000000000001</v>
      </c>
      <c r="BX27" s="646">
        <v>2.99</v>
      </c>
      <c r="BY27" s="647"/>
      <c r="BZ27" s="648"/>
      <c r="CE27" s="516"/>
    </row>
    <row r="28" spans="1:83" ht="11.25" customHeight="1" thickBot="1">
      <c r="A28" s="571"/>
      <c r="B28" s="616" t="s">
        <v>390</v>
      </c>
      <c r="C28" s="616"/>
      <c r="D28" s="616" t="s">
        <v>383</v>
      </c>
      <c r="E28" s="616" t="s">
        <v>391</v>
      </c>
      <c r="F28" s="616" t="s">
        <v>392</v>
      </c>
      <c r="G28" s="733"/>
      <c r="H28" s="733"/>
      <c r="I28" s="542"/>
      <c r="J28" s="769"/>
      <c r="K28" s="769"/>
      <c r="L28" s="766"/>
      <c r="M28" s="742" t="s">
        <v>459</v>
      </c>
      <c r="N28" s="743"/>
      <c r="O28" s="743"/>
      <c r="P28" s="743"/>
      <c r="Q28" s="743"/>
      <c r="R28" s="743"/>
      <c r="S28" s="743"/>
      <c r="T28" s="743"/>
      <c r="U28" s="743"/>
      <c r="V28" s="743"/>
      <c r="W28" s="743"/>
      <c r="X28" s="743"/>
      <c r="Y28" s="571"/>
      <c r="Z28" s="572"/>
      <c r="AA28" s="572"/>
      <c r="AB28" s="516"/>
      <c r="AC28" s="500" t="s">
        <v>480</v>
      </c>
      <c r="AE28" s="783"/>
      <c r="AF28" s="786"/>
      <c r="AG28" s="779"/>
      <c r="AH28" s="780"/>
      <c r="AI28" s="779"/>
      <c r="AJ28" s="779"/>
      <c r="AK28" s="780"/>
      <c r="AL28" s="784"/>
      <c r="AM28" s="777"/>
      <c r="AN28" s="777"/>
      <c r="AO28" s="777"/>
      <c r="AP28" s="774"/>
      <c r="AR28" s="497" t="s">
        <v>398</v>
      </c>
      <c r="AS28" s="497" t="s">
        <v>396</v>
      </c>
      <c r="AT28" s="497" t="s">
        <v>397</v>
      </c>
      <c r="AV28" s="497">
        <v>1</v>
      </c>
      <c r="AW28" s="497">
        <v>2</v>
      </c>
      <c r="AX28" s="497">
        <v>3</v>
      </c>
      <c r="AY28" s="497">
        <v>4</v>
      </c>
      <c r="AZ28" s="497">
        <v>5</v>
      </c>
      <c r="BA28" s="497">
        <v>6</v>
      </c>
      <c r="BB28" s="497">
        <v>7</v>
      </c>
      <c r="BC28" s="497">
        <v>8</v>
      </c>
      <c r="BD28" s="497">
        <v>9</v>
      </c>
      <c r="BE28" s="497">
        <v>10</v>
      </c>
      <c r="BF28" s="497">
        <v>11</v>
      </c>
      <c r="BG28" s="497">
        <v>12</v>
      </c>
      <c r="BI28" s="500">
        <v>1</v>
      </c>
      <c r="BJ28" s="543">
        <v>0.1</v>
      </c>
      <c r="BK28" s="543">
        <v>7.4999999999999997E-2</v>
      </c>
      <c r="BL28" s="543">
        <v>0.1</v>
      </c>
      <c r="BN28" s="505" t="s">
        <v>510</v>
      </c>
      <c r="BO28" s="505" t="s">
        <v>393</v>
      </c>
      <c r="BQ28" s="500">
        <v>1</v>
      </c>
      <c r="BR28" s="516" t="s">
        <v>564</v>
      </c>
      <c r="BS28" s="500" t="str">
        <f>$AC$51</f>
        <v>No</v>
      </c>
      <c r="BT28" s="500" t="str">
        <f t="shared" si="5"/>
        <v>1SuspendedNo</v>
      </c>
      <c r="BU28" s="500"/>
      <c r="BV28" s="500"/>
      <c r="BW28" s="506">
        <v>1.21</v>
      </c>
      <c r="BX28" s="646">
        <v>2.64</v>
      </c>
      <c r="BY28" s="647"/>
      <c r="BZ28" s="648"/>
      <c r="CB28" s="505"/>
      <c r="CE28" s="516"/>
    </row>
    <row r="29" spans="1:83" ht="11.25" customHeight="1">
      <c r="A29" s="571"/>
      <c r="B29" s="617">
        <f>IF(ISBLANK(Calculator!C37),"",Calculator!C37)</f>
        <v>1</v>
      </c>
      <c r="C29" s="761" t="str">
        <f>IF(ISBLANK(Calculator!D37),"",Calculator!D37)</f>
        <v/>
      </c>
      <c r="D29" s="762"/>
      <c r="E29" s="618" t="str">
        <f>IF(ISBLANK(Calculator!G37),"",Calculator!G37)</f>
        <v/>
      </c>
      <c r="F29" s="619" t="str">
        <f>IF(ISBLANK(Calculator!H37),"",Calculator!H37)</f>
        <v/>
      </c>
      <c r="G29" s="575"/>
      <c r="H29" s="576"/>
      <c r="I29" s="501"/>
      <c r="J29" s="578"/>
      <c r="K29" s="579"/>
      <c r="L29" s="544" t="str">
        <f t="shared" ref="L29:L68" si="6">IF(OR(E29="",F29=""),"",AT29)</f>
        <v/>
      </c>
      <c r="M29" s="582"/>
      <c r="N29" s="582"/>
      <c r="O29" s="582"/>
      <c r="P29" s="582"/>
      <c r="Q29" s="582"/>
      <c r="R29" s="582"/>
      <c r="S29" s="582"/>
      <c r="T29" s="582"/>
      <c r="U29" s="582"/>
      <c r="V29" s="582"/>
      <c r="W29" s="582"/>
      <c r="X29" s="582"/>
      <c r="Y29" s="571"/>
      <c r="Z29" s="572"/>
      <c r="AA29" s="572"/>
      <c r="AB29" s="516"/>
      <c r="AC29" s="500" t="s">
        <v>479</v>
      </c>
      <c r="AE29" s="500" t="b">
        <f t="shared" ref="AE29:AE68" si="7">AND(ISERROR(E29*F29),G29=$AC$13)</f>
        <v>0</v>
      </c>
      <c r="AF29" s="500" t="b">
        <f>AND(ISBLANK(H29),G29=$AC$13)</f>
        <v>0</v>
      </c>
      <c r="AG29" s="500" t="b">
        <f>AND(H29=$AC$51,ISBLANK(G29))</f>
        <v>0</v>
      </c>
      <c r="AH29" s="500" t="b">
        <f>AND(H29=$AC$50,ISBLANK(G29))</f>
        <v>0</v>
      </c>
      <c r="AI29" s="500" t="b">
        <f t="shared" ref="AI29:AI68" si="8">J29&gt;E29</f>
        <v>0</v>
      </c>
      <c r="AJ29" s="500" t="b">
        <f t="shared" ref="AJ29:AJ68" si="9">AND(ISNUMBER(J29),E29="")</f>
        <v>0</v>
      </c>
      <c r="AK29" s="500" t="b">
        <f t="shared" ref="AK29:AK68" si="10">AND(ISNUMBER(J29),H29=$AC$51)</f>
        <v>0</v>
      </c>
      <c r="AL29" s="500" t="b">
        <f t="shared" ref="AL29:AL68" si="11">AND(ISNUMBER(K29),F29="")</f>
        <v>0</v>
      </c>
      <c r="AM29" s="500" t="b">
        <f t="shared" ref="AM29:AM68" si="12">AND(ISNUMBER(K29),H29=$AC$51)</f>
        <v>0</v>
      </c>
      <c r="AN29" s="500" t="b">
        <f t="shared" ref="AN29:AN68" si="13">AND(ISBLANK(K29),COUNTIF(M29:X29,$AC$14)&gt;0)</f>
        <v>0</v>
      </c>
      <c r="AO29" s="500" t="b">
        <f t="shared" ref="AO29:AO68" si="14">AND(ISNUMBER(K29),COUNTIF(M29:X29,$AC$14)=0)</f>
        <v>0</v>
      </c>
      <c r="AP29" s="500" t="b">
        <f t="shared" ref="AP29:AP68" si="15">COUNTIF(M29:X29,$AC$14)&gt;1</f>
        <v>0</v>
      </c>
      <c r="AR29" s="545">
        <f t="shared" ref="AR29:AR68" si="16">IF(OR(E29="",F29=""),0,IF(H29=$AC$51,0,IF(OR(E29="",ISBLANK(K29)),0,IF(ISNUMBER(J29),J29*K29*F29,E29*K29*F29))))</f>
        <v>0</v>
      </c>
      <c r="AS29" s="545">
        <f t="shared" ref="AS29:AS68" si="17">IF(OR(E29="",F29=""),0,IF(H29=$AC$51,0,IF(OR(E29="",OR(ISBLANK(K29),K29=0)),0,IF(ISNUMBER(J29),$K$23*((J29*2)+(K29*F29*2)),$K$23*((E29*2)+(K29*F29*2))))))</f>
        <v>0</v>
      </c>
      <c r="AT29" s="545">
        <f>AR29-AS29</f>
        <v>0</v>
      </c>
      <c r="AU29" s="546"/>
      <c r="AV29" s="547">
        <f t="shared" ref="AV29:AV68" si="18">IF(M29=$AC$14,$AT29,0)</f>
        <v>0</v>
      </c>
      <c r="AW29" s="547">
        <f t="shared" ref="AW29:AW68" si="19">IF(N29=$AC$14,$AT29,0)</f>
        <v>0</v>
      </c>
      <c r="AX29" s="547">
        <f t="shared" ref="AX29:AX68" si="20">IF(O29=$AC$14,$AT29,0)</f>
        <v>0</v>
      </c>
      <c r="AY29" s="547">
        <f t="shared" ref="AY29:AY68" si="21">IF(P29=$AC$14,$AT29,0)</f>
        <v>0</v>
      </c>
      <c r="AZ29" s="547">
        <f t="shared" ref="AZ29:AZ68" si="22">IF(Q29=$AC$14,$AT29,0)</f>
        <v>0</v>
      </c>
      <c r="BA29" s="547">
        <f t="shared" ref="BA29:BA68" si="23">IF(R29=$AC$14,$AT29,0)</f>
        <v>0</v>
      </c>
      <c r="BB29" s="547">
        <f t="shared" ref="BB29:BB68" si="24">IF(S29=$AC$14,$AT29,0)</f>
        <v>0</v>
      </c>
      <c r="BC29" s="547">
        <f t="shared" ref="BC29:BC68" si="25">IF(T29=$AC$14,$AT29,0)</f>
        <v>0</v>
      </c>
      <c r="BD29" s="547">
        <f t="shared" ref="BD29:BD68" si="26">IF(U29=$AC$14,$AT29,0)</f>
        <v>0</v>
      </c>
      <c r="BE29" s="547">
        <f t="shared" ref="BE29:BE68" si="27">IF(V29=$AC$14,$AT29,0)</f>
        <v>0</v>
      </c>
      <c r="BF29" s="547">
        <f t="shared" ref="BF29:BF68" si="28">IF(W29=$AC$14,$AT29,0)</f>
        <v>0</v>
      </c>
      <c r="BG29" s="547">
        <f t="shared" ref="BG29:BG68" si="29">IF(X29=$AC$14,$AT29,0)</f>
        <v>0</v>
      </c>
      <c r="BI29" s="500">
        <v>3</v>
      </c>
      <c r="BJ29" s="543">
        <v>0.1</v>
      </c>
      <c r="BK29" s="543">
        <v>7.4999999999999997E-2</v>
      </c>
      <c r="BL29" s="543">
        <v>7.4999999999999997E-2</v>
      </c>
      <c r="BN29" s="527">
        <f t="shared" ref="BN29:BN68" si="30">IF(OR(E29="",F29=""),0,E29*F29)</f>
        <v>0</v>
      </c>
      <c r="BO29" s="527">
        <f t="shared" ref="BO29:BO68" si="31">IF(OR(E29="",F29=""),0,IF(ISBLANK(G29),0,E29*F29))</f>
        <v>0</v>
      </c>
      <c r="BQ29" s="500">
        <v>1</v>
      </c>
      <c r="BR29" s="500" t="str">
        <f>$BR$28</f>
        <v>Suspended</v>
      </c>
      <c r="BS29" s="500" t="str">
        <f>$AC$50</f>
        <v>Yes</v>
      </c>
      <c r="BT29" s="500" t="str">
        <f t="shared" si="5"/>
        <v>1SuspendedYes</v>
      </c>
      <c r="BU29" s="500"/>
      <c r="BV29" s="500"/>
      <c r="BW29" s="506">
        <v>1.21</v>
      </c>
      <c r="BX29" s="646">
        <v>3.3</v>
      </c>
      <c r="BY29" s="647"/>
      <c r="BZ29" s="648"/>
      <c r="CB29" s="639"/>
      <c r="CE29" s="516"/>
    </row>
    <row r="30" spans="1:83" ht="11.25" customHeight="1">
      <c r="A30" s="571"/>
      <c r="B30" s="620">
        <f>IF(ISBLANK(Calculator!C38),"",Calculator!C38)</f>
        <v>2</v>
      </c>
      <c r="C30" s="726" t="str">
        <f>IF(ISBLANK(Calculator!D38),"",Calculator!D38)</f>
        <v/>
      </c>
      <c r="D30" s="727"/>
      <c r="E30" s="618" t="str">
        <f>IF(ISBLANK(Calculator!G38),"",Calculator!G38)</f>
        <v/>
      </c>
      <c r="F30" s="619" t="str">
        <f>IF(ISBLANK(Calculator!H38),"",Calculator!H38)</f>
        <v/>
      </c>
      <c r="G30" s="574"/>
      <c r="H30" s="577"/>
      <c r="I30" s="501"/>
      <c r="J30" s="580"/>
      <c r="K30" s="581"/>
      <c r="L30" s="544" t="str">
        <f t="shared" si="6"/>
        <v/>
      </c>
      <c r="M30" s="582"/>
      <c r="N30" s="582"/>
      <c r="O30" s="582"/>
      <c r="P30" s="582"/>
      <c r="Q30" s="582"/>
      <c r="R30" s="582"/>
      <c r="S30" s="582"/>
      <c r="T30" s="582"/>
      <c r="U30" s="582"/>
      <c r="V30" s="582"/>
      <c r="W30" s="582"/>
      <c r="X30" s="582"/>
      <c r="Y30" s="571"/>
      <c r="Z30" s="572"/>
      <c r="AA30" s="572"/>
      <c r="AB30" s="516"/>
      <c r="AC30" s="569" t="s">
        <v>518</v>
      </c>
      <c r="AE30" s="500" t="b">
        <f t="shared" si="7"/>
        <v>0</v>
      </c>
      <c r="AF30" s="500" t="b">
        <f t="shared" ref="AF30:AF68" si="32">AND(ISBLANK(H30),G30=$AC$13)</f>
        <v>0</v>
      </c>
      <c r="AG30" s="500" t="b">
        <f t="shared" ref="AG30:AG68" si="33">AND(H30=$AC$51,ISBLANK(G30))</f>
        <v>0</v>
      </c>
      <c r="AH30" s="500" t="b">
        <f t="shared" ref="AH30:AH68" si="34">AND(H30=$AC$50,ISBLANK(G30))</f>
        <v>0</v>
      </c>
      <c r="AI30" s="500" t="b">
        <f t="shared" si="8"/>
        <v>0</v>
      </c>
      <c r="AJ30" s="500" t="b">
        <f t="shared" si="9"/>
        <v>0</v>
      </c>
      <c r="AK30" s="500" t="b">
        <f t="shared" si="10"/>
        <v>0</v>
      </c>
      <c r="AL30" s="500" t="b">
        <f t="shared" si="11"/>
        <v>0</v>
      </c>
      <c r="AM30" s="500" t="b">
        <f t="shared" si="12"/>
        <v>0</v>
      </c>
      <c r="AN30" s="500" t="b">
        <f t="shared" si="13"/>
        <v>0</v>
      </c>
      <c r="AO30" s="500" t="b">
        <f t="shared" si="14"/>
        <v>0</v>
      </c>
      <c r="AP30" s="500" t="b">
        <f t="shared" si="15"/>
        <v>0</v>
      </c>
      <c r="AR30" s="545">
        <f t="shared" si="16"/>
        <v>0</v>
      </c>
      <c r="AS30" s="545">
        <f t="shared" si="17"/>
        <v>0</v>
      </c>
      <c r="AT30" s="545">
        <f t="shared" ref="AT30:AT80" si="35">AR30-AS30</f>
        <v>0</v>
      </c>
      <c r="AU30" s="546"/>
      <c r="AV30" s="547">
        <f t="shared" si="18"/>
        <v>0</v>
      </c>
      <c r="AW30" s="547">
        <f t="shared" si="19"/>
        <v>0</v>
      </c>
      <c r="AX30" s="547">
        <f t="shared" si="20"/>
        <v>0</v>
      </c>
      <c r="AY30" s="547">
        <f t="shared" si="21"/>
        <v>0</v>
      </c>
      <c r="AZ30" s="547">
        <f t="shared" si="22"/>
        <v>0</v>
      </c>
      <c r="BA30" s="547">
        <f t="shared" si="23"/>
        <v>0</v>
      </c>
      <c r="BB30" s="547">
        <f t="shared" si="24"/>
        <v>0</v>
      </c>
      <c r="BC30" s="547">
        <f t="shared" si="25"/>
        <v>0</v>
      </c>
      <c r="BD30" s="547">
        <f t="shared" si="26"/>
        <v>0</v>
      </c>
      <c r="BE30" s="547">
        <f t="shared" si="27"/>
        <v>0</v>
      </c>
      <c r="BF30" s="547">
        <f t="shared" si="28"/>
        <v>0</v>
      </c>
      <c r="BG30" s="547">
        <f t="shared" si="29"/>
        <v>0</v>
      </c>
      <c r="BI30" s="500">
        <v>4</v>
      </c>
      <c r="BJ30" s="543">
        <v>0.1</v>
      </c>
      <c r="BK30" s="543">
        <v>0.05</v>
      </c>
      <c r="BL30" s="543">
        <v>0.05</v>
      </c>
      <c r="BN30" s="527">
        <f t="shared" si="30"/>
        <v>0</v>
      </c>
      <c r="BO30" s="527">
        <f t="shared" si="31"/>
        <v>0</v>
      </c>
      <c r="BQ30" s="507">
        <v>3</v>
      </c>
      <c r="BR30" s="507" t="str">
        <f>$BR$26</f>
        <v>Direct</v>
      </c>
      <c r="BS30" s="507" t="str">
        <f>$AC$51</f>
        <v>No</v>
      </c>
      <c r="BT30" s="507" t="str">
        <f t="shared" si="5"/>
        <v>3DirectNo</v>
      </c>
      <c r="BU30" s="507"/>
      <c r="BV30" s="507"/>
      <c r="BW30" s="649">
        <v>1.53</v>
      </c>
      <c r="BX30" s="650">
        <v>2.59</v>
      </c>
      <c r="BY30" s="651"/>
      <c r="BZ30" s="652"/>
      <c r="CB30" s="639"/>
      <c r="CE30" s="516"/>
    </row>
    <row r="31" spans="1:83" ht="11.25" customHeight="1">
      <c r="A31" s="571"/>
      <c r="B31" s="620">
        <f>IF(ISBLANK(Calculator!C39),"",Calculator!C39)</f>
        <v>3</v>
      </c>
      <c r="C31" s="726" t="str">
        <f>IF(ISBLANK(Calculator!D39),"",Calculator!D39)</f>
        <v/>
      </c>
      <c r="D31" s="727"/>
      <c r="E31" s="618" t="str">
        <f>IF(ISBLANK(Calculator!G39),"",Calculator!G39)</f>
        <v/>
      </c>
      <c r="F31" s="619" t="str">
        <f>IF(ISBLANK(Calculator!H39),"",Calculator!H39)</f>
        <v/>
      </c>
      <c r="G31" s="574"/>
      <c r="H31" s="577"/>
      <c r="I31" s="501"/>
      <c r="J31" s="580"/>
      <c r="K31" s="581"/>
      <c r="L31" s="544" t="str">
        <f t="shared" si="6"/>
        <v/>
      </c>
      <c r="M31" s="582"/>
      <c r="N31" s="582"/>
      <c r="O31" s="582"/>
      <c r="P31" s="582"/>
      <c r="Q31" s="582"/>
      <c r="R31" s="582"/>
      <c r="S31" s="582"/>
      <c r="T31" s="582"/>
      <c r="U31" s="582"/>
      <c r="V31" s="582"/>
      <c r="W31" s="582"/>
      <c r="X31" s="582"/>
      <c r="Y31" s="571"/>
      <c r="Z31" s="572"/>
      <c r="AA31" s="572"/>
      <c r="AB31" s="516"/>
      <c r="AC31" s="500" t="s">
        <v>515</v>
      </c>
      <c r="AE31" s="500" t="b">
        <f t="shared" si="7"/>
        <v>0</v>
      </c>
      <c r="AF31" s="500" t="b">
        <f t="shared" si="32"/>
        <v>0</v>
      </c>
      <c r="AG31" s="500" t="b">
        <f t="shared" si="33"/>
        <v>0</v>
      </c>
      <c r="AH31" s="500" t="b">
        <f t="shared" si="34"/>
        <v>0</v>
      </c>
      <c r="AI31" s="500" t="b">
        <f t="shared" si="8"/>
        <v>0</v>
      </c>
      <c r="AJ31" s="500" t="b">
        <f t="shared" si="9"/>
        <v>0</v>
      </c>
      <c r="AK31" s="500" t="b">
        <f t="shared" si="10"/>
        <v>0</v>
      </c>
      <c r="AL31" s="500" t="b">
        <f t="shared" si="11"/>
        <v>0</v>
      </c>
      <c r="AM31" s="500" t="b">
        <f t="shared" si="12"/>
        <v>0</v>
      </c>
      <c r="AN31" s="500" t="b">
        <f t="shared" si="13"/>
        <v>0</v>
      </c>
      <c r="AO31" s="500" t="b">
        <f t="shared" si="14"/>
        <v>0</v>
      </c>
      <c r="AP31" s="500" t="b">
        <f t="shared" si="15"/>
        <v>0</v>
      </c>
      <c r="AR31" s="545">
        <f t="shared" si="16"/>
        <v>0</v>
      </c>
      <c r="AS31" s="545">
        <f t="shared" si="17"/>
        <v>0</v>
      </c>
      <c r="AT31" s="545">
        <f t="shared" si="35"/>
        <v>0</v>
      </c>
      <c r="AU31" s="546"/>
      <c r="AV31" s="547">
        <f t="shared" si="18"/>
        <v>0</v>
      </c>
      <c r="AW31" s="547">
        <f t="shared" si="19"/>
        <v>0</v>
      </c>
      <c r="AX31" s="547">
        <f t="shared" si="20"/>
        <v>0</v>
      </c>
      <c r="AY31" s="547">
        <f t="shared" si="21"/>
        <v>0</v>
      </c>
      <c r="AZ31" s="547">
        <f t="shared" si="22"/>
        <v>0</v>
      </c>
      <c r="BA31" s="547">
        <f t="shared" si="23"/>
        <v>0</v>
      </c>
      <c r="BB31" s="547">
        <f t="shared" si="24"/>
        <v>0</v>
      </c>
      <c r="BC31" s="547">
        <f t="shared" si="25"/>
        <v>0</v>
      </c>
      <c r="BD31" s="547">
        <f t="shared" si="26"/>
        <v>0</v>
      </c>
      <c r="BE31" s="547">
        <f t="shared" si="27"/>
        <v>0</v>
      </c>
      <c r="BF31" s="547">
        <f t="shared" si="28"/>
        <v>0</v>
      </c>
      <c r="BG31" s="547">
        <f t="shared" si="29"/>
        <v>0</v>
      </c>
      <c r="BI31" s="500">
        <v>5</v>
      </c>
      <c r="BJ31" s="543">
        <v>7.4999999999999997E-2</v>
      </c>
      <c r="BK31" s="543">
        <v>0.05</v>
      </c>
      <c r="BL31" s="543">
        <v>7.4999999999999997E-2</v>
      </c>
      <c r="BN31" s="527">
        <f t="shared" si="30"/>
        <v>0</v>
      </c>
      <c r="BO31" s="527">
        <f t="shared" si="31"/>
        <v>0</v>
      </c>
      <c r="BQ31" s="507">
        <v>3</v>
      </c>
      <c r="BR31" s="507" t="str">
        <f>$BR$26</f>
        <v>Direct</v>
      </c>
      <c r="BS31" s="507" t="str">
        <f>$AC$50</f>
        <v>Yes</v>
      </c>
      <c r="BT31" s="507" t="str">
        <f t="shared" si="5"/>
        <v>3DirectYes</v>
      </c>
      <c r="BU31" s="507"/>
      <c r="BV31" s="507"/>
      <c r="BW31" s="649">
        <v>1.53</v>
      </c>
      <c r="BX31" s="650">
        <v>3.24</v>
      </c>
      <c r="BY31" s="651"/>
      <c r="BZ31" s="652"/>
      <c r="CB31" s="639"/>
      <c r="CE31" s="516"/>
    </row>
    <row r="32" spans="1:83" ht="11.25" customHeight="1">
      <c r="A32" s="571"/>
      <c r="B32" s="620">
        <f>IF(ISBLANK(Calculator!C40),"",Calculator!C40)</f>
        <v>4</v>
      </c>
      <c r="C32" s="726" t="str">
        <f>IF(ISBLANK(Calculator!D40),"",Calculator!D40)</f>
        <v/>
      </c>
      <c r="D32" s="727"/>
      <c r="E32" s="618" t="str">
        <f>IF(ISBLANK(Calculator!G40),"",Calculator!G40)</f>
        <v/>
      </c>
      <c r="F32" s="619" t="str">
        <f>IF(ISBLANK(Calculator!H40),"",Calculator!H40)</f>
        <v/>
      </c>
      <c r="G32" s="574"/>
      <c r="H32" s="577"/>
      <c r="I32" s="501"/>
      <c r="J32" s="580"/>
      <c r="K32" s="581"/>
      <c r="L32" s="544" t="str">
        <f t="shared" si="6"/>
        <v/>
      </c>
      <c r="M32" s="582"/>
      <c r="N32" s="582"/>
      <c r="O32" s="582"/>
      <c r="P32" s="582"/>
      <c r="Q32" s="582"/>
      <c r="R32" s="582"/>
      <c r="S32" s="582"/>
      <c r="T32" s="582"/>
      <c r="U32" s="582"/>
      <c r="V32" s="582"/>
      <c r="W32" s="582"/>
      <c r="X32" s="582"/>
      <c r="Y32" s="571"/>
      <c r="Z32" s="572"/>
      <c r="AA32" s="572"/>
      <c r="AB32" s="516"/>
      <c r="AC32" s="500" t="s">
        <v>520</v>
      </c>
      <c r="AE32" s="500" t="b">
        <f t="shared" si="7"/>
        <v>0</v>
      </c>
      <c r="AF32" s="500" t="b">
        <f t="shared" si="32"/>
        <v>0</v>
      </c>
      <c r="AG32" s="500" t="b">
        <f t="shared" si="33"/>
        <v>0</v>
      </c>
      <c r="AH32" s="500" t="b">
        <f t="shared" si="34"/>
        <v>0</v>
      </c>
      <c r="AI32" s="500" t="b">
        <f t="shared" si="8"/>
        <v>0</v>
      </c>
      <c r="AJ32" s="500" t="b">
        <f t="shared" si="9"/>
        <v>0</v>
      </c>
      <c r="AK32" s="500" t="b">
        <f t="shared" si="10"/>
        <v>0</v>
      </c>
      <c r="AL32" s="500" t="b">
        <f t="shared" si="11"/>
        <v>0</v>
      </c>
      <c r="AM32" s="500" t="b">
        <f t="shared" si="12"/>
        <v>0</v>
      </c>
      <c r="AN32" s="500" t="b">
        <f t="shared" si="13"/>
        <v>0</v>
      </c>
      <c r="AO32" s="500" t="b">
        <f t="shared" si="14"/>
        <v>0</v>
      </c>
      <c r="AP32" s="500" t="b">
        <f t="shared" si="15"/>
        <v>0</v>
      </c>
      <c r="AR32" s="545">
        <f t="shared" si="16"/>
        <v>0</v>
      </c>
      <c r="AS32" s="545">
        <f t="shared" si="17"/>
        <v>0</v>
      </c>
      <c r="AT32" s="545">
        <f t="shared" si="35"/>
        <v>0</v>
      </c>
      <c r="AU32" s="546"/>
      <c r="AV32" s="547">
        <f t="shared" si="18"/>
        <v>0</v>
      </c>
      <c r="AW32" s="547">
        <f t="shared" si="19"/>
        <v>0</v>
      </c>
      <c r="AX32" s="547">
        <f t="shared" si="20"/>
        <v>0</v>
      </c>
      <c r="AY32" s="547">
        <f t="shared" si="21"/>
        <v>0</v>
      </c>
      <c r="AZ32" s="547">
        <f t="shared" si="22"/>
        <v>0</v>
      </c>
      <c r="BA32" s="547">
        <f t="shared" si="23"/>
        <v>0</v>
      </c>
      <c r="BB32" s="547">
        <f t="shared" si="24"/>
        <v>0</v>
      </c>
      <c r="BC32" s="547">
        <f t="shared" si="25"/>
        <v>0</v>
      </c>
      <c r="BD32" s="547">
        <f t="shared" si="26"/>
        <v>0</v>
      </c>
      <c r="BE32" s="547">
        <f t="shared" si="27"/>
        <v>0</v>
      </c>
      <c r="BF32" s="547">
        <f t="shared" si="28"/>
        <v>0</v>
      </c>
      <c r="BG32" s="547">
        <f t="shared" si="29"/>
        <v>0</v>
      </c>
      <c r="BI32" s="500">
        <v>6</v>
      </c>
      <c r="BJ32" s="543">
        <v>0.05</v>
      </c>
      <c r="BK32" s="543">
        <v>0.05</v>
      </c>
      <c r="BL32" s="543">
        <v>0.05</v>
      </c>
      <c r="BN32" s="527">
        <f t="shared" si="30"/>
        <v>0</v>
      </c>
      <c r="BO32" s="527">
        <f t="shared" si="31"/>
        <v>0</v>
      </c>
      <c r="BQ32" s="507">
        <v>3</v>
      </c>
      <c r="BR32" s="507" t="str">
        <f>$BR$28</f>
        <v>Suspended</v>
      </c>
      <c r="BS32" s="507" t="str">
        <f>$AC$51</f>
        <v>No</v>
      </c>
      <c r="BT32" s="507" t="str">
        <f t="shared" si="5"/>
        <v>3SuspendedNo</v>
      </c>
      <c r="BU32" s="507"/>
      <c r="BV32" s="507"/>
      <c r="BW32" s="649">
        <v>1.7</v>
      </c>
      <c r="BX32" s="650">
        <v>2.87</v>
      </c>
      <c r="BY32" s="651"/>
      <c r="BZ32" s="652"/>
      <c r="CB32" s="639"/>
      <c r="CE32" s="516"/>
    </row>
    <row r="33" spans="1:83" ht="11.25" customHeight="1">
      <c r="A33" s="571"/>
      <c r="B33" s="620">
        <f>IF(ISBLANK(Calculator!C41),"",Calculator!C41)</f>
        <v>5</v>
      </c>
      <c r="C33" s="726" t="str">
        <f>IF(ISBLANK(Calculator!D41),"",Calculator!D41)</f>
        <v/>
      </c>
      <c r="D33" s="727"/>
      <c r="E33" s="618" t="str">
        <f>IF(ISBLANK(Calculator!G41),"",Calculator!G41)</f>
        <v/>
      </c>
      <c r="F33" s="619" t="str">
        <f>IF(ISBLANK(Calculator!H41),"",Calculator!H41)</f>
        <v/>
      </c>
      <c r="G33" s="574"/>
      <c r="H33" s="577"/>
      <c r="I33" s="501"/>
      <c r="J33" s="580"/>
      <c r="K33" s="581"/>
      <c r="L33" s="544" t="str">
        <f t="shared" si="6"/>
        <v/>
      </c>
      <c r="M33" s="582"/>
      <c r="N33" s="582"/>
      <c r="O33" s="582"/>
      <c r="P33" s="582"/>
      <c r="Q33" s="582"/>
      <c r="R33" s="582"/>
      <c r="S33" s="582"/>
      <c r="T33" s="582"/>
      <c r="U33" s="582"/>
      <c r="V33" s="582"/>
      <c r="W33" s="582"/>
      <c r="X33" s="582"/>
      <c r="Y33" s="571"/>
      <c r="Z33" s="572"/>
      <c r="AA33" s="572"/>
      <c r="AB33" s="516"/>
      <c r="AC33" s="500" t="s">
        <v>519</v>
      </c>
      <c r="AE33" s="500" t="b">
        <f t="shared" si="7"/>
        <v>0</v>
      </c>
      <c r="AF33" s="500" t="b">
        <f t="shared" si="32"/>
        <v>0</v>
      </c>
      <c r="AG33" s="500" t="b">
        <f t="shared" si="33"/>
        <v>0</v>
      </c>
      <c r="AH33" s="500" t="b">
        <f t="shared" si="34"/>
        <v>0</v>
      </c>
      <c r="AI33" s="500" t="b">
        <f t="shared" si="8"/>
        <v>0</v>
      </c>
      <c r="AJ33" s="500" t="b">
        <f t="shared" si="9"/>
        <v>0</v>
      </c>
      <c r="AK33" s="500" t="b">
        <f t="shared" si="10"/>
        <v>0</v>
      </c>
      <c r="AL33" s="500" t="b">
        <f t="shared" si="11"/>
        <v>0</v>
      </c>
      <c r="AM33" s="500" t="b">
        <f t="shared" si="12"/>
        <v>0</v>
      </c>
      <c r="AN33" s="500" t="b">
        <f t="shared" si="13"/>
        <v>0</v>
      </c>
      <c r="AO33" s="500" t="b">
        <f t="shared" si="14"/>
        <v>0</v>
      </c>
      <c r="AP33" s="500" t="b">
        <f t="shared" si="15"/>
        <v>0</v>
      </c>
      <c r="AR33" s="545">
        <f t="shared" si="16"/>
        <v>0</v>
      </c>
      <c r="AS33" s="545">
        <f t="shared" si="17"/>
        <v>0</v>
      </c>
      <c r="AT33" s="545">
        <f t="shared" si="35"/>
        <v>0</v>
      </c>
      <c r="AU33" s="546"/>
      <c r="AV33" s="547">
        <f t="shared" si="18"/>
        <v>0</v>
      </c>
      <c r="AW33" s="547">
        <f t="shared" si="19"/>
        <v>0</v>
      </c>
      <c r="AX33" s="547">
        <f t="shared" si="20"/>
        <v>0</v>
      </c>
      <c r="AY33" s="547">
        <f t="shared" si="21"/>
        <v>0</v>
      </c>
      <c r="AZ33" s="547">
        <f t="shared" si="22"/>
        <v>0</v>
      </c>
      <c r="BA33" s="547">
        <f t="shared" si="23"/>
        <v>0</v>
      </c>
      <c r="BB33" s="547">
        <f t="shared" si="24"/>
        <v>0</v>
      </c>
      <c r="BC33" s="547">
        <f t="shared" si="25"/>
        <v>0</v>
      </c>
      <c r="BD33" s="547">
        <f t="shared" si="26"/>
        <v>0</v>
      </c>
      <c r="BE33" s="547">
        <f t="shared" si="27"/>
        <v>0</v>
      </c>
      <c r="BF33" s="547">
        <f t="shared" si="28"/>
        <v>0</v>
      </c>
      <c r="BG33" s="547">
        <f t="shared" si="29"/>
        <v>0</v>
      </c>
      <c r="BN33" s="527">
        <f t="shared" si="30"/>
        <v>0</v>
      </c>
      <c r="BO33" s="527">
        <f t="shared" si="31"/>
        <v>0</v>
      </c>
      <c r="BQ33" s="507">
        <v>3</v>
      </c>
      <c r="BR33" s="507" t="str">
        <f>$BR$28</f>
        <v>Suspended</v>
      </c>
      <c r="BS33" s="507" t="str">
        <f>$AC$50</f>
        <v>Yes</v>
      </c>
      <c r="BT33" s="507" t="str">
        <f t="shared" si="5"/>
        <v>3SuspendedYes</v>
      </c>
      <c r="BU33" s="507"/>
      <c r="BV33" s="507"/>
      <c r="BW33" s="649">
        <v>1.7</v>
      </c>
      <c r="BX33" s="650">
        <v>3.58</v>
      </c>
      <c r="BY33" s="651"/>
      <c r="BZ33" s="652"/>
      <c r="CB33" s="639"/>
      <c r="CE33" s="516"/>
    </row>
    <row r="34" spans="1:83" ht="11.25" customHeight="1">
      <c r="A34" s="571"/>
      <c r="B34" s="620">
        <f>IF(ISBLANK(Calculator!C42),"",Calculator!C42)</f>
        <v>6</v>
      </c>
      <c r="C34" s="726" t="str">
        <f>IF(ISBLANK(Calculator!D42),"",Calculator!D42)</f>
        <v/>
      </c>
      <c r="D34" s="727"/>
      <c r="E34" s="618" t="str">
        <f>IF(ISBLANK(Calculator!G42),"",Calculator!G42)</f>
        <v/>
      </c>
      <c r="F34" s="619" t="str">
        <f>IF(ISBLANK(Calculator!H42),"",Calculator!H42)</f>
        <v/>
      </c>
      <c r="G34" s="574"/>
      <c r="H34" s="577"/>
      <c r="I34" s="501"/>
      <c r="J34" s="580"/>
      <c r="K34" s="581"/>
      <c r="L34" s="544" t="str">
        <f t="shared" si="6"/>
        <v/>
      </c>
      <c r="M34" s="582"/>
      <c r="N34" s="582"/>
      <c r="O34" s="582"/>
      <c r="P34" s="582"/>
      <c r="Q34" s="582"/>
      <c r="R34" s="582"/>
      <c r="S34" s="582"/>
      <c r="T34" s="582"/>
      <c r="U34" s="582"/>
      <c r="V34" s="582"/>
      <c r="W34" s="582"/>
      <c r="X34" s="582"/>
      <c r="Y34" s="571"/>
      <c r="Z34" s="572"/>
      <c r="AA34" s="572"/>
      <c r="AB34" s="516"/>
      <c r="AC34" s="500" t="s">
        <v>514</v>
      </c>
      <c r="AE34" s="500" t="b">
        <f t="shared" si="7"/>
        <v>0</v>
      </c>
      <c r="AF34" s="500" t="b">
        <f t="shared" si="32"/>
        <v>0</v>
      </c>
      <c r="AG34" s="500" t="b">
        <f t="shared" si="33"/>
        <v>0</v>
      </c>
      <c r="AH34" s="500" t="b">
        <f t="shared" si="34"/>
        <v>0</v>
      </c>
      <c r="AI34" s="500" t="b">
        <f t="shared" si="8"/>
        <v>0</v>
      </c>
      <c r="AJ34" s="500" t="b">
        <f t="shared" si="9"/>
        <v>0</v>
      </c>
      <c r="AK34" s="500" t="b">
        <f t="shared" si="10"/>
        <v>0</v>
      </c>
      <c r="AL34" s="500" t="b">
        <f t="shared" si="11"/>
        <v>0</v>
      </c>
      <c r="AM34" s="500" t="b">
        <f t="shared" si="12"/>
        <v>0</v>
      </c>
      <c r="AN34" s="500" t="b">
        <f t="shared" si="13"/>
        <v>0</v>
      </c>
      <c r="AO34" s="500" t="b">
        <f t="shared" si="14"/>
        <v>0</v>
      </c>
      <c r="AP34" s="500" t="b">
        <f t="shared" si="15"/>
        <v>0</v>
      </c>
      <c r="AR34" s="545">
        <f t="shared" si="16"/>
        <v>0</v>
      </c>
      <c r="AS34" s="545">
        <f t="shared" si="17"/>
        <v>0</v>
      </c>
      <c r="AT34" s="545">
        <f t="shared" si="35"/>
        <v>0</v>
      </c>
      <c r="AU34" s="546"/>
      <c r="AV34" s="547">
        <f t="shared" si="18"/>
        <v>0</v>
      </c>
      <c r="AW34" s="547">
        <f t="shared" si="19"/>
        <v>0</v>
      </c>
      <c r="AX34" s="547">
        <f t="shared" si="20"/>
        <v>0</v>
      </c>
      <c r="AY34" s="547">
        <f t="shared" si="21"/>
        <v>0</v>
      </c>
      <c r="AZ34" s="547">
        <f t="shared" si="22"/>
        <v>0</v>
      </c>
      <c r="BA34" s="547">
        <f t="shared" si="23"/>
        <v>0</v>
      </c>
      <c r="BB34" s="547">
        <f t="shared" si="24"/>
        <v>0</v>
      </c>
      <c r="BC34" s="547">
        <f t="shared" si="25"/>
        <v>0</v>
      </c>
      <c r="BD34" s="547">
        <f t="shared" si="26"/>
        <v>0</v>
      </c>
      <c r="BE34" s="547">
        <f t="shared" si="27"/>
        <v>0</v>
      </c>
      <c r="BF34" s="547">
        <f t="shared" si="28"/>
        <v>0</v>
      </c>
      <c r="BG34" s="547">
        <f t="shared" si="29"/>
        <v>0</v>
      </c>
      <c r="BN34" s="527">
        <f t="shared" si="30"/>
        <v>0</v>
      </c>
      <c r="BO34" s="527">
        <f t="shared" si="31"/>
        <v>0</v>
      </c>
      <c r="BQ34" s="500">
        <v>4</v>
      </c>
      <c r="BR34" s="500" t="str">
        <f>$BR$26</f>
        <v>Direct</v>
      </c>
      <c r="BS34" s="500" t="str">
        <f>$AC$51</f>
        <v>No</v>
      </c>
      <c r="BT34" s="500" t="str">
        <f t="shared" si="5"/>
        <v>4DirectNo</v>
      </c>
      <c r="BU34" s="500"/>
      <c r="BV34" s="500"/>
      <c r="BW34" s="506">
        <v>2.52</v>
      </c>
      <c r="BX34" s="646">
        <v>1.69</v>
      </c>
      <c r="BY34" s="647"/>
      <c r="BZ34" s="648"/>
      <c r="CB34" s="639"/>
      <c r="CE34" s="516"/>
    </row>
    <row r="35" spans="1:83" ht="11.25" customHeight="1">
      <c r="A35" s="571"/>
      <c r="B35" s="620">
        <f>IF(ISBLANK(Calculator!C43),"",Calculator!C43)</f>
        <v>7</v>
      </c>
      <c r="C35" s="726" t="str">
        <f>IF(ISBLANK(Calculator!D43),"",Calculator!D43)</f>
        <v/>
      </c>
      <c r="D35" s="727"/>
      <c r="E35" s="618" t="str">
        <f>IF(ISBLANK(Calculator!G43),"",Calculator!G43)</f>
        <v/>
      </c>
      <c r="F35" s="619" t="str">
        <f>IF(ISBLANK(Calculator!H43),"",Calculator!H43)</f>
        <v/>
      </c>
      <c r="G35" s="574"/>
      <c r="H35" s="577"/>
      <c r="I35" s="501"/>
      <c r="J35" s="580"/>
      <c r="K35" s="581"/>
      <c r="L35" s="544" t="str">
        <f t="shared" si="6"/>
        <v/>
      </c>
      <c r="M35" s="582"/>
      <c r="N35" s="582"/>
      <c r="O35" s="582"/>
      <c r="P35" s="582"/>
      <c r="Q35" s="582"/>
      <c r="R35" s="582"/>
      <c r="S35" s="582"/>
      <c r="T35" s="582"/>
      <c r="U35" s="582"/>
      <c r="V35" s="582"/>
      <c r="W35" s="582"/>
      <c r="X35" s="582"/>
      <c r="Y35" s="571"/>
      <c r="Z35" s="572"/>
      <c r="AA35" s="572"/>
      <c r="AB35" s="516"/>
      <c r="AC35" s="500" t="s">
        <v>516</v>
      </c>
      <c r="AE35" s="500" t="b">
        <f t="shared" si="7"/>
        <v>0</v>
      </c>
      <c r="AF35" s="500" t="b">
        <f t="shared" si="32"/>
        <v>0</v>
      </c>
      <c r="AG35" s="500" t="b">
        <f t="shared" si="33"/>
        <v>0</v>
      </c>
      <c r="AH35" s="500" t="b">
        <f t="shared" si="34"/>
        <v>0</v>
      </c>
      <c r="AI35" s="500" t="b">
        <f t="shared" si="8"/>
        <v>0</v>
      </c>
      <c r="AJ35" s="500" t="b">
        <f t="shared" si="9"/>
        <v>0</v>
      </c>
      <c r="AK35" s="500" t="b">
        <f t="shared" si="10"/>
        <v>0</v>
      </c>
      <c r="AL35" s="500" t="b">
        <f t="shared" si="11"/>
        <v>0</v>
      </c>
      <c r="AM35" s="500" t="b">
        <f t="shared" si="12"/>
        <v>0</v>
      </c>
      <c r="AN35" s="500" t="b">
        <f t="shared" si="13"/>
        <v>0</v>
      </c>
      <c r="AO35" s="500" t="b">
        <f t="shared" si="14"/>
        <v>0</v>
      </c>
      <c r="AP35" s="500" t="b">
        <f t="shared" si="15"/>
        <v>0</v>
      </c>
      <c r="AR35" s="545">
        <f t="shared" si="16"/>
        <v>0</v>
      </c>
      <c r="AS35" s="545">
        <f t="shared" si="17"/>
        <v>0</v>
      </c>
      <c r="AT35" s="545">
        <f t="shared" si="35"/>
        <v>0</v>
      </c>
      <c r="AU35" s="546"/>
      <c r="AV35" s="547">
        <f t="shared" si="18"/>
        <v>0</v>
      </c>
      <c r="AW35" s="547">
        <f t="shared" si="19"/>
        <v>0</v>
      </c>
      <c r="AX35" s="547">
        <f t="shared" si="20"/>
        <v>0</v>
      </c>
      <c r="AY35" s="547">
        <f t="shared" si="21"/>
        <v>0</v>
      </c>
      <c r="AZ35" s="547">
        <f t="shared" si="22"/>
        <v>0</v>
      </c>
      <c r="BA35" s="547">
        <f t="shared" si="23"/>
        <v>0</v>
      </c>
      <c r="BB35" s="547">
        <f t="shared" si="24"/>
        <v>0</v>
      </c>
      <c r="BC35" s="547">
        <f t="shared" si="25"/>
        <v>0</v>
      </c>
      <c r="BD35" s="547">
        <f t="shared" si="26"/>
        <v>0</v>
      </c>
      <c r="BE35" s="547">
        <f t="shared" si="27"/>
        <v>0</v>
      </c>
      <c r="BF35" s="547">
        <f t="shared" si="28"/>
        <v>0</v>
      </c>
      <c r="BG35" s="547">
        <f t="shared" si="29"/>
        <v>0</v>
      </c>
      <c r="BI35" s="498" t="s">
        <v>481</v>
      </c>
      <c r="BN35" s="527">
        <f t="shared" si="30"/>
        <v>0</v>
      </c>
      <c r="BO35" s="527">
        <f t="shared" si="31"/>
        <v>0</v>
      </c>
      <c r="BQ35" s="500">
        <v>4</v>
      </c>
      <c r="BR35" s="500" t="str">
        <f>$BR$26</f>
        <v>Direct</v>
      </c>
      <c r="BS35" s="500" t="str">
        <f>$AC$50</f>
        <v>Yes</v>
      </c>
      <c r="BT35" s="500" t="str">
        <f t="shared" si="5"/>
        <v>4DirectYes</v>
      </c>
      <c r="BU35" s="500"/>
      <c r="BV35" s="500"/>
      <c r="BW35" s="506">
        <v>3.14</v>
      </c>
      <c r="BX35" s="646">
        <v>1.69</v>
      </c>
      <c r="BY35" s="647"/>
      <c r="BZ35" s="648"/>
      <c r="CB35" s="639"/>
      <c r="CE35" s="516"/>
    </row>
    <row r="36" spans="1:83" ht="11.25" customHeight="1">
      <c r="A36" s="571"/>
      <c r="B36" s="620">
        <f>IF(ISBLANK(Calculator!C44),"",Calculator!C44)</f>
        <v>8</v>
      </c>
      <c r="C36" s="726" t="str">
        <f>IF(ISBLANK(Calculator!D44),"",Calculator!D44)</f>
        <v/>
      </c>
      <c r="D36" s="727"/>
      <c r="E36" s="618" t="str">
        <f>IF(ISBLANK(Calculator!G44),"",Calculator!G44)</f>
        <v/>
      </c>
      <c r="F36" s="619" t="str">
        <f>IF(ISBLANK(Calculator!H44),"",Calculator!H44)</f>
        <v/>
      </c>
      <c r="G36" s="574"/>
      <c r="H36" s="577"/>
      <c r="I36" s="501"/>
      <c r="J36" s="580"/>
      <c r="K36" s="581"/>
      <c r="L36" s="544" t="str">
        <f t="shared" si="6"/>
        <v/>
      </c>
      <c r="M36" s="582"/>
      <c r="N36" s="582"/>
      <c r="O36" s="582"/>
      <c r="P36" s="582"/>
      <c r="Q36" s="582"/>
      <c r="R36" s="582"/>
      <c r="S36" s="582"/>
      <c r="T36" s="582"/>
      <c r="U36" s="582"/>
      <c r="V36" s="582"/>
      <c r="W36" s="582"/>
      <c r="X36" s="582"/>
      <c r="Y36" s="571"/>
      <c r="Z36" s="572"/>
      <c r="AA36" s="572"/>
      <c r="AB36" s="516"/>
      <c r="AC36" s="500" t="s">
        <v>523</v>
      </c>
      <c r="AE36" s="500" t="b">
        <f t="shared" si="7"/>
        <v>0</v>
      </c>
      <c r="AF36" s="500" t="b">
        <f t="shared" si="32"/>
        <v>0</v>
      </c>
      <c r="AG36" s="500" t="b">
        <f t="shared" si="33"/>
        <v>0</v>
      </c>
      <c r="AH36" s="500" t="b">
        <f t="shared" si="34"/>
        <v>0</v>
      </c>
      <c r="AI36" s="500" t="b">
        <f t="shared" si="8"/>
        <v>0</v>
      </c>
      <c r="AJ36" s="500" t="b">
        <f t="shared" si="9"/>
        <v>0</v>
      </c>
      <c r="AK36" s="500" t="b">
        <f t="shared" si="10"/>
        <v>0</v>
      </c>
      <c r="AL36" s="500" t="b">
        <f t="shared" si="11"/>
        <v>0</v>
      </c>
      <c r="AM36" s="500" t="b">
        <f t="shared" si="12"/>
        <v>0</v>
      </c>
      <c r="AN36" s="500" t="b">
        <f t="shared" si="13"/>
        <v>0</v>
      </c>
      <c r="AO36" s="500" t="b">
        <f t="shared" si="14"/>
        <v>0</v>
      </c>
      <c r="AP36" s="500" t="b">
        <f t="shared" si="15"/>
        <v>0</v>
      </c>
      <c r="AR36" s="545">
        <f t="shared" si="16"/>
        <v>0</v>
      </c>
      <c r="AS36" s="545">
        <f t="shared" si="17"/>
        <v>0</v>
      </c>
      <c r="AT36" s="545">
        <f t="shared" si="35"/>
        <v>0</v>
      </c>
      <c r="AU36" s="546"/>
      <c r="AV36" s="547">
        <f t="shared" si="18"/>
        <v>0</v>
      </c>
      <c r="AW36" s="547">
        <f t="shared" si="19"/>
        <v>0</v>
      </c>
      <c r="AX36" s="547">
        <f t="shared" si="20"/>
        <v>0</v>
      </c>
      <c r="AY36" s="547">
        <f t="shared" si="21"/>
        <v>0</v>
      </c>
      <c r="AZ36" s="547">
        <f t="shared" si="22"/>
        <v>0</v>
      </c>
      <c r="BA36" s="547">
        <f t="shared" si="23"/>
        <v>0</v>
      </c>
      <c r="BB36" s="547">
        <f t="shared" si="24"/>
        <v>0</v>
      </c>
      <c r="BC36" s="547">
        <f t="shared" si="25"/>
        <v>0</v>
      </c>
      <c r="BD36" s="547">
        <f t="shared" si="26"/>
        <v>0</v>
      </c>
      <c r="BE36" s="547">
        <f t="shared" si="27"/>
        <v>0</v>
      </c>
      <c r="BF36" s="547">
        <f t="shared" si="28"/>
        <v>0</v>
      </c>
      <c r="BG36" s="547">
        <f t="shared" si="29"/>
        <v>0</v>
      </c>
      <c r="BI36" s="500">
        <v>15</v>
      </c>
      <c r="BJ36" s="497" t="s">
        <v>483</v>
      </c>
      <c r="BN36" s="527">
        <f t="shared" si="30"/>
        <v>0</v>
      </c>
      <c r="BO36" s="527">
        <f t="shared" si="31"/>
        <v>0</v>
      </c>
      <c r="BQ36" s="500">
        <v>4</v>
      </c>
      <c r="BR36" s="500" t="str">
        <f>$BR$28</f>
        <v>Suspended</v>
      </c>
      <c r="BS36" s="500" t="str">
        <f>$AC$51</f>
        <v>No</v>
      </c>
      <c r="BT36" s="500" t="str">
        <f t="shared" si="5"/>
        <v>4SuspendedNo</v>
      </c>
      <c r="BU36" s="500"/>
      <c r="BV36" s="500"/>
      <c r="BW36" s="506">
        <v>2.79</v>
      </c>
      <c r="BX36" s="646">
        <v>1.88</v>
      </c>
      <c r="BY36" s="647"/>
      <c r="BZ36" s="648"/>
      <c r="CB36" s="639"/>
      <c r="CE36" s="516"/>
    </row>
    <row r="37" spans="1:83" ht="11.25" customHeight="1">
      <c r="A37" s="571"/>
      <c r="B37" s="620">
        <f>IF(ISBLANK(Calculator!C45),"",Calculator!C45)</f>
        <v>9</v>
      </c>
      <c r="C37" s="726" t="str">
        <f>IF(ISBLANK(Calculator!D45),"",Calculator!D45)</f>
        <v/>
      </c>
      <c r="D37" s="727"/>
      <c r="E37" s="618" t="str">
        <f>IF(ISBLANK(Calculator!G45),"",Calculator!G45)</f>
        <v/>
      </c>
      <c r="F37" s="619" t="str">
        <f>IF(ISBLANK(Calculator!H45),"",Calculator!H45)</f>
        <v/>
      </c>
      <c r="G37" s="574"/>
      <c r="H37" s="577"/>
      <c r="I37" s="501"/>
      <c r="J37" s="580"/>
      <c r="K37" s="581"/>
      <c r="L37" s="544" t="str">
        <f t="shared" si="6"/>
        <v/>
      </c>
      <c r="M37" s="582"/>
      <c r="N37" s="582"/>
      <c r="O37" s="582"/>
      <c r="P37" s="582"/>
      <c r="Q37" s="582"/>
      <c r="R37" s="582"/>
      <c r="S37" s="582"/>
      <c r="T37" s="582"/>
      <c r="U37" s="582"/>
      <c r="V37" s="582"/>
      <c r="W37" s="582"/>
      <c r="X37" s="582"/>
      <c r="Y37" s="571"/>
      <c r="Z37" s="572"/>
      <c r="AA37" s="572"/>
      <c r="AB37" s="516"/>
      <c r="AC37" s="500" t="s">
        <v>521</v>
      </c>
      <c r="AE37" s="500" t="b">
        <f t="shared" si="7"/>
        <v>0</v>
      </c>
      <c r="AF37" s="500" t="b">
        <f t="shared" si="32"/>
        <v>0</v>
      </c>
      <c r="AG37" s="500" t="b">
        <f t="shared" si="33"/>
        <v>0</v>
      </c>
      <c r="AH37" s="500" t="b">
        <f t="shared" si="34"/>
        <v>0</v>
      </c>
      <c r="AI37" s="500" t="b">
        <f t="shared" si="8"/>
        <v>0</v>
      </c>
      <c r="AJ37" s="500" t="b">
        <f t="shared" si="9"/>
        <v>0</v>
      </c>
      <c r="AK37" s="500" t="b">
        <f t="shared" si="10"/>
        <v>0</v>
      </c>
      <c r="AL37" s="500" t="b">
        <f t="shared" si="11"/>
        <v>0</v>
      </c>
      <c r="AM37" s="500" t="b">
        <f t="shared" si="12"/>
        <v>0</v>
      </c>
      <c r="AN37" s="500" t="b">
        <f t="shared" si="13"/>
        <v>0</v>
      </c>
      <c r="AO37" s="500" t="b">
        <f t="shared" si="14"/>
        <v>0</v>
      </c>
      <c r="AP37" s="500" t="b">
        <f t="shared" si="15"/>
        <v>0</v>
      </c>
      <c r="AR37" s="545">
        <f t="shared" si="16"/>
        <v>0</v>
      </c>
      <c r="AS37" s="545">
        <f t="shared" si="17"/>
        <v>0</v>
      </c>
      <c r="AT37" s="545">
        <f t="shared" si="35"/>
        <v>0</v>
      </c>
      <c r="AU37" s="546"/>
      <c r="AV37" s="547">
        <f t="shared" si="18"/>
        <v>0</v>
      </c>
      <c r="AW37" s="547">
        <f t="shared" si="19"/>
        <v>0</v>
      </c>
      <c r="AX37" s="547">
        <f t="shared" si="20"/>
        <v>0</v>
      </c>
      <c r="AY37" s="547">
        <f t="shared" si="21"/>
        <v>0</v>
      </c>
      <c r="AZ37" s="547">
        <f t="shared" si="22"/>
        <v>0</v>
      </c>
      <c r="BA37" s="547">
        <f t="shared" si="23"/>
        <v>0</v>
      </c>
      <c r="BB37" s="547">
        <f t="shared" si="24"/>
        <v>0</v>
      </c>
      <c r="BC37" s="547">
        <f t="shared" si="25"/>
        <v>0</v>
      </c>
      <c r="BD37" s="547">
        <f t="shared" si="26"/>
        <v>0</v>
      </c>
      <c r="BE37" s="547">
        <f t="shared" si="27"/>
        <v>0</v>
      </c>
      <c r="BF37" s="547">
        <f t="shared" si="28"/>
        <v>0</v>
      </c>
      <c r="BG37" s="547">
        <f t="shared" si="29"/>
        <v>0</v>
      </c>
      <c r="BI37" s="500">
        <v>25</v>
      </c>
      <c r="BJ37" s="497" t="s">
        <v>482</v>
      </c>
      <c r="BN37" s="527">
        <f t="shared" si="30"/>
        <v>0</v>
      </c>
      <c r="BO37" s="527">
        <f t="shared" si="31"/>
        <v>0</v>
      </c>
      <c r="BQ37" s="500">
        <v>4</v>
      </c>
      <c r="BR37" s="500" t="str">
        <f>$BR$28</f>
        <v>Suspended</v>
      </c>
      <c r="BS37" s="500" t="str">
        <f>$AC$50</f>
        <v>Yes</v>
      </c>
      <c r="BT37" s="500" t="str">
        <f t="shared" si="5"/>
        <v>4SuspendedYes</v>
      </c>
      <c r="BU37" s="500"/>
      <c r="BV37" s="500"/>
      <c r="BW37" s="506">
        <v>3.49</v>
      </c>
      <c r="BX37" s="646">
        <v>1.88</v>
      </c>
      <c r="BY37" s="647"/>
      <c r="BZ37" s="648"/>
      <c r="CB37" s="639"/>
      <c r="CD37" s="524"/>
      <c r="CE37" s="516"/>
    </row>
    <row r="38" spans="1:83" ht="11.25" customHeight="1">
      <c r="A38" s="571"/>
      <c r="B38" s="620">
        <f>IF(ISBLANK(Calculator!C46),"",Calculator!C46)</f>
        <v>10</v>
      </c>
      <c r="C38" s="726" t="str">
        <f>IF(ISBLANK(Calculator!D46),"",Calculator!D46)</f>
        <v/>
      </c>
      <c r="D38" s="727"/>
      <c r="E38" s="618" t="str">
        <f>IF(ISBLANK(Calculator!G46),"",Calculator!G46)</f>
        <v/>
      </c>
      <c r="F38" s="619" t="str">
        <f>IF(ISBLANK(Calculator!H46),"",Calculator!H46)</f>
        <v/>
      </c>
      <c r="G38" s="574"/>
      <c r="H38" s="577"/>
      <c r="I38" s="501"/>
      <c r="J38" s="580"/>
      <c r="K38" s="581"/>
      <c r="L38" s="544" t="str">
        <f t="shared" si="6"/>
        <v/>
      </c>
      <c r="M38" s="582"/>
      <c r="N38" s="582"/>
      <c r="O38" s="582"/>
      <c r="P38" s="582"/>
      <c r="Q38" s="582"/>
      <c r="R38" s="582"/>
      <c r="S38" s="582"/>
      <c r="T38" s="582"/>
      <c r="U38" s="582"/>
      <c r="V38" s="582"/>
      <c r="W38" s="582"/>
      <c r="X38" s="582"/>
      <c r="Y38" s="571"/>
      <c r="Z38" s="572"/>
      <c r="AA38" s="572"/>
      <c r="AB38" s="516"/>
      <c r="AC38" s="500" t="s">
        <v>522</v>
      </c>
      <c r="AE38" s="500" t="b">
        <f t="shared" si="7"/>
        <v>0</v>
      </c>
      <c r="AF38" s="500" t="b">
        <f t="shared" si="32"/>
        <v>0</v>
      </c>
      <c r="AG38" s="500" t="b">
        <f t="shared" si="33"/>
        <v>0</v>
      </c>
      <c r="AH38" s="500" t="b">
        <f t="shared" si="34"/>
        <v>0</v>
      </c>
      <c r="AI38" s="500" t="b">
        <f t="shared" si="8"/>
        <v>0</v>
      </c>
      <c r="AJ38" s="500" t="b">
        <f t="shared" si="9"/>
        <v>0</v>
      </c>
      <c r="AK38" s="500" t="b">
        <f t="shared" si="10"/>
        <v>0</v>
      </c>
      <c r="AL38" s="500" t="b">
        <f t="shared" si="11"/>
        <v>0</v>
      </c>
      <c r="AM38" s="500" t="b">
        <f t="shared" si="12"/>
        <v>0</v>
      </c>
      <c r="AN38" s="500" t="b">
        <f t="shared" si="13"/>
        <v>0</v>
      </c>
      <c r="AO38" s="500" t="b">
        <f t="shared" si="14"/>
        <v>0</v>
      </c>
      <c r="AP38" s="500" t="b">
        <f t="shared" si="15"/>
        <v>0</v>
      </c>
      <c r="AR38" s="545">
        <f t="shared" si="16"/>
        <v>0</v>
      </c>
      <c r="AS38" s="545">
        <f t="shared" si="17"/>
        <v>0</v>
      </c>
      <c r="AT38" s="545">
        <f t="shared" si="35"/>
        <v>0</v>
      </c>
      <c r="AU38" s="546"/>
      <c r="AV38" s="547">
        <f t="shared" si="18"/>
        <v>0</v>
      </c>
      <c r="AW38" s="547">
        <f t="shared" si="19"/>
        <v>0</v>
      </c>
      <c r="AX38" s="547">
        <f t="shared" si="20"/>
        <v>0</v>
      </c>
      <c r="AY38" s="547">
        <f t="shared" si="21"/>
        <v>0</v>
      </c>
      <c r="AZ38" s="547">
        <f t="shared" si="22"/>
        <v>0</v>
      </c>
      <c r="BA38" s="547">
        <f t="shared" si="23"/>
        <v>0</v>
      </c>
      <c r="BB38" s="547">
        <f t="shared" si="24"/>
        <v>0</v>
      </c>
      <c r="BC38" s="547">
        <f t="shared" si="25"/>
        <v>0</v>
      </c>
      <c r="BD38" s="547">
        <f t="shared" si="26"/>
        <v>0</v>
      </c>
      <c r="BE38" s="547">
        <f t="shared" si="27"/>
        <v>0</v>
      </c>
      <c r="BF38" s="547">
        <f t="shared" si="28"/>
        <v>0</v>
      </c>
      <c r="BG38" s="547">
        <f t="shared" si="29"/>
        <v>0</v>
      </c>
      <c r="BN38" s="527">
        <f t="shared" si="30"/>
        <v>0</v>
      </c>
      <c r="BO38" s="527">
        <f t="shared" si="31"/>
        <v>0</v>
      </c>
      <c r="BQ38" s="507">
        <v>5</v>
      </c>
      <c r="BR38" s="507" t="str">
        <f>$BR$26</f>
        <v>Direct</v>
      </c>
      <c r="BS38" s="507" t="str">
        <f>$AC$51</f>
        <v>No</v>
      </c>
      <c r="BT38" s="507" t="str">
        <f t="shared" si="5"/>
        <v>5DirectNo</v>
      </c>
      <c r="BU38" s="507"/>
      <c r="BV38" s="507"/>
      <c r="BW38" s="649">
        <v>1.53</v>
      </c>
      <c r="BX38" s="650">
        <v>1.21</v>
      </c>
      <c r="BY38" s="651"/>
      <c r="BZ38" s="652"/>
      <c r="CB38" s="639"/>
      <c r="CD38" s="549"/>
      <c r="CE38" s="516"/>
    </row>
    <row r="39" spans="1:83" ht="11.25" customHeight="1">
      <c r="A39" s="571"/>
      <c r="B39" s="620">
        <f>IF(ISBLANK(Calculator!C47),"",Calculator!C47)</f>
        <v>11</v>
      </c>
      <c r="C39" s="726" t="str">
        <f>IF(ISBLANK(Calculator!D47),"",Calculator!D47)</f>
        <v/>
      </c>
      <c r="D39" s="727"/>
      <c r="E39" s="618" t="str">
        <f>IF(ISBLANK(Calculator!G47),"",Calculator!G47)</f>
        <v/>
      </c>
      <c r="F39" s="619" t="str">
        <f>IF(ISBLANK(Calculator!H47),"",Calculator!H47)</f>
        <v/>
      </c>
      <c r="G39" s="574"/>
      <c r="H39" s="577"/>
      <c r="I39" s="501"/>
      <c r="J39" s="580"/>
      <c r="K39" s="581"/>
      <c r="L39" s="544" t="str">
        <f t="shared" si="6"/>
        <v/>
      </c>
      <c r="M39" s="582"/>
      <c r="N39" s="582"/>
      <c r="O39" s="582"/>
      <c r="P39" s="582"/>
      <c r="Q39" s="582"/>
      <c r="R39" s="582"/>
      <c r="S39" s="582"/>
      <c r="T39" s="582"/>
      <c r="U39" s="582"/>
      <c r="V39" s="582"/>
      <c r="W39" s="582"/>
      <c r="X39" s="582"/>
      <c r="Y39" s="571"/>
      <c r="Z39" s="572"/>
      <c r="AA39" s="572"/>
      <c r="AB39" s="516"/>
      <c r="AC39" s="500" t="s">
        <v>532</v>
      </c>
      <c r="AE39" s="500" t="b">
        <f t="shared" si="7"/>
        <v>0</v>
      </c>
      <c r="AF39" s="500" t="b">
        <f t="shared" si="32"/>
        <v>0</v>
      </c>
      <c r="AG39" s="500" t="b">
        <f t="shared" si="33"/>
        <v>0</v>
      </c>
      <c r="AH39" s="500" t="b">
        <f t="shared" si="34"/>
        <v>0</v>
      </c>
      <c r="AI39" s="500" t="b">
        <f t="shared" si="8"/>
        <v>0</v>
      </c>
      <c r="AJ39" s="500" t="b">
        <f t="shared" si="9"/>
        <v>0</v>
      </c>
      <c r="AK39" s="500" t="b">
        <f t="shared" si="10"/>
        <v>0</v>
      </c>
      <c r="AL39" s="500" t="b">
        <f t="shared" si="11"/>
        <v>0</v>
      </c>
      <c r="AM39" s="500" t="b">
        <f t="shared" si="12"/>
        <v>0</v>
      </c>
      <c r="AN39" s="500" t="b">
        <f t="shared" si="13"/>
        <v>0</v>
      </c>
      <c r="AO39" s="500" t="b">
        <f t="shared" si="14"/>
        <v>0</v>
      </c>
      <c r="AP39" s="500" t="b">
        <f t="shared" si="15"/>
        <v>0</v>
      </c>
      <c r="AR39" s="545">
        <f t="shared" si="16"/>
        <v>0</v>
      </c>
      <c r="AS39" s="545">
        <f t="shared" si="17"/>
        <v>0</v>
      </c>
      <c r="AT39" s="545">
        <f t="shared" si="35"/>
        <v>0</v>
      </c>
      <c r="AU39" s="546"/>
      <c r="AV39" s="547">
        <f t="shared" si="18"/>
        <v>0</v>
      </c>
      <c r="AW39" s="547">
        <f t="shared" si="19"/>
        <v>0</v>
      </c>
      <c r="AX39" s="547">
        <f t="shared" si="20"/>
        <v>0</v>
      </c>
      <c r="AY39" s="547">
        <f t="shared" si="21"/>
        <v>0</v>
      </c>
      <c r="AZ39" s="547">
        <f t="shared" si="22"/>
        <v>0</v>
      </c>
      <c r="BA39" s="547">
        <f t="shared" si="23"/>
        <v>0</v>
      </c>
      <c r="BB39" s="547">
        <f t="shared" si="24"/>
        <v>0</v>
      </c>
      <c r="BC39" s="547">
        <f t="shared" si="25"/>
        <v>0</v>
      </c>
      <c r="BD39" s="547">
        <f t="shared" si="26"/>
        <v>0</v>
      </c>
      <c r="BE39" s="547">
        <f t="shared" si="27"/>
        <v>0</v>
      </c>
      <c r="BF39" s="547">
        <f t="shared" si="28"/>
        <v>0</v>
      </c>
      <c r="BG39" s="547">
        <f t="shared" si="29"/>
        <v>0</v>
      </c>
      <c r="BI39" s="505" t="s">
        <v>486</v>
      </c>
      <c r="BN39" s="527">
        <f t="shared" si="30"/>
        <v>0</v>
      </c>
      <c r="BO39" s="527">
        <f t="shared" si="31"/>
        <v>0</v>
      </c>
      <c r="BQ39" s="507">
        <v>5</v>
      </c>
      <c r="BR39" s="507" t="str">
        <f>$BR$26</f>
        <v>Direct</v>
      </c>
      <c r="BS39" s="507" t="str">
        <f>$AC$50</f>
        <v>Yes</v>
      </c>
      <c r="BT39" s="507" t="str">
        <f t="shared" si="5"/>
        <v>5DirectYes</v>
      </c>
      <c r="BU39" s="507"/>
      <c r="BV39" s="507"/>
      <c r="BW39" s="649">
        <v>1.53</v>
      </c>
      <c r="BX39" s="650">
        <v>1.43</v>
      </c>
      <c r="BY39" s="651"/>
      <c r="BZ39" s="652"/>
      <c r="CB39" s="639"/>
      <c r="CD39" s="526"/>
      <c r="CE39" s="516"/>
    </row>
    <row r="40" spans="1:83" ht="11.25" customHeight="1">
      <c r="A40" s="571"/>
      <c r="B40" s="620">
        <f>IF(ISBLANK(Calculator!C48),"",Calculator!C48)</f>
        <v>12</v>
      </c>
      <c r="C40" s="726" t="str">
        <f>IF(ISBLANK(Calculator!D48),"",Calculator!D48)</f>
        <v/>
      </c>
      <c r="D40" s="727"/>
      <c r="E40" s="618" t="str">
        <f>IF(ISBLANK(Calculator!G48),"",Calculator!G48)</f>
        <v/>
      </c>
      <c r="F40" s="619" t="str">
        <f>IF(ISBLANK(Calculator!H48),"",Calculator!H48)</f>
        <v/>
      </c>
      <c r="G40" s="574"/>
      <c r="H40" s="577"/>
      <c r="I40" s="501"/>
      <c r="J40" s="580"/>
      <c r="K40" s="581"/>
      <c r="L40" s="544" t="str">
        <f t="shared" si="6"/>
        <v/>
      </c>
      <c r="M40" s="582"/>
      <c r="N40" s="582"/>
      <c r="O40" s="582"/>
      <c r="P40" s="582"/>
      <c r="Q40" s="582"/>
      <c r="R40" s="582"/>
      <c r="S40" s="582"/>
      <c r="T40" s="582"/>
      <c r="U40" s="582"/>
      <c r="V40" s="582"/>
      <c r="W40" s="582"/>
      <c r="X40" s="582"/>
      <c r="Y40" s="571"/>
      <c r="Z40" s="572"/>
      <c r="AA40" s="572"/>
      <c r="AB40" s="516"/>
      <c r="AC40" s="500" t="s">
        <v>534</v>
      </c>
      <c r="AE40" s="500" t="b">
        <f t="shared" si="7"/>
        <v>0</v>
      </c>
      <c r="AF40" s="500" t="b">
        <f t="shared" si="32"/>
        <v>0</v>
      </c>
      <c r="AG40" s="500" t="b">
        <f t="shared" si="33"/>
        <v>0</v>
      </c>
      <c r="AH40" s="500" t="b">
        <f t="shared" si="34"/>
        <v>0</v>
      </c>
      <c r="AI40" s="500" t="b">
        <f t="shared" si="8"/>
        <v>0</v>
      </c>
      <c r="AJ40" s="500" t="b">
        <f t="shared" si="9"/>
        <v>0</v>
      </c>
      <c r="AK40" s="500" t="b">
        <f t="shared" si="10"/>
        <v>0</v>
      </c>
      <c r="AL40" s="500" t="b">
        <f t="shared" si="11"/>
        <v>0</v>
      </c>
      <c r="AM40" s="500" t="b">
        <f t="shared" si="12"/>
        <v>0</v>
      </c>
      <c r="AN40" s="500" t="b">
        <f t="shared" si="13"/>
        <v>0</v>
      </c>
      <c r="AO40" s="500" t="b">
        <f t="shared" si="14"/>
        <v>0</v>
      </c>
      <c r="AP40" s="500" t="b">
        <f t="shared" si="15"/>
        <v>0</v>
      </c>
      <c r="AR40" s="545">
        <f t="shared" si="16"/>
        <v>0</v>
      </c>
      <c r="AS40" s="545">
        <f t="shared" si="17"/>
        <v>0</v>
      </c>
      <c r="AT40" s="545">
        <f t="shared" si="35"/>
        <v>0</v>
      </c>
      <c r="AU40" s="546"/>
      <c r="AV40" s="547">
        <f t="shared" si="18"/>
        <v>0</v>
      </c>
      <c r="AW40" s="547">
        <f t="shared" si="19"/>
        <v>0</v>
      </c>
      <c r="AX40" s="547">
        <f t="shared" si="20"/>
        <v>0</v>
      </c>
      <c r="AY40" s="547">
        <f t="shared" si="21"/>
        <v>0</v>
      </c>
      <c r="AZ40" s="547">
        <f t="shared" si="22"/>
        <v>0</v>
      </c>
      <c r="BA40" s="547">
        <f t="shared" si="23"/>
        <v>0</v>
      </c>
      <c r="BB40" s="547">
        <f t="shared" si="24"/>
        <v>0</v>
      </c>
      <c r="BC40" s="547">
        <f t="shared" si="25"/>
        <v>0</v>
      </c>
      <c r="BD40" s="547">
        <f t="shared" si="26"/>
        <v>0</v>
      </c>
      <c r="BE40" s="547">
        <f t="shared" si="27"/>
        <v>0</v>
      </c>
      <c r="BF40" s="547">
        <f t="shared" si="28"/>
        <v>0</v>
      </c>
      <c r="BG40" s="547">
        <f t="shared" si="29"/>
        <v>0</v>
      </c>
      <c r="BI40" s="500">
        <f>COUNTIF(H29:H80,AC51)</f>
        <v>0</v>
      </c>
      <c r="BN40" s="527">
        <f t="shared" si="30"/>
        <v>0</v>
      </c>
      <c r="BO40" s="527">
        <f t="shared" si="31"/>
        <v>0</v>
      </c>
      <c r="BQ40" s="507">
        <v>5</v>
      </c>
      <c r="BR40" s="507" t="str">
        <f>$BR$28</f>
        <v>Suspended</v>
      </c>
      <c r="BS40" s="507" t="str">
        <f>$AC$51</f>
        <v>No</v>
      </c>
      <c r="BT40" s="507" t="str">
        <f t="shared" si="5"/>
        <v>5SuspendedNo</v>
      </c>
      <c r="BU40" s="507"/>
      <c r="BV40" s="507"/>
      <c r="BW40" s="649">
        <v>1.7</v>
      </c>
      <c r="BX40" s="650">
        <v>1.35</v>
      </c>
      <c r="BY40" s="651"/>
      <c r="BZ40" s="652"/>
      <c r="CB40" s="639"/>
      <c r="CD40" s="526"/>
      <c r="CE40" s="516"/>
    </row>
    <row r="41" spans="1:83" ht="11.25" customHeight="1">
      <c r="A41" s="571"/>
      <c r="B41" s="620">
        <f>IF(ISBLANK(Calculator!C49),"",Calculator!C49)</f>
        <v>13</v>
      </c>
      <c r="C41" s="726" t="str">
        <f>IF(ISBLANK(Calculator!D49),"",Calculator!D49)</f>
        <v/>
      </c>
      <c r="D41" s="727"/>
      <c r="E41" s="618" t="str">
        <f>IF(ISBLANK(Calculator!G49),"",Calculator!G49)</f>
        <v/>
      </c>
      <c r="F41" s="619" t="str">
        <f>IF(ISBLANK(Calculator!H49),"",Calculator!H49)</f>
        <v/>
      </c>
      <c r="G41" s="574"/>
      <c r="H41" s="577"/>
      <c r="I41" s="501"/>
      <c r="J41" s="580"/>
      <c r="K41" s="581"/>
      <c r="L41" s="544" t="str">
        <f t="shared" si="6"/>
        <v/>
      </c>
      <c r="M41" s="582"/>
      <c r="N41" s="582"/>
      <c r="O41" s="582"/>
      <c r="P41" s="582"/>
      <c r="Q41" s="582"/>
      <c r="R41" s="582"/>
      <c r="S41" s="582"/>
      <c r="T41" s="582"/>
      <c r="U41" s="582"/>
      <c r="V41" s="582"/>
      <c r="W41" s="582"/>
      <c r="X41" s="582"/>
      <c r="Y41" s="571"/>
      <c r="Z41" s="572"/>
      <c r="AA41" s="572"/>
      <c r="AB41" s="516"/>
      <c r="AC41" s="500" t="s">
        <v>535</v>
      </c>
      <c r="AE41" s="500" t="b">
        <f t="shared" si="7"/>
        <v>0</v>
      </c>
      <c r="AF41" s="500" t="b">
        <f t="shared" si="32"/>
        <v>0</v>
      </c>
      <c r="AG41" s="500" t="b">
        <f t="shared" si="33"/>
        <v>0</v>
      </c>
      <c r="AH41" s="500" t="b">
        <f t="shared" si="34"/>
        <v>0</v>
      </c>
      <c r="AI41" s="500" t="b">
        <f t="shared" si="8"/>
        <v>0</v>
      </c>
      <c r="AJ41" s="500" t="b">
        <f t="shared" si="9"/>
        <v>0</v>
      </c>
      <c r="AK41" s="500" t="b">
        <f t="shared" si="10"/>
        <v>0</v>
      </c>
      <c r="AL41" s="500" t="b">
        <f t="shared" si="11"/>
        <v>0</v>
      </c>
      <c r="AM41" s="500" t="b">
        <f t="shared" si="12"/>
        <v>0</v>
      </c>
      <c r="AN41" s="500" t="b">
        <f t="shared" si="13"/>
        <v>0</v>
      </c>
      <c r="AO41" s="500" t="b">
        <f t="shared" si="14"/>
        <v>0</v>
      </c>
      <c r="AP41" s="500" t="b">
        <f t="shared" si="15"/>
        <v>0</v>
      </c>
      <c r="AR41" s="545">
        <f t="shared" si="16"/>
        <v>0</v>
      </c>
      <c r="AS41" s="545">
        <f t="shared" si="17"/>
        <v>0</v>
      </c>
      <c r="AT41" s="545">
        <f t="shared" si="35"/>
        <v>0</v>
      </c>
      <c r="AU41" s="546"/>
      <c r="AV41" s="547">
        <f t="shared" si="18"/>
        <v>0</v>
      </c>
      <c r="AW41" s="547">
        <f t="shared" si="19"/>
        <v>0</v>
      </c>
      <c r="AX41" s="547">
        <f t="shared" si="20"/>
        <v>0</v>
      </c>
      <c r="AY41" s="547">
        <f t="shared" si="21"/>
        <v>0</v>
      </c>
      <c r="AZ41" s="547">
        <f t="shared" si="22"/>
        <v>0</v>
      </c>
      <c r="BA41" s="547">
        <f t="shared" si="23"/>
        <v>0</v>
      </c>
      <c r="BB41" s="547">
        <f t="shared" si="24"/>
        <v>0</v>
      </c>
      <c r="BC41" s="547">
        <f t="shared" si="25"/>
        <v>0</v>
      </c>
      <c r="BD41" s="547">
        <f t="shared" si="26"/>
        <v>0</v>
      </c>
      <c r="BE41" s="547">
        <f t="shared" si="27"/>
        <v>0</v>
      </c>
      <c r="BF41" s="547">
        <f t="shared" si="28"/>
        <v>0</v>
      </c>
      <c r="BG41" s="547">
        <f t="shared" si="29"/>
        <v>0</v>
      </c>
      <c r="BN41" s="527">
        <f t="shared" si="30"/>
        <v>0</v>
      </c>
      <c r="BO41" s="527">
        <f t="shared" si="31"/>
        <v>0</v>
      </c>
      <c r="BQ41" s="507">
        <v>5</v>
      </c>
      <c r="BR41" s="507" t="str">
        <f>$BR$28</f>
        <v>Suspended</v>
      </c>
      <c r="BS41" s="507" t="str">
        <f>$AC$50</f>
        <v>Yes</v>
      </c>
      <c r="BT41" s="507" t="str">
        <f t="shared" si="5"/>
        <v>5SuspendedYes</v>
      </c>
      <c r="BU41" s="507"/>
      <c r="BV41" s="507"/>
      <c r="BW41" s="649">
        <v>1.7</v>
      </c>
      <c r="BX41" s="650">
        <v>1.58</v>
      </c>
      <c r="BY41" s="651"/>
      <c r="BZ41" s="652"/>
      <c r="CB41" s="639"/>
      <c r="CE41" s="516"/>
    </row>
    <row r="42" spans="1:83" ht="11.25" customHeight="1">
      <c r="A42" s="571"/>
      <c r="B42" s="620">
        <f>IF(ISBLANK(Calculator!C50),"",Calculator!C50)</f>
        <v>14</v>
      </c>
      <c r="C42" s="726" t="str">
        <f>IF(ISBLANK(Calculator!D50),"",Calculator!D50)</f>
        <v/>
      </c>
      <c r="D42" s="727"/>
      <c r="E42" s="618" t="str">
        <f>IF(ISBLANK(Calculator!G50),"",Calculator!G50)</f>
        <v/>
      </c>
      <c r="F42" s="619" t="str">
        <f>IF(ISBLANK(Calculator!H50),"",Calculator!H50)</f>
        <v/>
      </c>
      <c r="G42" s="574"/>
      <c r="H42" s="577"/>
      <c r="I42" s="501"/>
      <c r="J42" s="580"/>
      <c r="K42" s="581"/>
      <c r="L42" s="544" t="str">
        <f t="shared" si="6"/>
        <v/>
      </c>
      <c r="M42" s="582"/>
      <c r="N42" s="582"/>
      <c r="O42" s="582"/>
      <c r="P42" s="582"/>
      <c r="Q42" s="582"/>
      <c r="R42" s="582"/>
      <c r="S42" s="582"/>
      <c r="T42" s="582"/>
      <c r="U42" s="582"/>
      <c r="V42" s="582"/>
      <c r="W42" s="582"/>
      <c r="X42" s="582"/>
      <c r="Y42" s="571"/>
      <c r="Z42" s="572"/>
      <c r="AA42" s="572"/>
      <c r="AB42" s="516"/>
      <c r="AC42" s="507" t="s">
        <v>544</v>
      </c>
      <c r="AE42" s="500" t="b">
        <f t="shared" si="7"/>
        <v>0</v>
      </c>
      <c r="AF42" s="500" t="b">
        <f t="shared" si="32"/>
        <v>0</v>
      </c>
      <c r="AG42" s="500" t="b">
        <f t="shared" si="33"/>
        <v>0</v>
      </c>
      <c r="AH42" s="500" t="b">
        <f t="shared" si="34"/>
        <v>0</v>
      </c>
      <c r="AI42" s="500" t="b">
        <f t="shared" si="8"/>
        <v>0</v>
      </c>
      <c r="AJ42" s="500" t="b">
        <f t="shared" si="9"/>
        <v>0</v>
      </c>
      <c r="AK42" s="500" t="b">
        <f t="shared" si="10"/>
        <v>0</v>
      </c>
      <c r="AL42" s="500" t="b">
        <f t="shared" si="11"/>
        <v>0</v>
      </c>
      <c r="AM42" s="500" t="b">
        <f t="shared" si="12"/>
        <v>0</v>
      </c>
      <c r="AN42" s="500" t="b">
        <f t="shared" si="13"/>
        <v>0</v>
      </c>
      <c r="AO42" s="500" t="b">
        <f t="shared" si="14"/>
        <v>0</v>
      </c>
      <c r="AP42" s="500" t="b">
        <f t="shared" si="15"/>
        <v>0</v>
      </c>
      <c r="AR42" s="545">
        <f t="shared" si="16"/>
        <v>0</v>
      </c>
      <c r="AS42" s="545">
        <f t="shared" si="17"/>
        <v>0</v>
      </c>
      <c r="AT42" s="545">
        <f t="shared" si="35"/>
        <v>0</v>
      </c>
      <c r="AU42" s="546"/>
      <c r="AV42" s="547">
        <f t="shared" si="18"/>
        <v>0</v>
      </c>
      <c r="AW42" s="547">
        <f t="shared" si="19"/>
        <v>0</v>
      </c>
      <c r="AX42" s="547">
        <f t="shared" si="20"/>
        <v>0</v>
      </c>
      <c r="AY42" s="547">
        <f t="shared" si="21"/>
        <v>0</v>
      </c>
      <c r="AZ42" s="547">
        <f t="shared" si="22"/>
        <v>0</v>
      </c>
      <c r="BA42" s="547">
        <f t="shared" si="23"/>
        <v>0</v>
      </c>
      <c r="BB42" s="547">
        <f t="shared" si="24"/>
        <v>0</v>
      </c>
      <c r="BC42" s="547">
        <f t="shared" si="25"/>
        <v>0</v>
      </c>
      <c r="BD42" s="547">
        <f t="shared" si="26"/>
        <v>0</v>
      </c>
      <c r="BE42" s="547">
        <f t="shared" si="27"/>
        <v>0</v>
      </c>
      <c r="BF42" s="547">
        <f t="shared" si="28"/>
        <v>0</v>
      </c>
      <c r="BG42" s="547">
        <f t="shared" si="29"/>
        <v>0</v>
      </c>
      <c r="BN42" s="527">
        <f t="shared" si="30"/>
        <v>0</v>
      </c>
      <c r="BO42" s="527">
        <f t="shared" si="31"/>
        <v>0</v>
      </c>
      <c r="BQ42" s="500">
        <v>6</v>
      </c>
      <c r="BR42" s="500" t="str">
        <f>$BR$26</f>
        <v>Direct</v>
      </c>
      <c r="BS42" s="500" t="str">
        <f>$AC$51</f>
        <v>No</v>
      </c>
      <c r="BT42" s="500" t="str">
        <f t="shared" si="5"/>
        <v>6DirectNo</v>
      </c>
      <c r="BU42" s="500"/>
      <c r="BV42" s="500"/>
      <c r="BW42" s="506">
        <v>2.97</v>
      </c>
      <c r="BX42" s="646">
        <v>1.06</v>
      </c>
      <c r="BY42" s="647"/>
      <c r="BZ42" s="648"/>
      <c r="CB42" s="639"/>
      <c r="CE42" s="516"/>
    </row>
    <row r="43" spans="1:83" ht="11.25" customHeight="1">
      <c r="A43" s="571"/>
      <c r="B43" s="620">
        <f>IF(ISBLANK(Calculator!C51),"",Calculator!C51)</f>
        <v>15</v>
      </c>
      <c r="C43" s="726" t="str">
        <f>IF(ISBLANK(Calculator!D51),"",Calculator!D51)</f>
        <v/>
      </c>
      <c r="D43" s="727"/>
      <c r="E43" s="618" t="str">
        <f>IF(ISBLANK(Calculator!G51),"",Calculator!G51)</f>
        <v/>
      </c>
      <c r="F43" s="619" t="str">
        <f>IF(ISBLANK(Calculator!H51),"",Calculator!H51)</f>
        <v/>
      </c>
      <c r="G43" s="574"/>
      <c r="H43" s="577"/>
      <c r="I43" s="501"/>
      <c r="J43" s="580"/>
      <c r="K43" s="581"/>
      <c r="L43" s="544" t="str">
        <f t="shared" si="6"/>
        <v/>
      </c>
      <c r="M43" s="582"/>
      <c r="N43" s="582"/>
      <c r="O43" s="582"/>
      <c r="P43" s="582"/>
      <c r="Q43" s="582"/>
      <c r="R43" s="582"/>
      <c r="S43" s="582"/>
      <c r="T43" s="582"/>
      <c r="U43" s="582"/>
      <c r="V43" s="582"/>
      <c r="W43" s="582"/>
      <c r="X43" s="582"/>
      <c r="Y43" s="571"/>
      <c r="Z43" s="572"/>
      <c r="AA43" s="572"/>
      <c r="AB43" s="516"/>
      <c r="AE43" s="500" t="b">
        <f t="shared" si="7"/>
        <v>0</v>
      </c>
      <c r="AF43" s="500" t="b">
        <f t="shared" si="32"/>
        <v>0</v>
      </c>
      <c r="AG43" s="500" t="b">
        <f t="shared" si="33"/>
        <v>0</v>
      </c>
      <c r="AH43" s="500" t="b">
        <f t="shared" si="34"/>
        <v>0</v>
      </c>
      <c r="AI43" s="500" t="b">
        <f t="shared" si="8"/>
        <v>0</v>
      </c>
      <c r="AJ43" s="500" t="b">
        <f t="shared" si="9"/>
        <v>0</v>
      </c>
      <c r="AK43" s="500" t="b">
        <f t="shared" si="10"/>
        <v>0</v>
      </c>
      <c r="AL43" s="500" t="b">
        <f t="shared" si="11"/>
        <v>0</v>
      </c>
      <c r="AM43" s="500" t="b">
        <f t="shared" si="12"/>
        <v>0</v>
      </c>
      <c r="AN43" s="500" t="b">
        <f t="shared" si="13"/>
        <v>0</v>
      </c>
      <c r="AO43" s="500" t="b">
        <f t="shared" si="14"/>
        <v>0</v>
      </c>
      <c r="AP43" s="500" t="b">
        <f t="shared" si="15"/>
        <v>0</v>
      </c>
      <c r="AR43" s="545">
        <f t="shared" si="16"/>
        <v>0</v>
      </c>
      <c r="AS43" s="545">
        <f t="shared" si="17"/>
        <v>0</v>
      </c>
      <c r="AT43" s="545">
        <f t="shared" si="35"/>
        <v>0</v>
      </c>
      <c r="AU43" s="546"/>
      <c r="AV43" s="547">
        <f t="shared" si="18"/>
        <v>0</v>
      </c>
      <c r="AW43" s="547">
        <f t="shared" si="19"/>
        <v>0</v>
      </c>
      <c r="AX43" s="547">
        <f t="shared" si="20"/>
        <v>0</v>
      </c>
      <c r="AY43" s="547">
        <f t="shared" si="21"/>
        <v>0</v>
      </c>
      <c r="AZ43" s="547">
        <f t="shared" si="22"/>
        <v>0</v>
      </c>
      <c r="BA43" s="547">
        <f t="shared" si="23"/>
        <v>0</v>
      </c>
      <c r="BB43" s="547">
        <f t="shared" si="24"/>
        <v>0</v>
      </c>
      <c r="BC43" s="547">
        <f t="shared" si="25"/>
        <v>0</v>
      </c>
      <c r="BD43" s="547">
        <f t="shared" si="26"/>
        <v>0</v>
      </c>
      <c r="BE43" s="547">
        <f t="shared" si="27"/>
        <v>0</v>
      </c>
      <c r="BF43" s="547">
        <f t="shared" si="28"/>
        <v>0</v>
      </c>
      <c r="BG43" s="547">
        <f t="shared" si="29"/>
        <v>0</v>
      </c>
      <c r="BN43" s="527">
        <f t="shared" si="30"/>
        <v>0</v>
      </c>
      <c r="BO43" s="527">
        <f t="shared" si="31"/>
        <v>0</v>
      </c>
      <c r="BQ43" s="500">
        <v>6</v>
      </c>
      <c r="BR43" s="500" t="str">
        <f>$BR$26</f>
        <v>Direct</v>
      </c>
      <c r="BS43" s="500" t="str">
        <f>$AC$50</f>
        <v>Yes</v>
      </c>
      <c r="BT43" s="500" t="str">
        <f t="shared" si="5"/>
        <v>6DirectYes</v>
      </c>
      <c r="BU43" s="500"/>
      <c r="BV43" s="500"/>
      <c r="BW43" s="506">
        <v>3.72</v>
      </c>
      <c r="BX43" s="646">
        <v>1.06</v>
      </c>
      <c r="BY43" s="647"/>
      <c r="BZ43" s="648"/>
      <c r="CB43" s="639"/>
      <c r="CE43" s="516"/>
    </row>
    <row r="44" spans="1:83" ht="11.25" customHeight="1">
      <c r="A44" s="571"/>
      <c r="B44" s="620">
        <f>IF(ISBLANK(Calculator!C52),"",Calculator!C52)</f>
        <v>16</v>
      </c>
      <c r="C44" s="726" t="str">
        <f>IF(ISBLANK(Calculator!D52),"",Calculator!D52)</f>
        <v/>
      </c>
      <c r="D44" s="727"/>
      <c r="E44" s="618" t="str">
        <f>IF(ISBLANK(Calculator!G52),"",Calculator!G52)</f>
        <v/>
      </c>
      <c r="F44" s="619" t="str">
        <f>IF(ISBLANK(Calculator!H52),"",Calculator!H52)</f>
        <v/>
      </c>
      <c r="G44" s="574"/>
      <c r="H44" s="577"/>
      <c r="I44" s="501"/>
      <c r="J44" s="580"/>
      <c r="K44" s="581"/>
      <c r="L44" s="544" t="str">
        <f t="shared" si="6"/>
        <v/>
      </c>
      <c r="M44" s="582"/>
      <c r="N44" s="582"/>
      <c r="O44" s="582"/>
      <c r="P44" s="582"/>
      <c r="Q44" s="582"/>
      <c r="R44" s="582"/>
      <c r="S44" s="582"/>
      <c r="T44" s="582"/>
      <c r="U44" s="582"/>
      <c r="V44" s="582"/>
      <c r="W44" s="582"/>
      <c r="X44" s="582"/>
      <c r="Y44" s="571"/>
      <c r="Z44" s="572"/>
      <c r="AA44" s="572"/>
      <c r="AB44" s="516"/>
      <c r="AE44" s="500" t="b">
        <f t="shared" si="7"/>
        <v>0</v>
      </c>
      <c r="AF44" s="500" t="b">
        <f t="shared" si="32"/>
        <v>0</v>
      </c>
      <c r="AG44" s="500" t="b">
        <f t="shared" si="33"/>
        <v>0</v>
      </c>
      <c r="AH44" s="500" t="b">
        <f t="shared" si="34"/>
        <v>0</v>
      </c>
      <c r="AI44" s="500" t="b">
        <f t="shared" si="8"/>
        <v>0</v>
      </c>
      <c r="AJ44" s="500" t="b">
        <f t="shared" si="9"/>
        <v>0</v>
      </c>
      <c r="AK44" s="500" t="b">
        <f t="shared" si="10"/>
        <v>0</v>
      </c>
      <c r="AL44" s="500" t="b">
        <f t="shared" si="11"/>
        <v>0</v>
      </c>
      <c r="AM44" s="500" t="b">
        <f t="shared" si="12"/>
        <v>0</v>
      </c>
      <c r="AN44" s="500" t="b">
        <f t="shared" si="13"/>
        <v>0</v>
      </c>
      <c r="AO44" s="500" t="b">
        <f t="shared" si="14"/>
        <v>0</v>
      </c>
      <c r="AP44" s="500" t="b">
        <f t="shared" si="15"/>
        <v>0</v>
      </c>
      <c r="AR44" s="545">
        <f t="shared" si="16"/>
        <v>0</v>
      </c>
      <c r="AS44" s="545">
        <f t="shared" si="17"/>
        <v>0</v>
      </c>
      <c r="AT44" s="545">
        <f t="shared" si="35"/>
        <v>0</v>
      </c>
      <c r="AU44" s="546"/>
      <c r="AV44" s="547">
        <f t="shared" si="18"/>
        <v>0</v>
      </c>
      <c r="AW44" s="547">
        <f t="shared" si="19"/>
        <v>0</v>
      </c>
      <c r="AX44" s="547">
        <f t="shared" si="20"/>
        <v>0</v>
      </c>
      <c r="AY44" s="547">
        <f t="shared" si="21"/>
        <v>0</v>
      </c>
      <c r="AZ44" s="547">
        <f t="shared" si="22"/>
        <v>0</v>
      </c>
      <c r="BA44" s="547">
        <f t="shared" si="23"/>
        <v>0</v>
      </c>
      <c r="BB44" s="547">
        <f t="shared" si="24"/>
        <v>0</v>
      </c>
      <c r="BC44" s="547">
        <f t="shared" si="25"/>
        <v>0</v>
      </c>
      <c r="BD44" s="547">
        <f t="shared" si="26"/>
        <v>0</v>
      </c>
      <c r="BE44" s="547">
        <f t="shared" si="27"/>
        <v>0</v>
      </c>
      <c r="BF44" s="547">
        <f t="shared" si="28"/>
        <v>0</v>
      </c>
      <c r="BG44" s="547">
        <f t="shared" si="29"/>
        <v>0</v>
      </c>
      <c r="BN44" s="527">
        <f t="shared" si="30"/>
        <v>0</v>
      </c>
      <c r="BO44" s="527">
        <f t="shared" si="31"/>
        <v>0</v>
      </c>
      <c r="BQ44" s="500">
        <v>6</v>
      </c>
      <c r="BR44" s="500" t="str">
        <f>$BR$28</f>
        <v>Suspended</v>
      </c>
      <c r="BS44" s="500" t="str">
        <f>$AC$51</f>
        <v>No</v>
      </c>
      <c r="BT44" s="500" t="str">
        <f t="shared" si="5"/>
        <v>6SuspendedNo</v>
      </c>
      <c r="BU44" s="500"/>
      <c r="BV44" s="500"/>
      <c r="BW44" s="506">
        <v>3.3</v>
      </c>
      <c r="BX44" s="646">
        <v>1.17</v>
      </c>
      <c r="BY44" s="647"/>
      <c r="BZ44" s="648"/>
      <c r="CB44" s="639"/>
      <c r="CE44" s="516"/>
    </row>
    <row r="45" spans="1:83" ht="11.25" customHeight="1">
      <c r="A45" s="571"/>
      <c r="B45" s="620">
        <f>IF(ISBLANK(Calculator!C53),"",Calculator!C53)</f>
        <v>17</v>
      </c>
      <c r="C45" s="726" t="str">
        <f>IF(ISBLANK(Calculator!D53),"",Calculator!D53)</f>
        <v/>
      </c>
      <c r="D45" s="727"/>
      <c r="E45" s="618" t="str">
        <f>IF(ISBLANK(Calculator!G53),"",Calculator!G53)</f>
        <v/>
      </c>
      <c r="F45" s="619" t="str">
        <f>IF(ISBLANK(Calculator!H53),"",Calculator!H53)</f>
        <v/>
      </c>
      <c r="G45" s="574"/>
      <c r="H45" s="577"/>
      <c r="I45" s="501"/>
      <c r="J45" s="580"/>
      <c r="K45" s="581"/>
      <c r="L45" s="544" t="str">
        <f t="shared" si="6"/>
        <v/>
      </c>
      <c r="M45" s="582"/>
      <c r="N45" s="582"/>
      <c r="O45" s="582"/>
      <c r="P45" s="582"/>
      <c r="Q45" s="582"/>
      <c r="R45" s="582"/>
      <c r="S45" s="582"/>
      <c r="T45" s="582"/>
      <c r="U45" s="582"/>
      <c r="V45" s="582"/>
      <c r="W45" s="582"/>
      <c r="X45" s="582"/>
      <c r="Y45" s="571"/>
      <c r="Z45" s="572"/>
      <c r="AA45" s="572"/>
      <c r="AB45" s="516"/>
      <c r="AE45" s="500" t="b">
        <f t="shared" si="7"/>
        <v>0</v>
      </c>
      <c r="AF45" s="500" t="b">
        <f t="shared" si="32"/>
        <v>0</v>
      </c>
      <c r="AG45" s="500" t="b">
        <f t="shared" si="33"/>
        <v>0</v>
      </c>
      <c r="AH45" s="500" t="b">
        <f t="shared" si="34"/>
        <v>0</v>
      </c>
      <c r="AI45" s="500" t="b">
        <f t="shared" si="8"/>
        <v>0</v>
      </c>
      <c r="AJ45" s="500" t="b">
        <f t="shared" si="9"/>
        <v>0</v>
      </c>
      <c r="AK45" s="500" t="b">
        <f t="shared" si="10"/>
        <v>0</v>
      </c>
      <c r="AL45" s="500" t="b">
        <f t="shared" si="11"/>
        <v>0</v>
      </c>
      <c r="AM45" s="500" t="b">
        <f t="shared" si="12"/>
        <v>0</v>
      </c>
      <c r="AN45" s="500" t="b">
        <f t="shared" si="13"/>
        <v>0</v>
      </c>
      <c r="AO45" s="500" t="b">
        <f t="shared" si="14"/>
        <v>0</v>
      </c>
      <c r="AP45" s="500" t="b">
        <f t="shared" si="15"/>
        <v>0</v>
      </c>
      <c r="AR45" s="545">
        <f t="shared" si="16"/>
        <v>0</v>
      </c>
      <c r="AS45" s="545">
        <f t="shared" si="17"/>
        <v>0</v>
      </c>
      <c r="AT45" s="545">
        <f t="shared" si="35"/>
        <v>0</v>
      </c>
      <c r="AU45" s="546"/>
      <c r="AV45" s="547">
        <f t="shared" si="18"/>
        <v>0</v>
      </c>
      <c r="AW45" s="547">
        <f t="shared" si="19"/>
        <v>0</v>
      </c>
      <c r="AX45" s="547">
        <f t="shared" si="20"/>
        <v>0</v>
      </c>
      <c r="AY45" s="547">
        <f t="shared" si="21"/>
        <v>0</v>
      </c>
      <c r="AZ45" s="547">
        <f t="shared" si="22"/>
        <v>0</v>
      </c>
      <c r="BA45" s="547">
        <f t="shared" si="23"/>
        <v>0</v>
      </c>
      <c r="BB45" s="547">
        <f t="shared" si="24"/>
        <v>0</v>
      </c>
      <c r="BC45" s="547">
        <f t="shared" si="25"/>
        <v>0</v>
      </c>
      <c r="BD45" s="547">
        <f t="shared" si="26"/>
        <v>0</v>
      </c>
      <c r="BE45" s="547">
        <f t="shared" si="27"/>
        <v>0</v>
      </c>
      <c r="BF45" s="547">
        <f t="shared" si="28"/>
        <v>0</v>
      </c>
      <c r="BG45" s="547">
        <f t="shared" si="29"/>
        <v>0</v>
      </c>
      <c r="BN45" s="527">
        <f t="shared" si="30"/>
        <v>0</v>
      </c>
      <c r="BO45" s="527">
        <f t="shared" si="31"/>
        <v>0</v>
      </c>
      <c r="BQ45" s="500">
        <v>6</v>
      </c>
      <c r="BR45" s="500" t="str">
        <f>$BR$28</f>
        <v>Suspended</v>
      </c>
      <c r="BS45" s="500" t="str">
        <f>$AC$50</f>
        <v>Yes</v>
      </c>
      <c r="BT45" s="500" t="str">
        <f t="shared" si="5"/>
        <v>6SuspendedYes</v>
      </c>
      <c r="BU45" s="500"/>
      <c r="BV45" s="500"/>
      <c r="BW45" s="506">
        <v>4.13</v>
      </c>
      <c r="BX45" s="646">
        <v>1.17</v>
      </c>
      <c r="BY45" s="647"/>
      <c r="BZ45" s="648"/>
      <c r="CB45" s="639"/>
      <c r="CE45" s="516"/>
    </row>
    <row r="46" spans="1:83" ht="11.25" customHeight="1">
      <c r="A46" s="571"/>
      <c r="B46" s="620">
        <f>IF(ISBLANK(Calculator!C54),"",Calculator!C54)</f>
        <v>18</v>
      </c>
      <c r="C46" s="726" t="str">
        <f>IF(ISBLANK(Calculator!D54),"",Calculator!D54)</f>
        <v/>
      </c>
      <c r="D46" s="727"/>
      <c r="E46" s="618" t="str">
        <f>IF(ISBLANK(Calculator!G54),"",Calculator!G54)</f>
        <v/>
      </c>
      <c r="F46" s="619" t="str">
        <f>IF(ISBLANK(Calculator!H54),"",Calculator!H54)</f>
        <v/>
      </c>
      <c r="G46" s="574"/>
      <c r="H46" s="577"/>
      <c r="I46" s="501"/>
      <c r="J46" s="580"/>
      <c r="K46" s="581"/>
      <c r="L46" s="544" t="str">
        <f t="shared" si="6"/>
        <v/>
      </c>
      <c r="M46" s="582"/>
      <c r="N46" s="582"/>
      <c r="O46" s="582"/>
      <c r="P46" s="582"/>
      <c r="Q46" s="582"/>
      <c r="R46" s="582"/>
      <c r="S46" s="582"/>
      <c r="T46" s="582"/>
      <c r="U46" s="582"/>
      <c r="V46" s="582"/>
      <c r="W46" s="582"/>
      <c r="X46" s="582"/>
      <c r="Y46" s="571"/>
      <c r="Z46" s="572"/>
      <c r="AA46" s="572"/>
      <c r="AB46" s="516"/>
      <c r="AE46" s="500" t="b">
        <f t="shared" si="7"/>
        <v>0</v>
      </c>
      <c r="AF46" s="500" t="b">
        <f t="shared" si="32"/>
        <v>0</v>
      </c>
      <c r="AG46" s="500" t="b">
        <f t="shared" si="33"/>
        <v>0</v>
      </c>
      <c r="AH46" s="500" t="b">
        <f t="shared" si="34"/>
        <v>0</v>
      </c>
      <c r="AI46" s="500" t="b">
        <f t="shared" si="8"/>
        <v>0</v>
      </c>
      <c r="AJ46" s="500" t="b">
        <f t="shared" si="9"/>
        <v>0</v>
      </c>
      <c r="AK46" s="500" t="b">
        <f t="shared" si="10"/>
        <v>0</v>
      </c>
      <c r="AL46" s="500" t="b">
        <f t="shared" si="11"/>
        <v>0</v>
      </c>
      <c r="AM46" s="500" t="b">
        <f t="shared" si="12"/>
        <v>0</v>
      </c>
      <c r="AN46" s="500" t="b">
        <f t="shared" si="13"/>
        <v>0</v>
      </c>
      <c r="AO46" s="500" t="b">
        <f t="shared" si="14"/>
        <v>0</v>
      </c>
      <c r="AP46" s="500" t="b">
        <f t="shared" si="15"/>
        <v>0</v>
      </c>
      <c r="AR46" s="545">
        <f t="shared" si="16"/>
        <v>0</v>
      </c>
      <c r="AS46" s="545">
        <f t="shared" si="17"/>
        <v>0</v>
      </c>
      <c r="AT46" s="545">
        <f t="shared" si="35"/>
        <v>0</v>
      </c>
      <c r="AU46" s="546"/>
      <c r="AV46" s="547">
        <f t="shared" si="18"/>
        <v>0</v>
      </c>
      <c r="AW46" s="547">
        <f t="shared" si="19"/>
        <v>0</v>
      </c>
      <c r="AX46" s="547">
        <f t="shared" si="20"/>
        <v>0</v>
      </c>
      <c r="AY46" s="547">
        <f t="shared" si="21"/>
        <v>0</v>
      </c>
      <c r="AZ46" s="547">
        <f t="shared" si="22"/>
        <v>0</v>
      </c>
      <c r="BA46" s="547">
        <f t="shared" si="23"/>
        <v>0</v>
      </c>
      <c r="BB46" s="547">
        <f t="shared" si="24"/>
        <v>0</v>
      </c>
      <c r="BC46" s="547">
        <f t="shared" si="25"/>
        <v>0</v>
      </c>
      <c r="BD46" s="547">
        <f t="shared" si="26"/>
        <v>0</v>
      </c>
      <c r="BE46" s="547">
        <f t="shared" si="27"/>
        <v>0</v>
      </c>
      <c r="BF46" s="547">
        <f t="shared" si="28"/>
        <v>0</v>
      </c>
      <c r="BG46" s="547">
        <f t="shared" si="29"/>
        <v>0</v>
      </c>
      <c r="BN46" s="527">
        <f t="shared" si="30"/>
        <v>0</v>
      </c>
      <c r="BO46" s="527">
        <f t="shared" si="31"/>
        <v>0</v>
      </c>
      <c r="BW46" s="505" t="s">
        <v>565</v>
      </c>
      <c r="CB46" s="639"/>
      <c r="CE46" s="516"/>
    </row>
    <row r="47" spans="1:83" ht="11.25" customHeight="1">
      <c r="A47" s="571"/>
      <c r="B47" s="620">
        <f>IF(ISBLANK(Calculator!C55),"",Calculator!C55)</f>
        <v>19</v>
      </c>
      <c r="C47" s="726" t="str">
        <f>IF(ISBLANK(Calculator!D55),"",Calculator!D55)</f>
        <v/>
      </c>
      <c r="D47" s="727"/>
      <c r="E47" s="618" t="str">
        <f>IF(ISBLANK(Calculator!G55),"",Calculator!G55)</f>
        <v/>
      </c>
      <c r="F47" s="619" t="str">
        <f>IF(ISBLANK(Calculator!H55),"",Calculator!H55)</f>
        <v/>
      </c>
      <c r="G47" s="574"/>
      <c r="H47" s="577"/>
      <c r="I47" s="501"/>
      <c r="J47" s="580"/>
      <c r="K47" s="581"/>
      <c r="L47" s="544" t="str">
        <f t="shared" si="6"/>
        <v/>
      </c>
      <c r="M47" s="582"/>
      <c r="N47" s="582"/>
      <c r="O47" s="582"/>
      <c r="P47" s="582"/>
      <c r="Q47" s="582"/>
      <c r="R47" s="582"/>
      <c r="S47" s="582"/>
      <c r="T47" s="582"/>
      <c r="U47" s="582"/>
      <c r="V47" s="582"/>
      <c r="W47" s="582"/>
      <c r="X47" s="582"/>
      <c r="Y47" s="571"/>
      <c r="Z47" s="572"/>
      <c r="AA47" s="572"/>
      <c r="AB47" s="516"/>
      <c r="AE47" s="500" t="b">
        <f t="shared" si="7"/>
        <v>0</v>
      </c>
      <c r="AF47" s="500" t="b">
        <f t="shared" si="32"/>
        <v>0</v>
      </c>
      <c r="AG47" s="500" t="b">
        <f t="shared" si="33"/>
        <v>0</v>
      </c>
      <c r="AH47" s="500" t="b">
        <f t="shared" si="34"/>
        <v>0</v>
      </c>
      <c r="AI47" s="500" t="b">
        <f t="shared" si="8"/>
        <v>0</v>
      </c>
      <c r="AJ47" s="500" t="b">
        <f t="shared" si="9"/>
        <v>0</v>
      </c>
      <c r="AK47" s="500" t="b">
        <f t="shared" si="10"/>
        <v>0</v>
      </c>
      <c r="AL47" s="500" t="b">
        <f t="shared" si="11"/>
        <v>0</v>
      </c>
      <c r="AM47" s="500" t="b">
        <f t="shared" si="12"/>
        <v>0</v>
      </c>
      <c r="AN47" s="500" t="b">
        <f t="shared" si="13"/>
        <v>0</v>
      </c>
      <c r="AO47" s="500" t="b">
        <f t="shared" si="14"/>
        <v>0</v>
      </c>
      <c r="AP47" s="500" t="b">
        <f t="shared" si="15"/>
        <v>0</v>
      </c>
      <c r="AR47" s="545">
        <f t="shared" si="16"/>
        <v>0</v>
      </c>
      <c r="AS47" s="545">
        <f t="shared" si="17"/>
        <v>0</v>
      </c>
      <c r="AT47" s="545">
        <f t="shared" si="35"/>
        <v>0</v>
      </c>
      <c r="AU47" s="546"/>
      <c r="AV47" s="547">
        <f t="shared" si="18"/>
        <v>0</v>
      </c>
      <c r="AW47" s="547">
        <f t="shared" si="19"/>
        <v>0</v>
      </c>
      <c r="AX47" s="547">
        <f t="shared" si="20"/>
        <v>0</v>
      </c>
      <c r="AY47" s="547">
        <f t="shared" si="21"/>
        <v>0</v>
      </c>
      <c r="AZ47" s="547">
        <f t="shared" si="22"/>
        <v>0</v>
      </c>
      <c r="BA47" s="547">
        <f t="shared" si="23"/>
        <v>0</v>
      </c>
      <c r="BB47" s="547">
        <f t="shared" si="24"/>
        <v>0</v>
      </c>
      <c r="BC47" s="547">
        <f t="shared" si="25"/>
        <v>0</v>
      </c>
      <c r="BD47" s="547">
        <f t="shared" si="26"/>
        <v>0</v>
      </c>
      <c r="BE47" s="547">
        <f t="shared" si="27"/>
        <v>0</v>
      </c>
      <c r="BF47" s="547">
        <f t="shared" si="28"/>
        <v>0</v>
      </c>
      <c r="BG47" s="547">
        <f t="shared" si="29"/>
        <v>0</v>
      </c>
      <c r="BN47" s="527">
        <f t="shared" si="30"/>
        <v>0</v>
      </c>
      <c r="BO47" s="527">
        <f t="shared" si="31"/>
        <v>0</v>
      </c>
      <c r="CB47" s="639"/>
      <c r="CE47" s="516"/>
    </row>
    <row r="48" spans="1:83" ht="11.25" customHeight="1">
      <c r="A48" s="571"/>
      <c r="B48" s="620">
        <f>IF(ISBLANK(Calculator!C56),"",Calculator!C56)</f>
        <v>20</v>
      </c>
      <c r="C48" s="726" t="str">
        <f>IF(ISBLANK(Calculator!D56),"",Calculator!D56)</f>
        <v/>
      </c>
      <c r="D48" s="727"/>
      <c r="E48" s="618" t="str">
        <f>IF(ISBLANK(Calculator!G56),"",Calculator!G56)</f>
        <v/>
      </c>
      <c r="F48" s="619" t="str">
        <f>IF(ISBLANK(Calculator!H56),"",Calculator!H56)</f>
        <v/>
      </c>
      <c r="G48" s="574"/>
      <c r="H48" s="577"/>
      <c r="I48" s="501"/>
      <c r="J48" s="580"/>
      <c r="K48" s="581"/>
      <c r="L48" s="544" t="str">
        <f t="shared" si="6"/>
        <v/>
      </c>
      <c r="M48" s="582"/>
      <c r="N48" s="582"/>
      <c r="O48" s="582"/>
      <c r="P48" s="582"/>
      <c r="Q48" s="582"/>
      <c r="R48" s="582"/>
      <c r="S48" s="582"/>
      <c r="T48" s="582"/>
      <c r="U48" s="582"/>
      <c r="V48" s="582"/>
      <c r="W48" s="582"/>
      <c r="X48" s="582"/>
      <c r="Y48" s="571"/>
      <c r="Z48" s="572"/>
      <c r="AA48" s="572"/>
      <c r="AB48" s="516"/>
      <c r="AE48" s="500" t="b">
        <f t="shared" si="7"/>
        <v>0</v>
      </c>
      <c r="AF48" s="500" t="b">
        <f t="shared" si="32"/>
        <v>0</v>
      </c>
      <c r="AG48" s="500" t="b">
        <f t="shared" si="33"/>
        <v>0</v>
      </c>
      <c r="AH48" s="500" t="b">
        <f t="shared" si="34"/>
        <v>0</v>
      </c>
      <c r="AI48" s="500" t="b">
        <f t="shared" si="8"/>
        <v>0</v>
      </c>
      <c r="AJ48" s="500" t="b">
        <f t="shared" si="9"/>
        <v>0</v>
      </c>
      <c r="AK48" s="500" t="b">
        <f t="shared" si="10"/>
        <v>0</v>
      </c>
      <c r="AL48" s="500" t="b">
        <f t="shared" si="11"/>
        <v>0</v>
      </c>
      <c r="AM48" s="500" t="b">
        <f t="shared" si="12"/>
        <v>0</v>
      </c>
      <c r="AN48" s="500" t="b">
        <f t="shared" si="13"/>
        <v>0</v>
      </c>
      <c r="AO48" s="500" t="b">
        <f t="shared" si="14"/>
        <v>0</v>
      </c>
      <c r="AP48" s="500" t="b">
        <f t="shared" si="15"/>
        <v>0</v>
      </c>
      <c r="AR48" s="545">
        <f t="shared" si="16"/>
        <v>0</v>
      </c>
      <c r="AS48" s="545">
        <f t="shared" si="17"/>
        <v>0</v>
      </c>
      <c r="AT48" s="545">
        <f t="shared" si="35"/>
        <v>0</v>
      </c>
      <c r="AU48" s="546"/>
      <c r="AV48" s="547">
        <f t="shared" si="18"/>
        <v>0</v>
      </c>
      <c r="AW48" s="547">
        <f t="shared" si="19"/>
        <v>0</v>
      </c>
      <c r="AX48" s="547">
        <f t="shared" si="20"/>
        <v>0</v>
      </c>
      <c r="AY48" s="547">
        <f t="shared" si="21"/>
        <v>0</v>
      </c>
      <c r="AZ48" s="547">
        <f t="shared" si="22"/>
        <v>0</v>
      </c>
      <c r="BA48" s="547">
        <f t="shared" si="23"/>
        <v>0</v>
      </c>
      <c r="BB48" s="547">
        <f t="shared" si="24"/>
        <v>0</v>
      </c>
      <c r="BC48" s="547">
        <f t="shared" si="25"/>
        <v>0</v>
      </c>
      <c r="BD48" s="547">
        <f t="shared" si="26"/>
        <v>0</v>
      </c>
      <c r="BE48" s="547">
        <f t="shared" si="27"/>
        <v>0</v>
      </c>
      <c r="BF48" s="547">
        <f t="shared" si="28"/>
        <v>0</v>
      </c>
      <c r="BG48" s="547">
        <f t="shared" si="29"/>
        <v>0</v>
      </c>
      <c r="BN48" s="527">
        <f t="shared" si="30"/>
        <v>0</v>
      </c>
      <c r="BO48" s="527">
        <f t="shared" si="31"/>
        <v>0</v>
      </c>
      <c r="BR48" s="505" t="s">
        <v>566</v>
      </c>
      <c r="CB48" s="639"/>
      <c r="CE48" s="516"/>
    </row>
    <row r="49" spans="1:83" ht="11.25" customHeight="1">
      <c r="A49" s="571"/>
      <c r="B49" s="620">
        <f>IF(ISBLANK(Calculator!C57),"",Calculator!C57)</f>
        <v>21</v>
      </c>
      <c r="C49" s="726" t="str">
        <f>IF(ISBLANK(Calculator!D57),"",Calculator!D57)</f>
        <v/>
      </c>
      <c r="D49" s="727"/>
      <c r="E49" s="618" t="str">
        <f>IF(ISBLANK(Calculator!G57),"",Calculator!G57)</f>
        <v/>
      </c>
      <c r="F49" s="619" t="str">
        <f>IF(ISBLANK(Calculator!H57),"",Calculator!H57)</f>
        <v/>
      </c>
      <c r="G49" s="574"/>
      <c r="H49" s="577"/>
      <c r="I49" s="501"/>
      <c r="J49" s="580"/>
      <c r="K49" s="581"/>
      <c r="L49" s="544" t="str">
        <f t="shared" si="6"/>
        <v/>
      </c>
      <c r="M49" s="582"/>
      <c r="N49" s="582"/>
      <c r="O49" s="582"/>
      <c r="P49" s="582"/>
      <c r="Q49" s="582"/>
      <c r="R49" s="582"/>
      <c r="S49" s="582"/>
      <c r="T49" s="582"/>
      <c r="U49" s="582"/>
      <c r="V49" s="582"/>
      <c r="W49" s="582"/>
      <c r="X49" s="582"/>
      <c r="Y49" s="571"/>
      <c r="Z49" s="572"/>
      <c r="AA49" s="572"/>
      <c r="AB49" s="516"/>
      <c r="AC49" s="514" t="s">
        <v>389</v>
      </c>
      <c r="AE49" s="500" t="b">
        <f t="shared" si="7"/>
        <v>0</v>
      </c>
      <c r="AF49" s="500" t="b">
        <f t="shared" si="32"/>
        <v>0</v>
      </c>
      <c r="AG49" s="500" t="b">
        <f t="shared" si="33"/>
        <v>0</v>
      </c>
      <c r="AH49" s="500" t="b">
        <f t="shared" si="34"/>
        <v>0</v>
      </c>
      <c r="AI49" s="500" t="b">
        <f t="shared" si="8"/>
        <v>0</v>
      </c>
      <c r="AJ49" s="500" t="b">
        <f t="shared" si="9"/>
        <v>0</v>
      </c>
      <c r="AK49" s="500" t="b">
        <f t="shared" si="10"/>
        <v>0</v>
      </c>
      <c r="AL49" s="500" t="b">
        <f t="shared" si="11"/>
        <v>0</v>
      </c>
      <c r="AM49" s="500" t="b">
        <f t="shared" si="12"/>
        <v>0</v>
      </c>
      <c r="AN49" s="500" t="b">
        <f t="shared" si="13"/>
        <v>0</v>
      </c>
      <c r="AO49" s="500" t="b">
        <f t="shared" si="14"/>
        <v>0</v>
      </c>
      <c r="AP49" s="500" t="b">
        <f t="shared" si="15"/>
        <v>0</v>
      </c>
      <c r="AR49" s="545">
        <f t="shared" si="16"/>
        <v>0</v>
      </c>
      <c r="AS49" s="545">
        <f t="shared" si="17"/>
        <v>0</v>
      </c>
      <c r="AT49" s="545">
        <f t="shared" si="35"/>
        <v>0</v>
      </c>
      <c r="AU49" s="546"/>
      <c r="AV49" s="547">
        <f t="shared" si="18"/>
        <v>0</v>
      </c>
      <c r="AW49" s="547">
        <f t="shared" si="19"/>
        <v>0</v>
      </c>
      <c r="AX49" s="547">
        <f t="shared" si="20"/>
        <v>0</v>
      </c>
      <c r="AY49" s="547">
        <f t="shared" si="21"/>
        <v>0</v>
      </c>
      <c r="AZ49" s="547">
        <f t="shared" si="22"/>
        <v>0</v>
      </c>
      <c r="BA49" s="547">
        <f t="shared" si="23"/>
        <v>0</v>
      </c>
      <c r="BB49" s="547">
        <f t="shared" si="24"/>
        <v>0</v>
      </c>
      <c r="BC49" s="547">
        <f t="shared" si="25"/>
        <v>0</v>
      </c>
      <c r="BD49" s="547">
        <f t="shared" si="26"/>
        <v>0</v>
      </c>
      <c r="BE49" s="547">
        <f t="shared" si="27"/>
        <v>0</v>
      </c>
      <c r="BF49" s="547">
        <f t="shared" si="28"/>
        <v>0</v>
      </c>
      <c r="BG49" s="547">
        <f t="shared" si="29"/>
        <v>0</v>
      </c>
      <c r="BN49" s="527">
        <f t="shared" si="30"/>
        <v>0</v>
      </c>
      <c r="BO49" s="527">
        <f t="shared" si="31"/>
        <v>0</v>
      </c>
      <c r="BQ49" s="532" t="s">
        <v>567</v>
      </c>
      <c r="BR49" s="500" t="str">
        <f>CONCATENATE(Zone,BR26,IF(Calculator!H29=BR53,$AC$51,$AC$50))</f>
        <v>DirectYes</v>
      </c>
      <c r="BS49" s="500"/>
      <c r="BT49" s="500"/>
      <c r="BU49" s="500"/>
      <c r="BV49" s="500"/>
      <c r="BW49" s="653" t="e">
        <f>INDEX(BC_DataTable,MATCH($BR$49,BC_DataColumn,0),1)</f>
        <v>#N/A</v>
      </c>
      <c r="BX49" s="653" t="e">
        <f>INDEX(BC_DataTable,MATCH($BR$49,BC_DataColumn,0),2)</f>
        <v>#N/A</v>
      </c>
      <c r="BY49" s="654">
        <f>$BY$26</f>
        <v>1</v>
      </c>
      <c r="BZ49" s="654">
        <f>$BY$26</f>
        <v>1</v>
      </c>
      <c r="CB49" s="639"/>
      <c r="CE49" s="516"/>
    </row>
    <row r="50" spans="1:83" ht="11.25" customHeight="1">
      <c r="A50" s="571"/>
      <c r="B50" s="620">
        <f>IF(ISBLANK(Calculator!C58),"",Calculator!C58)</f>
        <v>22</v>
      </c>
      <c r="C50" s="726" t="str">
        <f>IF(ISBLANK(Calculator!D58),"",Calculator!D58)</f>
        <v/>
      </c>
      <c r="D50" s="727"/>
      <c r="E50" s="618" t="str">
        <f>IF(ISBLANK(Calculator!G58),"",Calculator!G58)</f>
        <v/>
      </c>
      <c r="F50" s="619" t="str">
        <f>IF(ISBLANK(Calculator!H58),"",Calculator!H58)</f>
        <v/>
      </c>
      <c r="G50" s="574"/>
      <c r="H50" s="577"/>
      <c r="I50" s="501"/>
      <c r="J50" s="580"/>
      <c r="K50" s="581"/>
      <c r="L50" s="544" t="str">
        <f t="shared" si="6"/>
        <v/>
      </c>
      <c r="M50" s="582"/>
      <c r="N50" s="582"/>
      <c r="O50" s="582"/>
      <c r="P50" s="582"/>
      <c r="Q50" s="582"/>
      <c r="R50" s="582"/>
      <c r="S50" s="582"/>
      <c r="T50" s="582"/>
      <c r="U50" s="582"/>
      <c r="V50" s="582"/>
      <c r="W50" s="582"/>
      <c r="X50" s="582"/>
      <c r="Y50" s="571"/>
      <c r="Z50" s="572"/>
      <c r="AA50" s="572"/>
      <c r="AB50" s="516"/>
      <c r="AC50" s="500" t="s">
        <v>387</v>
      </c>
      <c r="AE50" s="500" t="b">
        <f t="shared" si="7"/>
        <v>0</v>
      </c>
      <c r="AF50" s="500" t="b">
        <f t="shared" si="32"/>
        <v>0</v>
      </c>
      <c r="AG50" s="500" t="b">
        <f t="shared" si="33"/>
        <v>0</v>
      </c>
      <c r="AH50" s="500" t="b">
        <f t="shared" si="34"/>
        <v>0</v>
      </c>
      <c r="AI50" s="500" t="b">
        <f t="shared" si="8"/>
        <v>0</v>
      </c>
      <c r="AJ50" s="500" t="b">
        <f t="shared" si="9"/>
        <v>0</v>
      </c>
      <c r="AK50" s="500" t="b">
        <f t="shared" si="10"/>
        <v>0</v>
      </c>
      <c r="AL50" s="500" t="b">
        <f t="shared" si="11"/>
        <v>0</v>
      </c>
      <c r="AM50" s="500" t="b">
        <f t="shared" si="12"/>
        <v>0</v>
      </c>
      <c r="AN50" s="500" t="b">
        <f t="shared" si="13"/>
        <v>0</v>
      </c>
      <c r="AO50" s="500" t="b">
        <f t="shared" si="14"/>
        <v>0</v>
      </c>
      <c r="AP50" s="500" t="b">
        <f t="shared" si="15"/>
        <v>0</v>
      </c>
      <c r="AR50" s="545">
        <f t="shared" si="16"/>
        <v>0</v>
      </c>
      <c r="AS50" s="545">
        <f t="shared" si="17"/>
        <v>0</v>
      </c>
      <c r="AT50" s="545">
        <f t="shared" si="35"/>
        <v>0</v>
      </c>
      <c r="AU50" s="546"/>
      <c r="AV50" s="547">
        <f t="shared" si="18"/>
        <v>0</v>
      </c>
      <c r="AW50" s="547">
        <f t="shared" si="19"/>
        <v>0</v>
      </c>
      <c r="AX50" s="547">
        <f t="shared" si="20"/>
        <v>0</v>
      </c>
      <c r="AY50" s="547">
        <f t="shared" si="21"/>
        <v>0</v>
      </c>
      <c r="AZ50" s="547">
        <f t="shared" si="22"/>
        <v>0</v>
      </c>
      <c r="BA50" s="547">
        <f t="shared" si="23"/>
        <v>0</v>
      </c>
      <c r="BB50" s="547">
        <f t="shared" si="24"/>
        <v>0</v>
      </c>
      <c r="BC50" s="547">
        <f t="shared" si="25"/>
        <v>0</v>
      </c>
      <c r="BD50" s="547">
        <f t="shared" si="26"/>
        <v>0</v>
      </c>
      <c r="BE50" s="547">
        <f t="shared" si="27"/>
        <v>0</v>
      </c>
      <c r="BF50" s="547">
        <f t="shared" si="28"/>
        <v>0</v>
      </c>
      <c r="BG50" s="547">
        <f t="shared" si="29"/>
        <v>0</v>
      </c>
      <c r="BN50" s="527">
        <f t="shared" si="30"/>
        <v>0</v>
      </c>
      <c r="BO50" s="527">
        <f t="shared" si="31"/>
        <v>0</v>
      </c>
      <c r="BR50" s="500" t="str">
        <f>CONCATENATE(Zone,BR28,IF(Calculator!H29=BR53,$AC$51,$AC$50))</f>
        <v>SuspendedYes</v>
      </c>
      <c r="BS50" s="500"/>
      <c r="BT50" s="500"/>
      <c r="BU50" s="500"/>
      <c r="BV50" s="500"/>
      <c r="BW50" s="653" t="e">
        <f>INDEX(BC_DataTable,MATCH($BR$50,BC_DataColumn,0),1)</f>
        <v>#N/A</v>
      </c>
      <c r="BX50" s="653" t="e">
        <f>INDEX(BC_DataTable,MATCH($BR$50,BC_DataColumn,0),2)</f>
        <v>#N/A</v>
      </c>
      <c r="BY50" s="654">
        <f>$BY$26</f>
        <v>1</v>
      </c>
      <c r="BZ50" s="654">
        <f>$BY26</f>
        <v>1</v>
      </c>
      <c r="CB50" s="639"/>
      <c r="CE50" s="516"/>
    </row>
    <row r="51" spans="1:83" ht="11.25" customHeight="1">
      <c r="A51" s="571"/>
      <c r="B51" s="620">
        <f>IF(ISBLANK(Calculator!C59),"",Calculator!C59)</f>
        <v>23</v>
      </c>
      <c r="C51" s="726" t="str">
        <f>IF(ISBLANK(Calculator!D59),"",Calculator!D59)</f>
        <v/>
      </c>
      <c r="D51" s="727"/>
      <c r="E51" s="618" t="str">
        <f>IF(ISBLANK(Calculator!G59),"",Calculator!G59)</f>
        <v/>
      </c>
      <c r="F51" s="619" t="str">
        <f>IF(ISBLANK(Calculator!H59),"",Calculator!H59)</f>
        <v/>
      </c>
      <c r="G51" s="574"/>
      <c r="H51" s="577"/>
      <c r="I51" s="501"/>
      <c r="J51" s="580"/>
      <c r="K51" s="581"/>
      <c r="L51" s="544" t="str">
        <f t="shared" si="6"/>
        <v/>
      </c>
      <c r="M51" s="582"/>
      <c r="N51" s="582"/>
      <c r="O51" s="582"/>
      <c r="P51" s="582"/>
      <c r="Q51" s="582"/>
      <c r="R51" s="582"/>
      <c r="S51" s="582"/>
      <c r="T51" s="582"/>
      <c r="U51" s="582"/>
      <c r="V51" s="582"/>
      <c r="W51" s="582"/>
      <c r="X51" s="582"/>
      <c r="Y51" s="571"/>
      <c r="Z51" s="572"/>
      <c r="AA51" s="572"/>
      <c r="AB51" s="516"/>
      <c r="AC51" s="500" t="s">
        <v>388</v>
      </c>
      <c r="AE51" s="500" t="b">
        <f t="shared" si="7"/>
        <v>0</v>
      </c>
      <c r="AF51" s="500" t="b">
        <f t="shared" si="32"/>
        <v>0</v>
      </c>
      <c r="AG51" s="500" t="b">
        <f t="shared" si="33"/>
        <v>0</v>
      </c>
      <c r="AH51" s="500" t="b">
        <f t="shared" si="34"/>
        <v>0</v>
      </c>
      <c r="AI51" s="500" t="b">
        <f t="shared" si="8"/>
        <v>0</v>
      </c>
      <c r="AJ51" s="500" t="b">
        <f t="shared" si="9"/>
        <v>0</v>
      </c>
      <c r="AK51" s="500" t="b">
        <f t="shared" si="10"/>
        <v>0</v>
      </c>
      <c r="AL51" s="500" t="b">
        <f t="shared" si="11"/>
        <v>0</v>
      </c>
      <c r="AM51" s="500" t="b">
        <f t="shared" si="12"/>
        <v>0</v>
      </c>
      <c r="AN51" s="500" t="b">
        <f t="shared" si="13"/>
        <v>0</v>
      </c>
      <c r="AO51" s="500" t="b">
        <f t="shared" si="14"/>
        <v>0</v>
      </c>
      <c r="AP51" s="500" t="b">
        <f t="shared" si="15"/>
        <v>0</v>
      </c>
      <c r="AR51" s="545">
        <f t="shared" si="16"/>
        <v>0</v>
      </c>
      <c r="AS51" s="545">
        <f t="shared" si="17"/>
        <v>0</v>
      </c>
      <c r="AT51" s="545">
        <f t="shared" si="35"/>
        <v>0</v>
      </c>
      <c r="AU51" s="546"/>
      <c r="AV51" s="547">
        <f t="shared" si="18"/>
        <v>0</v>
      </c>
      <c r="AW51" s="547">
        <f t="shared" si="19"/>
        <v>0</v>
      </c>
      <c r="AX51" s="547">
        <f t="shared" si="20"/>
        <v>0</v>
      </c>
      <c r="AY51" s="547">
        <f t="shared" si="21"/>
        <v>0</v>
      </c>
      <c r="AZ51" s="547">
        <f t="shared" si="22"/>
        <v>0</v>
      </c>
      <c r="BA51" s="547">
        <f t="shared" si="23"/>
        <v>0</v>
      </c>
      <c r="BB51" s="547">
        <f t="shared" si="24"/>
        <v>0</v>
      </c>
      <c r="BC51" s="547">
        <f t="shared" si="25"/>
        <v>0</v>
      </c>
      <c r="BD51" s="547">
        <f t="shared" si="26"/>
        <v>0</v>
      </c>
      <c r="BE51" s="547">
        <f t="shared" si="27"/>
        <v>0</v>
      </c>
      <c r="BF51" s="547">
        <f t="shared" si="28"/>
        <v>0</v>
      </c>
      <c r="BG51" s="547">
        <f t="shared" si="29"/>
        <v>0</v>
      </c>
      <c r="BN51" s="527">
        <f t="shared" si="30"/>
        <v>0</v>
      </c>
      <c r="BO51" s="527">
        <f t="shared" si="31"/>
        <v>0</v>
      </c>
      <c r="CB51" s="639"/>
      <c r="CE51" s="516"/>
    </row>
    <row r="52" spans="1:83" ht="11.25" customHeight="1">
      <c r="A52" s="571"/>
      <c r="B52" s="620">
        <f>IF(ISBLANK(Calculator!C60),"",Calculator!C60)</f>
        <v>24</v>
      </c>
      <c r="C52" s="726" t="str">
        <f>IF(ISBLANK(Calculator!D60),"",Calculator!D60)</f>
        <v/>
      </c>
      <c r="D52" s="727"/>
      <c r="E52" s="618" t="str">
        <f>IF(ISBLANK(Calculator!G60),"",Calculator!G60)</f>
        <v/>
      </c>
      <c r="F52" s="619" t="str">
        <f>IF(ISBLANK(Calculator!H60),"",Calculator!H60)</f>
        <v/>
      </c>
      <c r="G52" s="574"/>
      <c r="H52" s="577"/>
      <c r="I52" s="501"/>
      <c r="J52" s="580"/>
      <c r="K52" s="581"/>
      <c r="L52" s="544" t="str">
        <f t="shared" si="6"/>
        <v/>
      </c>
      <c r="M52" s="582"/>
      <c r="N52" s="582"/>
      <c r="O52" s="582"/>
      <c r="P52" s="582"/>
      <c r="Q52" s="582"/>
      <c r="R52" s="582"/>
      <c r="S52" s="582"/>
      <c r="T52" s="582"/>
      <c r="U52" s="582"/>
      <c r="V52" s="582"/>
      <c r="W52" s="582"/>
      <c r="X52" s="582"/>
      <c r="Y52" s="571"/>
      <c r="Z52" s="572"/>
      <c r="AA52" s="572"/>
      <c r="AB52" s="516"/>
      <c r="AE52" s="500" t="b">
        <f t="shared" si="7"/>
        <v>0</v>
      </c>
      <c r="AF52" s="500" t="b">
        <f t="shared" si="32"/>
        <v>0</v>
      </c>
      <c r="AG52" s="500" t="b">
        <f t="shared" si="33"/>
        <v>0</v>
      </c>
      <c r="AH52" s="500" t="b">
        <f t="shared" si="34"/>
        <v>0</v>
      </c>
      <c r="AI52" s="500" t="b">
        <f t="shared" si="8"/>
        <v>0</v>
      </c>
      <c r="AJ52" s="500" t="b">
        <f t="shared" si="9"/>
        <v>0</v>
      </c>
      <c r="AK52" s="500" t="b">
        <f t="shared" si="10"/>
        <v>0</v>
      </c>
      <c r="AL52" s="500" t="b">
        <f t="shared" si="11"/>
        <v>0</v>
      </c>
      <c r="AM52" s="500" t="b">
        <f t="shared" si="12"/>
        <v>0</v>
      </c>
      <c r="AN52" s="500" t="b">
        <f t="shared" si="13"/>
        <v>0</v>
      </c>
      <c r="AO52" s="500" t="b">
        <f t="shared" si="14"/>
        <v>0</v>
      </c>
      <c r="AP52" s="500" t="b">
        <f t="shared" si="15"/>
        <v>0</v>
      </c>
      <c r="AR52" s="545">
        <f t="shared" si="16"/>
        <v>0</v>
      </c>
      <c r="AS52" s="545">
        <f t="shared" si="17"/>
        <v>0</v>
      </c>
      <c r="AT52" s="545">
        <f t="shared" si="35"/>
        <v>0</v>
      </c>
      <c r="AU52" s="546"/>
      <c r="AV52" s="547">
        <f t="shared" si="18"/>
        <v>0</v>
      </c>
      <c r="AW52" s="547">
        <f t="shared" si="19"/>
        <v>0</v>
      </c>
      <c r="AX52" s="547">
        <f t="shared" si="20"/>
        <v>0</v>
      </c>
      <c r="AY52" s="547">
        <f t="shared" si="21"/>
        <v>0</v>
      </c>
      <c r="AZ52" s="547">
        <f t="shared" si="22"/>
        <v>0</v>
      </c>
      <c r="BA52" s="547">
        <f t="shared" si="23"/>
        <v>0</v>
      </c>
      <c r="BB52" s="547">
        <f t="shared" si="24"/>
        <v>0</v>
      </c>
      <c r="BC52" s="547">
        <f t="shared" si="25"/>
        <v>0</v>
      </c>
      <c r="BD52" s="547">
        <f t="shared" si="26"/>
        <v>0</v>
      </c>
      <c r="BE52" s="547">
        <f t="shared" si="27"/>
        <v>0</v>
      </c>
      <c r="BF52" s="547">
        <f t="shared" si="28"/>
        <v>0</v>
      </c>
      <c r="BG52" s="547">
        <f t="shared" si="29"/>
        <v>0</v>
      </c>
      <c r="BN52" s="527">
        <f t="shared" si="30"/>
        <v>0</v>
      </c>
      <c r="BO52" s="527">
        <f t="shared" si="31"/>
        <v>0</v>
      </c>
      <c r="BR52" s="505" t="s">
        <v>568</v>
      </c>
      <c r="CB52" s="639"/>
      <c r="CE52" s="516"/>
    </row>
    <row r="53" spans="1:83" ht="11.25" customHeight="1">
      <c r="A53" s="571"/>
      <c r="B53" s="620">
        <f>IF(ISBLANK(Calculator!C61),"",Calculator!C61)</f>
        <v>25</v>
      </c>
      <c r="C53" s="726" t="str">
        <f>IF(ISBLANK(Calculator!D61),"",Calculator!D61)</f>
        <v/>
      </c>
      <c r="D53" s="727"/>
      <c r="E53" s="618" t="str">
        <f>IF(ISBLANK(Calculator!G61),"",Calculator!G61)</f>
        <v/>
      </c>
      <c r="F53" s="619" t="str">
        <f>IF(ISBLANK(Calculator!H61),"",Calculator!H61)</f>
        <v/>
      </c>
      <c r="G53" s="574"/>
      <c r="H53" s="577"/>
      <c r="I53" s="501"/>
      <c r="J53" s="580"/>
      <c r="K53" s="581"/>
      <c r="L53" s="544" t="str">
        <f t="shared" si="6"/>
        <v/>
      </c>
      <c r="M53" s="582"/>
      <c r="N53" s="582"/>
      <c r="O53" s="582"/>
      <c r="P53" s="582"/>
      <c r="Q53" s="582"/>
      <c r="R53" s="582"/>
      <c r="S53" s="582"/>
      <c r="T53" s="582"/>
      <c r="U53" s="582"/>
      <c r="V53" s="582"/>
      <c r="W53" s="582"/>
      <c r="X53" s="582"/>
      <c r="Y53" s="571"/>
      <c r="Z53" s="572"/>
      <c r="AA53" s="572"/>
      <c r="AB53" s="516"/>
      <c r="AC53" s="514" t="s">
        <v>452</v>
      </c>
      <c r="AE53" s="500" t="b">
        <f t="shared" si="7"/>
        <v>0</v>
      </c>
      <c r="AF53" s="500" t="b">
        <f t="shared" si="32"/>
        <v>0</v>
      </c>
      <c r="AG53" s="500" t="b">
        <f t="shared" si="33"/>
        <v>0</v>
      </c>
      <c r="AH53" s="500" t="b">
        <f t="shared" si="34"/>
        <v>0</v>
      </c>
      <c r="AI53" s="500" t="b">
        <f t="shared" si="8"/>
        <v>0</v>
      </c>
      <c r="AJ53" s="500" t="b">
        <f t="shared" si="9"/>
        <v>0</v>
      </c>
      <c r="AK53" s="500" t="b">
        <f t="shared" si="10"/>
        <v>0</v>
      </c>
      <c r="AL53" s="500" t="b">
        <f t="shared" si="11"/>
        <v>0</v>
      </c>
      <c r="AM53" s="500" t="b">
        <f t="shared" si="12"/>
        <v>0</v>
      </c>
      <c r="AN53" s="500" t="b">
        <f t="shared" si="13"/>
        <v>0</v>
      </c>
      <c r="AO53" s="500" t="b">
        <f t="shared" si="14"/>
        <v>0</v>
      </c>
      <c r="AP53" s="500" t="b">
        <f t="shared" si="15"/>
        <v>0</v>
      </c>
      <c r="AR53" s="545">
        <f t="shared" si="16"/>
        <v>0</v>
      </c>
      <c r="AS53" s="545">
        <f t="shared" si="17"/>
        <v>0</v>
      </c>
      <c r="AT53" s="545">
        <f t="shared" si="35"/>
        <v>0</v>
      </c>
      <c r="AU53" s="546"/>
      <c r="AV53" s="547">
        <f t="shared" si="18"/>
        <v>0</v>
      </c>
      <c r="AW53" s="547">
        <f t="shared" si="19"/>
        <v>0</v>
      </c>
      <c r="AX53" s="547">
        <f t="shared" si="20"/>
        <v>0</v>
      </c>
      <c r="AY53" s="547">
        <f t="shared" si="21"/>
        <v>0</v>
      </c>
      <c r="AZ53" s="547">
        <f t="shared" si="22"/>
        <v>0</v>
      </c>
      <c r="BA53" s="547">
        <f t="shared" si="23"/>
        <v>0</v>
      </c>
      <c r="BB53" s="547">
        <f t="shared" si="24"/>
        <v>0</v>
      </c>
      <c r="BC53" s="547">
        <f t="shared" si="25"/>
        <v>0</v>
      </c>
      <c r="BD53" s="547">
        <f t="shared" si="26"/>
        <v>0</v>
      </c>
      <c r="BE53" s="547">
        <f t="shared" si="27"/>
        <v>0</v>
      </c>
      <c r="BF53" s="547">
        <f t="shared" si="28"/>
        <v>0</v>
      </c>
      <c r="BG53" s="547">
        <f t="shared" si="29"/>
        <v>0</v>
      </c>
      <c r="BN53" s="527">
        <f t="shared" si="30"/>
        <v>0</v>
      </c>
      <c r="BO53" s="527">
        <f t="shared" si="31"/>
        <v>0</v>
      </c>
      <c r="BR53" s="507" t="s">
        <v>297</v>
      </c>
      <c r="BS53" s="507"/>
      <c r="BT53" s="507"/>
      <c r="CB53" s="639"/>
      <c r="CE53" s="516"/>
    </row>
    <row r="54" spans="1:83" ht="11.25" customHeight="1">
      <c r="A54" s="571"/>
      <c r="B54" s="620">
        <f>IF(ISBLANK(Calculator!C62),"",Calculator!C62)</f>
        <v>26</v>
      </c>
      <c r="C54" s="726" t="str">
        <f>IF(ISBLANK(Calculator!D62),"",Calculator!D62)</f>
        <v/>
      </c>
      <c r="D54" s="727"/>
      <c r="E54" s="618" t="str">
        <f>IF(ISBLANK(Calculator!G62),"",Calculator!G62)</f>
        <v/>
      </c>
      <c r="F54" s="619" t="str">
        <f>IF(ISBLANK(Calculator!H62),"",Calculator!H62)</f>
        <v/>
      </c>
      <c r="G54" s="574"/>
      <c r="H54" s="577"/>
      <c r="I54" s="501"/>
      <c r="J54" s="580"/>
      <c r="K54" s="581"/>
      <c r="L54" s="544" t="str">
        <f t="shared" si="6"/>
        <v/>
      </c>
      <c r="M54" s="582"/>
      <c r="N54" s="582"/>
      <c r="O54" s="582"/>
      <c r="P54" s="582"/>
      <c r="Q54" s="582"/>
      <c r="R54" s="582"/>
      <c r="S54" s="582"/>
      <c r="T54" s="582"/>
      <c r="U54" s="582"/>
      <c r="V54" s="582"/>
      <c r="W54" s="582"/>
      <c r="X54" s="582"/>
      <c r="Y54" s="571"/>
      <c r="Z54" s="572"/>
      <c r="AA54" s="572"/>
      <c r="AB54" s="516"/>
      <c r="AC54" s="500" t="s">
        <v>451</v>
      </c>
      <c r="AE54" s="500" t="b">
        <f t="shared" si="7"/>
        <v>0</v>
      </c>
      <c r="AF54" s="500" t="b">
        <f t="shared" si="32"/>
        <v>0</v>
      </c>
      <c r="AG54" s="500" t="b">
        <f t="shared" si="33"/>
        <v>0</v>
      </c>
      <c r="AH54" s="500" t="b">
        <f t="shared" si="34"/>
        <v>0</v>
      </c>
      <c r="AI54" s="500" t="b">
        <f t="shared" si="8"/>
        <v>0</v>
      </c>
      <c r="AJ54" s="500" t="b">
        <f t="shared" si="9"/>
        <v>0</v>
      </c>
      <c r="AK54" s="500" t="b">
        <f t="shared" si="10"/>
        <v>0</v>
      </c>
      <c r="AL54" s="500" t="b">
        <f t="shared" si="11"/>
        <v>0</v>
      </c>
      <c r="AM54" s="500" t="b">
        <f t="shared" si="12"/>
        <v>0</v>
      </c>
      <c r="AN54" s="500" t="b">
        <f t="shared" si="13"/>
        <v>0</v>
      </c>
      <c r="AO54" s="500" t="b">
        <f t="shared" si="14"/>
        <v>0</v>
      </c>
      <c r="AP54" s="500" t="b">
        <f t="shared" si="15"/>
        <v>0</v>
      </c>
      <c r="AR54" s="545">
        <f t="shared" si="16"/>
        <v>0</v>
      </c>
      <c r="AS54" s="545">
        <f t="shared" si="17"/>
        <v>0</v>
      </c>
      <c r="AT54" s="545">
        <f t="shared" si="35"/>
        <v>0</v>
      </c>
      <c r="AU54" s="546"/>
      <c r="AV54" s="547">
        <f t="shared" si="18"/>
        <v>0</v>
      </c>
      <c r="AW54" s="547">
        <f t="shared" si="19"/>
        <v>0</v>
      </c>
      <c r="AX54" s="547">
        <f t="shared" si="20"/>
        <v>0</v>
      </c>
      <c r="AY54" s="547">
        <f t="shared" si="21"/>
        <v>0</v>
      </c>
      <c r="AZ54" s="547">
        <f t="shared" si="22"/>
        <v>0</v>
      </c>
      <c r="BA54" s="547">
        <f t="shared" si="23"/>
        <v>0</v>
      </c>
      <c r="BB54" s="547">
        <f t="shared" si="24"/>
        <v>0</v>
      </c>
      <c r="BC54" s="547">
        <f t="shared" si="25"/>
        <v>0</v>
      </c>
      <c r="BD54" s="547">
        <f t="shared" si="26"/>
        <v>0</v>
      </c>
      <c r="BE54" s="547">
        <f t="shared" si="27"/>
        <v>0</v>
      </c>
      <c r="BF54" s="547">
        <f t="shared" si="28"/>
        <v>0</v>
      </c>
      <c r="BG54" s="547">
        <f t="shared" si="29"/>
        <v>0</v>
      </c>
      <c r="BN54" s="527">
        <f t="shared" si="30"/>
        <v>0</v>
      </c>
      <c r="BO54" s="527">
        <f t="shared" si="31"/>
        <v>0</v>
      </c>
      <c r="CB54" s="639"/>
      <c r="CE54" s="516"/>
    </row>
    <row r="55" spans="1:83" ht="11.25" customHeight="1">
      <c r="A55" s="571"/>
      <c r="B55" s="620">
        <f>IF(ISBLANK(Calculator!C63),"",Calculator!C63)</f>
        <v>27</v>
      </c>
      <c r="C55" s="726" t="str">
        <f>IF(ISBLANK(Calculator!D63),"",Calculator!D63)</f>
        <v/>
      </c>
      <c r="D55" s="727"/>
      <c r="E55" s="618" t="str">
        <f>IF(ISBLANK(Calculator!G63),"",Calculator!G63)</f>
        <v/>
      </c>
      <c r="F55" s="619" t="str">
        <f>IF(ISBLANK(Calculator!H63),"",Calculator!H63)</f>
        <v/>
      </c>
      <c r="G55" s="574"/>
      <c r="H55" s="577"/>
      <c r="I55" s="501"/>
      <c r="J55" s="580"/>
      <c r="K55" s="581"/>
      <c r="L55" s="544" t="str">
        <f t="shared" si="6"/>
        <v/>
      </c>
      <c r="M55" s="582"/>
      <c r="N55" s="582"/>
      <c r="O55" s="582"/>
      <c r="P55" s="582"/>
      <c r="Q55" s="582"/>
      <c r="R55" s="582"/>
      <c r="S55" s="582"/>
      <c r="T55" s="582"/>
      <c r="U55" s="582"/>
      <c r="V55" s="582"/>
      <c r="W55" s="582"/>
      <c r="X55" s="582"/>
      <c r="Y55" s="571"/>
      <c r="Z55" s="572"/>
      <c r="AA55" s="572"/>
      <c r="AB55" s="516"/>
      <c r="AC55" s="500" t="s">
        <v>385</v>
      </c>
      <c r="AE55" s="500" t="b">
        <f t="shared" si="7"/>
        <v>0</v>
      </c>
      <c r="AF55" s="500" t="b">
        <f t="shared" si="32"/>
        <v>0</v>
      </c>
      <c r="AG55" s="500" t="b">
        <f t="shared" si="33"/>
        <v>0</v>
      </c>
      <c r="AH55" s="500" t="b">
        <f t="shared" si="34"/>
        <v>0</v>
      </c>
      <c r="AI55" s="500" t="b">
        <f t="shared" si="8"/>
        <v>0</v>
      </c>
      <c r="AJ55" s="500" t="b">
        <f t="shared" si="9"/>
        <v>0</v>
      </c>
      <c r="AK55" s="500" t="b">
        <f t="shared" si="10"/>
        <v>0</v>
      </c>
      <c r="AL55" s="500" t="b">
        <f t="shared" si="11"/>
        <v>0</v>
      </c>
      <c r="AM55" s="500" t="b">
        <f t="shared" si="12"/>
        <v>0</v>
      </c>
      <c r="AN55" s="500" t="b">
        <f t="shared" si="13"/>
        <v>0</v>
      </c>
      <c r="AO55" s="500" t="b">
        <f t="shared" si="14"/>
        <v>0</v>
      </c>
      <c r="AP55" s="500" t="b">
        <f t="shared" si="15"/>
        <v>0</v>
      </c>
      <c r="AR55" s="545">
        <f t="shared" si="16"/>
        <v>0</v>
      </c>
      <c r="AS55" s="545">
        <f t="shared" si="17"/>
        <v>0</v>
      </c>
      <c r="AT55" s="545">
        <f t="shared" si="35"/>
        <v>0</v>
      </c>
      <c r="AU55" s="546"/>
      <c r="AV55" s="547">
        <f t="shared" si="18"/>
        <v>0</v>
      </c>
      <c r="AW55" s="547">
        <f t="shared" si="19"/>
        <v>0</v>
      </c>
      <c r="AX55" s="547">
        <f t="shared" si="20"/>
        <v>0</v>
      </c>
      <c r="AY55" s="547">
        <f t="shared" si="21"/>
        <v>0</v>
      </c>
      <c r="AZ55" s="547">
        <f t="shared" si="22"/>
        <v>0</v>
      </c>
      <c r="BA55" s="547">
        <f t="shared" si="23"/>
        <v>0</v>
      </c>
      <c r="BB55" s="547">
        <f t="shared" si="24"/>
        <v>0</v>
      </c>
      <c r="BC55" s="547">
        <f t="shared" si="25"/>
        <v>0</v>
      </c>
      <c r="BD55" s="547">
        <f t="shared" si="26"/>
        <v>0</v>
      </c>
      <c r="BE55" s="547">
        <f t="shared" si="27"/>
        <v>0</v>
      </c>
      <c r="BF55" s="547">
        <f t="shared" si="28"/>
        <v>0</v>
      </c>
      <c r="BG55" s="547">
        <f t="shared" si="29"/>
        <v>0</v>
      </c>
      <c r="BN55" s="527">
        <f t="shared" si="30"/>
        <v>0</v>
      </c>
      <c r="BO55" s="527">
        <f t="shared" si="31"/>
        <v>0</v>
      </c>
      <c r="BR55" s="497" t="s">
        <v>569</v>
      </c>
      <c r="BS55" s="497" t="s">
        <v>570</v>
      </c>
      <c r="BV55" s="500" t="e">
        <f>INDEX(BC_SHG_Constants,MATCH(BS55,BC_Glaz_F_A,0),MATCH(Zone,BC_WAZones_Glaz,0))</f>
        <v>#N/A</v>
      </c>
      <c r="CB55" s="639"/>
      <c r="CE55" s="516"/>
    </row>
    <row r="56" spans="1:83" ht="11.25" customHeight="1">
      <c r="A56" s="571"/>
      <c r="B56" s="620">
        <f>IF(ISBLANK(Calculator!C64),"",Calculator!C64)</f>
        <v>28</v>
      </c>
      <c r="C56" s="726" t="str">
        <f>IF(ISBLANK(Calculator!D64),"",Calculator!D64)</f>
        <v/>
      </c>
      <c r="D56" s="727"/>
      <c r="E56" s="618" t="str">
        <f>IF(ISBLANK(Calculator!G64),"",Calculator!G64)</f>
        <v/>
      </c>
      <c r="F56" s="619" t="str">
        <f>IF(ISBLANK(Calculator!H64),"",Calculator!H64)</f>
        <v/>
      </c>
      <c r="G56" s="574"/>
      <c r="H56" s="577"/>
      <c r="I56" s="501"/>
      <c r="J56" s="580"/>
      <c r="K56" s="581"/>
      <c r="L56" s="544" t="str">
        <f t="shared" si="6"/>
        <v/>
      </c>
      <c r="M56" s="582"/>
      <c r="N56" s="582"/>
      <c r="O56" s="582"/>
      <c r="P56" s="582"/>
      <c r="Q56" s="582"/>
      <c r="R56" s="582"/>
      <c r="S56" s="582"/>
      <c r="T56" s="582"/>
      <c r="U56" s="582"/>
      <c r="V56" s="582"/>
      <c r="W56" s="582"/>
      <c r="X56" s="582"/>
      <c r="Y56" s="571"/>
      <c r="Z56" s="572"/>
      <c r="AA56" s="572"/>
      <c r="AB56" s="516"/>
      <c r="AE56" s="500" t="b">
        <f t="shared" si="7"/>
        <v>0</v>
      </c>
      <c r="AF56" s="500" t="b">
        <f t="shared" si="32"/>
        <v>0</v>
      </c>
      <c r="AG56" s="500" t="b">
        <f t="shared" si="33"/>
        <v>0</v>
      </c>
      <c r="AH56" s="500" t="b">
        <f t="shared" si="34"/>
        <v>0</v>
      </c>
      <c r="AI56" s="500" t="b">
        <f t="shared" si="8"/>
        <v>0</v>
      </c>
      <c r="AJ56" s="500" t="b">
        <f t="shared" si="9"/>
        <v>0</v>
      </c>
      <c r="AK56" s="500" t="b">
        <f t="shared" si="10"/>
        <v>0</v>
      </c>
      <c r="AL56" s="500" t="b">
        <f t="shared" si="11"/>
        <v>0</v>
      </c>
      <c r="AM56" s="500" t="b">
        <f t="shared" si="12"/>
        <v>0</v>
      </c>
      <c r="AN56" s="500" t="b">
        <f t="shared" si="13"/>
        <v>0</v>
      </c>
      <c r="AO56" s="500" t="b">
        <f t="shared" si="14"/>
        <v>0</v>
      </c>
      <c r="AP56" s="500" t="b">
        <f t="shared" si="15"/>
        <v>0</v>
      </c>
      <c r="AR56" s="545">
        <f t="shared" si="16"/>
        <v>0</v>
      </c>
      <c r="AS56" s="545">
        <f t="shared" si="17"/>
        <v>0</v>
      </c>
      <c r="AT56" s="545">
        <f t="shared" si="35"/>
        <v>0</v>
      </c>
      <c r="AU56" s="546"/>
      <c r="AV56" s="547">
        <f t="shared" si="18"/>
        <v>0</v>
      </c>
      <c r="AW56" s="547">
        <f t="shared" si="19"/>
        <v>0</v>
      </c>
      <c r="AX56" s="547">
        <f t="shared" si="20"/>
        <v>0</v>
      </c>
      <c r="AY56" s="547">
        <f t="shared" si="21"/>
        <v>0</v>
      </c>
      <c r="AZ56" s="547">
        <f t="shared" si="22"/>
        <v>0</v>
      </c>
      <c r="BA56" s="547">
        <f t="shared" si="23"/>
        <v>0</v>
      </c>
      <c r="BB56" s="547">
        <f t="shared" si="24"/>
        <v>0</v>
      </c>
      <c r="BC56" s="547">
        <f t="shared" si="25"/>
        <v>0</v>
      </c>
      <c r="BD56" s="547">
        <f t="shared" si="26"/>
        <v>0</v>
      </c>
      <c r="BE56" s="547">
        <f t="shared" si="27"/>
        <v>0</v>
      </c>
      <c r="BF56" s="547">
        <f t="shared" si="28"/>
        <v>0</v>
      </c>
      <c r="BG56" s="547">
        <f t="shared" si="29"/>
        <v>0</v>
      </c>
      <c r="BN56" s="527">
        <f t="shared" si="30"/>
        <v>0</v>
      </c>
      <c r="BO56" s="527">
        <f t="shared" si="31"/>
        <v>0</v>
      </c>
      <c r="BS56" s="497" t="s">
        <v>571</v>
      </c>
      <c r="BV56" s="500" t="e">
        <f>INDEX(BC_SHG_Constants,MATCH(BS56,BC_Glaz_F_A,0),MATCH(Zone,BC_WAZones_Glaz,0))</f>
        <v>#N/A</v>
      </c>
      <c r="CB56" s="639"/>
      <c r="CE56" s="516"/>
    </row>
    <row r="57" spans="1:83" ht="11.25" customHeight="1">
      <c r="A57" s="571"/>
      <c r="B57" s="620">
        <f>IF(ISBLANK(Calculator!C65),"",Calculator!C65)</f>
        <v>29</v>
      </c>
      <c r="C57" s="726" t="str">
        <f>IF(ISBLANK(Calculator!D65),"",Calculator!D65)</f>
        <v/>
      </c>
      <c r="D57" s="727"/>
      <c r="E57" s="618" t="str">
        <f>IF(ISBLANK(Calculator!G65),"",Calculator!G65)</f>
        <v/>
      </c>
      <c r="F57" s="619" t="str">
        <f>IF(ISBLANK(Calculator!H65),"",Calculator!H65)</f>
        <v/>
      </c>
      <c r="G57" s="574"/>
      <c r="H57" s="577"/>
      <c r="I57" s="501"/>
      <c r="J57" s="580"/>
      <c r="K57" s="581"/>
      <c r="L57" s="544" t="str">
        <f t="shared" si="6"/>
        <v/>
      </c>
      <c r="M57" s="582"/>
      <c r="N57" s="582"/>
      <c r="O57" s="582"/>
      <c r="P57" s="582"/>
      <c r="Q57" s="582"/>
      <c r="R57" s="582"/>
      <c r="S57" s="582"/>
      <c r="T57" s="582"/>
      <c r="U57" s="582"/>
      <c r="V57" s="582"/>
      <c r="W57" s="582"/>
      <c r="X57" s="582"/>
      <c r="Y57" s="571"/>
      <c r="Z57" s="572"/>
      <c r="AA57" s="572"/>
      <c r="AB57" s="516"/>
      <c r="AC57" s="514" t="s">
        <v>528</v>
      </c>
      <c r="AE57" s="500" t="b">
        <f t="shared" si="7"/>
        <v>0</v>
      </c>
      <c r="AF57" s="500" t="b">
        <f t="shared" si="32"/>
        <v>0</v>
      </c>
      <c r="AG57" s="500" t="b">
        <f t="shared" si="33"/>
        <v>0</v>
      </c>
      <c r="AH57" s="500" t="b">
        <f t="shared" si="34"/>
        <v>0</v>
      </c>
      <c r="AI57" s="500" t="b">
        <f t="shared" si="8"/>
        <v>0</v>
      </c>
      <c r="AJ57" s="500" t="b">
        <f t="shared" si="9"/>
        <v>0</v>
      </c>
      <c r="AK57" s="500" t="b">
        <f t="shared" si="10"/>
        <v>0</v>
      </c>
      <c r="AL57" s="500" t="b">
        <f t="shared" si="11"/>
        <v>0</v>
      </c>
      <c r="AM57" s="500" t="b">
        <f t="shared" si="12"/>
        <v>0</v>
      </c>
      <c r="AN57" s="500" t="b">
        <f t="shared" si="13"/>
        <v>0</v>
      </c>
      <c r="AO57" s="500" t="b">
        <f t="shared" si="14"/>
        <v>0</v>
      </c>
      <c r="AP57" s="500" t="b">
        <f t="shared" si="15"/>
        <v>0</v>
      </c>
      <c r="AR57" s="545">
        <f t="shared" si="16"/>
        <v>0</v>
      </c>
      <c r="AS57" s="545">
        <f t="shared" si="17"/>
        <v>0</v>
      </c>
      <c r="AT57" s="545">
        <f t="shared" si="35"/>
        <v>0</v>
      </c>
      <c r="AU57" s="546"/>
      <c r="AV57" s="547">
        <f t="shared" si="18"/>
        <v>0</v>
      </c>
      <c r="AW57" s="547">
        <f t="shared" si="19"/>
        <v>0</v>
      </c>
      <c r="AX57" s="547">
        <f t="shared" si="20"/>
        <v>0</v>
      </c>
      <c r="AY57" s="547">
        <f t="shared" si="21"/>
        <v>0</v>
      </c>
      <c r="AZ57" s="547">
        <f t="shared" si="22"/>
        <v>0</v>
      </c>
      <c r="BA57" s="547">
        <f t="shared" si="23"/>
        <v>0</v>
      </c>
      <c r="BB57" s="547">
        <f t="shared" si="24"/>
        <v>0</v>
      </c>
      <c r="BC57" s="547">
        <f t="shared" si="25"/>
        <v>0</v>
      </c>
      <c r="BD57" s="547">
        <f t="shared" si="26"/>
        <v>0</v>
      </c>
      <c r="BE57" s="547">
        <f t="shared" si="27"/>
        <v>0</v>
      </c>
      <c r="BF57" s="547">
        <f t="shared" si="28"/>
        <v>0</v>
      </c>
      <c r="BG57" s="547">
        <f t="shared" si="29"/>
        <v>0</v>
      </c>
      <c r="BN57" s="527">
        <f t="shared" si="30"/>
        <v>0</v>
      </c>
      <c r="BO57" s="527">
        <f t="shared" si="31"/>
        <v>0</v>
      </c>
      <c r="BS57" s="497" t="s">
        <v>572</v>
      </c>
      <c r="BV57" s="655" t="e">
        <f>INDEX(BC_SHG_Constants,MATCH(BS57,BC_Glaz_F_A,0),MATCH(Zone,BC_WAZones_Glaz,0))</f>
        <v>#N/A</v>
      </c>
      <c r="CB57" s="639"/>
      <c r="CE57" s="516"/>
    </row>
    <row r="58" spans="1:83" ht="11.25" customHeight="1">
      <c r="A58" s="571"/>
      <c r="B58" s="620">
        <f>IF(ISBLANK(Calculator!C66),"",Calculator!C66)</f>
        <v>30</v>
      </c>
      <c r="C58" s="726" t="str">
        <f>IF(ISBLANK(Calculator!D66),"",Calculator!D66)</f>
        <v/>
      </c>
      <c r="D58" s="727"/>
      <c r="E58" s="618" t="str">
        <f>IF(ISBLANK(Calculator!G66),"",Calculator!G66)</f>
        <v/>
      </c>
      <c r="F58" s="619" t="str">
        <f>IF(ISBLANK(Calculator!H66),"",Calculator!H66)</f>
        <v/>
      </c>
      <c r="G58" s="574"/>
      <c r="H58" s="577"/>
      <c r="I58" s="501"/>
      <c r="J58" s="580"/>
      <c r="K58" s="581"/>
      <c r="L58" s="544" t="str">
        <f t="shared" si="6"/>
        <v/>
      </c>
      <c r="M58" s="582"/>
      <c r="N58" s="582"/>
      <c r="O58" s="582"/>
      <c r="P58" s="582"/>
      <c r="Q58" s="582"/>
      <c r="R58" s="582"/>
      <c r="S58" s="582"/>
      <c r="T58" s="582"/>
      <c r="U58" s="582"/>
      <c r="V58" s="582"/>
      <c r="W58" s="582"/>
      <c r="X58" s="582"/>
      <c r="Y58" s="571"/>
      <c r="Z58" s="572"/>
      <c r="AA58" s="572"/>
      <c r="AB58" s="516"/>
      <c r="AC58" s="500" t="s">
        <v>469</v>
      </c>
      <c r="AE58" s="500" t="b">
        <f t="shared" si="7"/>
        <v>0</v>
      </c>
      <c r="AF58" s="500" t="b">
        <f t="shared" si="32"/>
        <v>0</v>
      </c>
      <c r="AG58" s="500" t="b">
        <f t="shared" si="33"/>
        <v>0</v>
      </c>
      <c r="AH58" s="500" t="b">
        <f t="shared" si="34"/>
        <v>0</v>
      </c>
      <c r="AI58" s="500" t="b">
        <f t="shared" si="8"/>
        <v>0</v>
      </c>
      <c r="AJ58" s="500" t="b">
        <f t="shared" si="9"/>
        <v>0</v>
      </c>
      <c r="AK58" s="500" t="b">
        <f t="shared" si="10"/>
        <v>0</v>
      </c>
      <c r="AL58" s="500" t="b">
        <f t="shared" si="11"/>
        <v>0</v>
      </c>
      <c r="AM58" s="500" t="b">
        <f t="shared" si="12"/>
        <v>0</v>
      </c>
      <c r="AN58" s="500" t="b">
        <f t="shared" si="13"/>
        <v>0</v>
      </c>
      <c r="AO58" s="500" t="b">
        <f t="shared" si="14"/>
        <v>0</v>
      </c>
      <c r="AP58" s="500" t="b">
        <f t="shared" si="15"/>
        <v>0</v>
      </c>
      <c r="AR58" s="545">
        <f t="shared" si="16"/>
        <v>0</v>
      </c>
      <c r="AS58" s="545">
        <f t="shared" si="17"/>
        <v>0</v>
      </c>
      <c r="AT58" s="545">
        <f t="shared" si="35"/>
        <v>0</v>
      </c>
      <c r="AU58" s="546"/>
      <c r="AV58" s="547">
        <f t="shared" si="18"/>
        <v>0</v>
      </c>
      <c r="AW58" s="547">
        <f t="shared" si="19"/>
        <v>0</v>
      </c>
      <c r="AX58" s="547">
        <f t="shared" si="20"/>
        <v>0</v>
      </c>
      <c r="AY58" s="547">
        <f t="shared" si="21"/>
        <v>0</v>
      </c>
      <c r="AZ58" s="547">
        <f t="shared" si="22"/>
        <v>0</v>
      </c>
      <c r="BA58" s="547">
        <f t="shared" si="23"/>
        <v>0</v>
      </c>
      <c r="BB58" s="547">
        <f t="shared" si="24"/>
        <v>0</v>
      </c>
      <c r="BC58" s="547">
        <f t="shared" si="25"/>
        <v>0</v>
      </c>
      <c r="BD58" s="547">
        <f t="shared" si="26"/>
        <v>0</v>
      </c>
      <c r="BE58" s="547">
        <f t="shared" si="27"/>
        <v>0</v>
      </c>
      <c r="BF58" s="547">
        <f t="shared" si="28"/>
        <v>0</v>
      </c>
      <c r="BG58" s="547">
        <f t="shared" si="29"/>
        <v>0</v>
      </c>
      <c r="BN58" s="527">
        <f t="shared" si="30"/>
        <v>0</v>
      </c>
      <c r="BO58" s="527">
        <f t="shared" si="31"/>
        <v>0</v>
      </c>
      <c r="BS58" s="497" t="s">
        <v>573</v>
      </c>
      <c r="BV58" s="500" t="e">
        <f>INDEX(BC_SHG_Constants,MATCH(BS58,BC_Glaz_F_A,0),MATCH(Zone,BC_WAZones_Glaz,0))</f>
        <v>#N/A</v>
      </c>
      <c r="CB58" s="639"/>
      <c r="CE58" s="516"/>
    </row>
    <row r="59" spans="1:83" ht="11.25" customHeight="1">
      <c r="A59" s="571"/>
      <c r="B59" s="620">
        <f>IF(ISBLANK(Calculator!C67),"",Calculator!C67)</f>
        <v>31</v>
      </c>
      <c r="C59" s="726" t="str">
        <f>IF(ISBLANK(Calculator!D67),"",Calculator!D67)</f>
        <v/>
      </c>
      <c r="D59" s="727"/>
      <c r="E59" s="618" t="str">
        <f>IF(ISBLANK(Calculator!G67),"",Calculator!G67)</f>
        <v/>
      </c>
      <c r="F59" s="619" t="str">
        <f>IF(ISBLANK(Calculator!H67),"",Calculator!H67)</f>
        <v/>
      </c>
      <c r="G59" s="574"/>
      <c r="H59" s="577"/>
      <c r="I59" s="501"/>
      <c r="J59" s="580"/>
      <c r="K59" s="581"/>
      <c r="L59" s="544" t="str">
        <f t="shared" si="6"/>
        <v/>
      </c>
      <c r="M59" s="582"/>
      <c r="N59" s="582"/>
      <c r="O59" s="582"/>
      <c r="P59" s="582"/>
      <c r="Q59" s="582"/>
      <c r="R59" s="582"/>
      <c r="S59" s="582"/>
      <c r="T59" s="582"/>
      <c r="U59" s="582"/>
      <c r="V59" s="582"/>
      <c r="W59" s="582"/>
      <c r="X59" s="582"/>
      <c r="Y59" s="571"/>
      <c r="Z59" s="572"/>
      <c r="AA59" s="572"/>
      <c r="AB59" s="516"/>
      <c r="AC59" s="500" t="s">
        <v>529</v>
      </c>
      <c r="AE59" s="500" t="b">
        <f t="shared" si="7"/>
        <v>0</v>
      </c>
      <c r="AF59" s="500" t="b">
        <f t="shared" si="32"/>
        <v>0</v>
      </c>
      <c r="AG59" s="500" t="b">
        <f t="shared" si="33"/>
        <v>0</v>
      </c>
      <c r="AH59" s="500" t="b">
        <f t="shared" si="34"/>
        <v>0</v>
      </c>
      <c r="AI59" s="500" t="b">
        <f t="shared" si="8"/>
        <v>0</v>
      </c>
      <c r="AJ59" s="500" t="b">
        <f t="shared" si="9"/>
        <v>0</v>
      </c>
      <c r="AK59" s="500" t="b">
        <f t="shared" si="10"/>
        <v>0</v>
      </c>
      <c r="AL59" s="500" t="b">
        <f t="shared" si="11"/>
        <v>0</v>
      </c>
      <c r="AM59" s="500" t="b">
        <f t="shared" si="12"/>
        <v>0</v>
      </c>
      <c r="AN59" s="500" t="b">
        <f t="shared" si="13"/>
        <v>0</v>
      </c>
      <c r="AO59" s="500" t="b">
        <f t="shared" si="14"/>
        <v>0</v>
      </c>
      <c r="AP59" s="500" t="b">
        <f t="shared" si="15"/>
        <v>0</v>
      </c>
      <c r="AR59" s="545">
        <f t="shared" si="16"/>
        <v>0</v>
      </c>
      <c r="AS59" s="545">
        <f t="shared" si="17"/>
        <v>0</v>
      </c>
      <c r="AT59" s="545">
        <f t="shared" si="35"/>
        <v>0</v>
      </c>
      <c r="AU59" s="546"/>
      <c r="AV59" s="547">
        <f t="shared" si="18"/>
        <v>0</v>
      </c>
      <c r="AW59" s="547">
        <f t="shared" si="19"/>
        <v>0</v>
      </c>
      <c r="AX59" s="547">
        <f t="shared" si="20"/>
        <v>0</v>
      </c>
      <c r="AY59" s="547">
        <f t="shared" si="21"/>
        <v>0</v>
      </c>
      <c r="AZ59" s="547">
        <f t="shared" si="22"/>
        <v>0</v>
      </c>
      <c r="BA59" s="547">
        <f t="shared" si="23"/>
        <v>0</v>
      </c>
      <c r="BB59" s="547">
        <f t="shared" si="24"/>
        <v>0</v>
      </c>
      <c r="BC59" s="547">
        <f t="shared" si="25"/>
        <v>0</v>
      </c>
      <c r="BD59" s="547">
        <f t="shared" si="26"/>
        <v>0</v>
      </c>
      <c r="BE59" s="547">
        <f t="shared" si="27"/>
        <v>0</v>
      </c>
      <c r="BF59" s="547">
        <f t="shared" si="28"/>
        <v>0</v>
      </c>
      <c r="BG59" s="547">
        <f t="shared" si="29"/>
        <v>0</v>
      </c>
      <c r="BN59" s="527">
        <f t="shared" si="30"/>
        <v>0</v>
      </c>
      <c r="BO59" s="527">
        <f t="shared" si="31"/>
        <v>0</v>
      </c>
      <c r="CB59" s="639"/>
      <c r="CE59" s="516"/>
    </row>
    <row r="60" spans="1:83" ht="11.25" customHeight="1">
      <c r="A60" s="571"/>
      <c r="B60" s="620">
        <f>IF(ISBLANK(Calculator!C68),"",Calculator!C68)</f>
        <v>32</v>
      </c>
      <c r="C60" s="726" t="str">
        <f>IF(ISBLANK(Calculator!D68),"",Calculator!D68)</f>
        <v/>
      </c>
      <c r="D60" s="727"/>
      <c r="E60" s="618" t="str">
        <f>IF(ISBLANK(Calculator!G68),"",Calculator!G68)</f>
        <v/>
      </c>
      <c r="F60" s="619" t="str">
        <f>IF(ISBLANK(Calculator!H68),"",Calculator!H68)</f>
        <v/>
      </c>
      <c r="G60" s="574"/>
      <c r="H60" s="577"/>
      <c r="I60" s="501"/>
      <c r="J60" s="580"/>
      <c r="K60" s="581"/>
      <c r="L60" s="544" t="str">
        <f t="shared" si="6"/>
        <v/>
      </c>
      <c r="M60" s="582"/>
      <c r="N60" s="582"/>
      <c r="O60" s="582"/>
      <c r="P60" s="582"/>
      <c r="Q60" s="582"/>
      <c r="R60" s="582"/>
      <c r="S60" s="582"/>
      <c r="T60" s="582"/>
      <c r="U60" s="582"/>
      <c r="V60" s="582"/>
      <c r="W60" s="582"/>
      <c r="X60" s="582"/>
      <c r="Y60" s="571"/>
      <c r="Z60" s="572"/>
      <c r="AA60" s="572"/>
      <c r="AB60" s="516"/>
      <c r="AC60" s="500" t="s">
        <v>530</v>
      </c>
      <c r="AE60" s="500" t="b">
        <f t="shared" si="7"/>
        <v>0</v>
      </c>
      <c r="AF60" s="500" t="b">
        <f t="shared" si="32"/>
        <v>0</v>
      </c>
      <c r="AG60" s="500" t="b">
        <f t="shared" si="33"/>
        <v>0</v>
      </c>
      <c r="AH60" s="500" t="b">
        <f t="shared" si="34"/>
        <v>0</v>
      </c>
      <c r="AI60" s="500" t="b">
        <f t="shared" si="8"/>
        <v>0</v>
      </c>
      <c r="AJ60" s="500" t="b">
        <f t="shared" si="9"/>
        <v>0</v>
      </c>
      <c r="AK60" s="500" t="b">
        <f t="shared" si="10"/>
        <v>0</v>
      </c>
      <c r="AL60" s="500" t="b">
        <f t="shared" si="11"/>
        <v>0</v>
      </c>
      <c r="AM60" s="500" t="b">
        <f t="shared" si="12"/>
        <v>0</v>
      </c>
      <c r="AN60" s="500" t="b">
        <f t="shared" si="13"/>
        <v>0</v>
      </c>
      <c r="AO60" s="500" t="b">
        <f t="shared" si="14"/>
        <v>0</v>
      </c>
      <c r="AP60" s="500" t="b">
        <f t="shared" si="15"/>
        <v>0</v>
      </c>
      <c r="AR60" s="545">
        <f t="shared" si="16"/>
        <v>0</v>
      </c>
      <c r="AS60" s="545">
        <f t="shared" si="17"/>
        <v>0</v>
      </c>
      <c r="AT60" s="545">
        <f t="shared" si="35"/>
        <v>0</v>
      </c>
      <c r="AU60" s="546"/>
      <c r="AV60" s="547">
        <f t="shared" si="18"/>
        <v>0</v>
      </c>
      <c r="AW60" s="547">
        <f t="shared" si="19"/>
        <v>0</v>
      </c>
      <c r="AX60" s="547">
        <f t="shared" si="20"/>
        <v>0</v>
      </c>
      <c r="AY60" s="547">
        <f t="shared" si="21"/>
        <v>0</v>
      </c>
      <c r="AZ60" s="547">
        <f t="shared" si="22"/>
        <v>0</v>
      </c>
      <c r="BA60" s="547">
        <f t="shared" si="23"/>
        <v>0</v>
      </c>
      <c r="BB60" s="547">
        <f t="shared" si="24"/>
        <v>0</v>
      </c>
      <c r="BC60" s="547">
        <f t="shared" si="25"/>
        <v>0</v>
      </c>
      <c r="BD60" s="547">
        <f t="shared" si="26"/>
        <v>0</v>
      </c>
      <c r="BE60" s="547">
        <f t="shared" si="27"/>
        <v>0</v>
      </c>
      <c r="BF60" s="547">
        <f t="shared" si="28"/>
        <v>0</v>
      </c>
      <c r="BG60" s="547">
        <f t="shared" si="29"/>
        <v>0</v>
      </c>
      <c r="BN60" s="527">
        <f t="shared" si="30"/>
        <v>0</v>
      </c>
      <c r="BO60" s="527">
        <f t="shared" si="31"/>
        <v>0</v>
      </c>
      <c r="BR60" s="497" t="s">
        <v>574</v>
      </c>
      <c r="BS60" s="497" t="s">
        <v>563</v>
      </c>
      <c r="BV60" s="656" t="e">
        <f>(BV56-BV55)/BV56</f>
        <v>#N/A</v>
      </c>
      <c r="CB60" s="639"/>
      <c r="CE60" s="516"/>
    </row>
    <row r="61" spans="1:83" ht="11.25" customHeight="1">
      <c r="A61" s="571"/>
      <c r="B61" s="620">
        <f>IF(ISBLANK(Calculator!C69),"",Calculator!C69)</f>
        <v>33</v>
      </c>
      <c r="C61" s="726" t="str">
        <f>IF(ISBLANK(Calculator!D69),"",Calculator!D69)</f>
        <v/>
      </c>
      <c r="D61" s="727"/>
      <c r="E61" s="618" t="str">
        <f>IF(ISBLANK(Calculator!G69),"",Calculator!G69)</f>
        <v/>
      </c>
      <c r="F61" s="619" t="str">
        <f>IF(ISBLANK(Calculator!H69),"",Calculator!H69)</f>
        <v/>
      </c>
      <c r="G61" s="574"/>
      <c r="H61" s="577"/>
      <c r="I61" s="501"/>
      <c r="J61" s="580"/>
      <c r="K61" s="581"/>
      <c r="L61" s="544" t="str">
        <f t="shared" si="6"/>
        <v/>
      </c>
      <c r="M61" s="582"/>
      <c r="N61" s="582"/>
      <c r="O61" s="582"/>
      <c r="P61" s="582"/>
      <c r="Q61" s="582"/>
      <c r="R61" s="582"/>
      <c r="S61" s="582"/>
      <c r="T61" s="582"/>
      <c r="U61" s="582"/>
      <c r="V61" s="582"/>
      <c r="W61" s="582"/>
      <c r="X61" s="582"/>
      <c r="Y61" s="571"/>
      <c r="Z61" s="572"/>
      <c r="AA61" s="572"/>
      <c r="AB61" s="516"/>
      <c r="AC61" s="500" t="s">
        <v>531</v>
      </c>
      <c r="AE61" s="500" t="b">
        <f t="shared" si="7"/>
        <v>0</v>
      </c>
      <c r="AF61" s="500" t="b">
        <f t="shared" si="32"/>
        <v>0</v>
      </c>
      <c r="AG61" s="500" t="b">
        <f t="shared" si="33"/>
        <v>0</v>
      </c>
      <c r="AH61" s="500" t="b">
        <f t="shared" si="34"/>
        <v>0</v>
      </c>
      <c r="AI61" s="500" t="b">
        <f t="shared" si="8"/>
        <v>0</v>
      </c>
      <c r="AJ61" s="500" t="b">
        <f t="shared" si="9"/>
        <v>0</v>
      </c>
      <c r="AK61" s="500" t="b">
        <f t="shared" si="10"/>
        <v>0</v>
      </c>
      <c r="AL61" s="500" t="b">
        <f t="shared" si="11"/>
        <v>0</v>
      </c>
      <c r="AM61" s="500" t="b">
        <f t="shared" si="12"/>
        <v>0</v>
      </c>
      <c r="AN61" s="500" t="b">
        <f t="shared" si="13"/>
        <v>0</v>
      </c>
      <c r="AO61" s="500" t="b">
        <f t="shared" si="14"/>
        <v>0</v>
      </c>
      <c r="AP61" s="500" t="b">
        <f t="shared" si="15"/>
        <v>0</v>
      </c>
      <c r="AR61" s="545">
        <f t="shared" si="16"/>
        <v>0</v>
      </c>
      <c r="AS61" s="545">
        <f t="shared" si="17"/>
        <v>0</v>
      </c>
      <c r="AT61" s="545">
        <f t="shared" si="35"/>
        <v>0</v>
      </c>
      <c r="AU61" s="546"/>
      <c r="AV61" s="547">
        <f t="shared" si="18"/>
        <v>0</v>
      </c>
      <c r="AW61" s="547">
        <f t="shared" si="19"/>
        <v>0</v>
      </c>
      <c r="AX61" s="547">
        <f t="shared" si="20"/>
        <v>0</v>
      </c>
      <c r="AY61" s="547">
        <f t="shared" si="21"/>
        <v>0</v>
      </c>
      <c r="AZ61" s="547">
        <f t="shared" si="22"/>
        <v>0</v>
      </c>
      <c r="BA61" s="547">
        <f t="shared" si="23"/>
        <v>0</v>
      </c>
      <c r="BB61" s="547">
        <f t="shared" si="24"/>
        <v>0</v>
      </c>
      <c r="BC61" s="547">
        <f t="shared" si="25"/>
        <v>0</v>
      </c>
      <c r="BD61" s="547">
        <f t="shared" si="26"/>
        <v>0</v>
      </c>
      <c r="BE61" s="547">
        <f t="shared" si="27"/>
        <v>0</v>
      </c>
      <c r="BF61" s="547">
        <f t="shared" si="28"/>
        <v>0</v>
      </c>
      <c r="BG61" s="547">
        <f t="shared" si="29"/>
        <v>0</v>
      </c>
      <c r="BN61" s="527">
        <f t="shared" si="30"/>
        <v>0</v>
      </c>
      <c r="BO61" s="527">
        <f t="shared" si="31"/>
        <v>0</v>
      </c>
      <c r="BS61" s="497" t="s">
        <v>564</v>
      </c>
      <c r="BV61" s="656" t="e">
        <f>(BV58-BV57)/BV58</f>
        <v>#N/A</v>
      </c>
      <c r="BZ61" s="497" t="s">
        <v>601</v>
      </c>
      <c r="CB61" s="639"/>
      <c r="CE61" s="516"/>
    </row>
    <row r="62" spans="1:83" ht="11.25" customHeight="1">
      <c r="A62" s="571"/>
      <c r="B62" s="620">
        <f>IF(ISBLANK(Calculator!C70),"",Calculator!C70)</f>
        <v>34</v>
      </c>
      <c r="C62" s="726" t="str">
        <f>IF(ISBLANK(Calculator!D70),"",Calculator!D70)</f>
        <v/>
      </c>
      <c r="D62" s="727"/>
      <c r="E62" s="618" t="str">
        <f>IF(ISBLANK(Calculator!G70),"",Calculator!G70)</f>
        <v/>
      </c>
      <c r="F62" s="619" t="str">
        <f>IF(ISBLANK(Calculator!H70),"",Calculator!H70)</f>
        <v/>
      </c>
      <c r="G62" s="574"/>
      <c r="H62" s="577"/>
      <c r="I62" s="501"/>
      <c r="J62" s="580"/>
      <c r="K62" s="581"/>
      <c r="L62" s="544" t="str">
        <f t="shared" si="6"/>
        <v/>
      </c>
      <c r="M62" s="582"/>
      <c r="N62" s="582"/>
      <c r="O62" s="582"/>
      <c r="P62" s="582"/>
      <c r="Q62" s="582"/>
      <c r="R62" s="582"/>
      <c r="S62" s="582"/>
      <c r="T62" s="582"/>
      <c r="U62" s="582"/>
      <c r="V62" s="582"/>
      <c r="W62" s="582"/>
      <c r="X62" s="582"/>
      <c r="Y62" s="571"/>
      <c r="Z62" s="572"/>
      <c r="AA62" s="572"/>
      <c r="AB62" s="516"/>
      <c r="AE62" s="500" t="b">
        <f t="shared" si="7"/>
        <v>0</v>
      </c>
      <c r="AF62" s="500" t="b">
        <f t="shared" si="32"/>
        <v>0</v>
      </c>
      <c r="AG62" s="500" t="b">
        <f t="shared" si="33"/>
        <v>0</v>
      </c>
      <c r="AH62" s="500" t="b">
        <f t="shared" si="34"/>
        <v>0</v>
      </c>
      <c r="AI62" s="500" t="b">
        <f t="shared" si="8"/>
        <v>0</v>
      </c>
      <c r="AJ62" s="500" t="b">
        <f t="shared" si="9"/>
        <v>0</v>
      </c>
      <c r="AK62" s="500" t="b">
        <f t="shared" si="10"/>
        <v>0</v>
      </c>
      <c r="AL62" s="500" t="b">
        <f t="shared" si="11"/>
        <v>0</v>
      </c>
      <c r="AM62" s="500" t="b">
        <f t="shared" si="12"/>
        <v>0</v>
      </c>
      <c r="AN62" s="500" t="b">
        <f t="shared" si="13"/>
        <v>0</v>
      </c>
      <c r="AO62" s="500" t="b">
        <f t="shared" si="14"/>
        <v>0</v>
      </c>
      <c r="AP62" s="500" t="b">
        <f t="shared" si="15"/>
        <v>0</v>
      </c>
      <c r="AR62" s="545">
        <f t="shared" si="16"/>
        <v>0</v>
      </c>
      <c r="AS62" s="545">
        <f t="shared" si="17"/>
        <v>0</v>
      </c>
      <c r="AT62" s="545">
        <f t="shared" si="35"/>
        <v>0</v>
      </c>
      <c r="AU62" s="546"/>
      <c r="AV62" s="547">
        <f t="shared" si="18"/>
        <v>0</v>
      </c>
      <c r="AW62" s="547">
        <f t="shared" si="19"/>
        <v>0</v>
      </c>
      <c r="AX62" s="547">
        <f t="shared" si="20"/>
        <v>0</v>
      </c>
      <c r="AY62" s="547">
        <f t="shared" si="21"/>
        <v>0</v>
      </c>
      <c r="AZ62" s="547">
        <f t="shared" si="22"/>
        <v>0</v>
      </c>
      <c r="BA62" s="547">
        <f t="shared" si="23"/>
        <v>0</v>
      </c>
      <c r="BB62" s="547">
        <f t="shared" si="24"/>
        <v>0</v>
      </c>
      <c r="BC62" s="547">
        <f t="shared" si="25"/>
        <v>0</v>
      </c>
      <c r="BD62" s="547">
        <f t="shared" si="26"/>
        <v>0</v>
      </c>
      <c r="BE62" s="547">
        <f t="shared" si="27"/>
        <v>0</v>
      </c>
      <c r="BF62" s="547">
        <f t="shared" si="28"/>
        <v>0</v>
      </c>
      <c r="BG62" s="547">
        <f t="shared" si="29"/>
        <v>0</v>
      </c>
      <c r="BN62" s="527">
        <f t="shared" si="30"/>
        <v>0</v>
      </c>
      <c r="BO62" s="527">
        <f t="shared" si="31"/>
        <v>0</v>
      </c>
      <c r="BV62" s="497" t="s">
        <v>603</v>
      </c>
      <c r="BZ62" s="505" t="s">
        <v>575</v>
      </c>
      <c r="CB62" s="639"/>
      <c r="CD62" s="498" t="s">
        <v>445</v>
      </c>
      <c r="CE62" s="516"/>
    </row>
    <row r="63" spans="1:83" ht="11.25" customHeight="1">
      <c r="A63" s="571"/>
      <c r="B63" s="620">
        <f>IF(ISBLANK(Calculator!C71),"",Calculator!C71)</f>
        <v>35</v>
      </c>
      <c r="C63" s="726" t="str">
        <f>IF(ISBLANK(Calculator!D71),"",Calculator!D71)</f>
        <v/>
      </c>
      <c r="D63" s="727"/>
      <c r="E63" s="618" t="str">
        <f>IF(ISBLANK(Calculator!G71),"",Calculator!G71)</f>
        <v/>
      </c>
      <c r="F63" s="619" t="str">
        <f>IF(ISBLANK(Calculator!H71),"",Calculator!H71)</f>
        <v/>
      </c>
      <c r="G63" s="574"/>
      <c r="H63" s="577"/>
      <c r="I63" s="501"/>
      <c r="J63" s="580"/>
      <c r="K63" s="581"/>
      <c r="L63" s="544" t="str">
        <f t="shared" si="6"/>
        <v/>
      </c>
      <c r="M63" s="582"/>
      <c r="N63" s="582"/>
      <c r="O63" s="582"/>
      <c r="P63" s="582"/>
      <c r="Q63" s="582"/>
      <c r="R63" s="582"/>
      <c r="S63" s="582"/>
      <c r="T63" s="582"/>
      <c r="U63" s="582"/>
      <c r="V63" s="582"/>
      <c r="W63" s="582"/>
      <c r="X63" s="582"/>
      <c r="Y63" s="571"/>
      <c r="Z63" s="572"/>
      <c r="AA63" s="572"/>
      <c r="AB63" s="516"/>
      <c r="AE63" s="500" t="b">
        <f t="shared" si="7"/>
        <v>0</v>
      </c>
      <c r="AF63" s="500" t="b">
        <f t="shared" si="32"/>
        <v>0</v>
      </c>
      <c r="AG63" s="500" t="b">
        <f t="shared" si="33"/>
        <v>0</v>
      </c>
      <c r="AH63" s="500" t="b">
        <f t="shared" si="34"/>
        <v>0</v>
      </c>
      <c r="AI63" s="500" t="b">
        <f t="shared" si="8"/>
        <v>0</v>
      </c>
      <c r="AJ63" s="500" t="b">
        <f t="shared" si="9"/>
        <v>0</v>
      </c>
      <c r="AK63" s="500" t="b">
        <f t="shared" si="10"/>
        <v>0</v>
      </c>
      <c r="AL63" s="500" t="b">
        <f t="shared" si="11"/>
        <v>0</v>
      </c>
      <c r="AM63" s="500" t="b">
        <f t="shared" si="12"/>
        <v>0</v>
      </c>
      <c r="AN63" s="500" t="b">
        <f t="shared" si="13"/>
        <v>0</v>
      </c>
      <c r="AO63" s="500" t="b">
        <f t="shared" si="14"/>
        <v>0</v>
      </c>
      <c r="AP63" s="500" t="b">
        <f t="shared" si="15"/>
        <v>0</v>
      </c>
      <c r="AR63" s="545">
        <f t="shared" si="16"/>
        <v>0</v>
      </c>
      <c r="AS63" s="545">
        <f t="shared" si="17"/>
        <v>0</v>
      </c>
      <c r="AT63" s="545">
        <f t="shared" si="35"/>
        <v>0</v>
      </c>
      <c r="AU63" s="546"/>
      <c r="AV63" s="547">
        <f t="shared" si="18"/>
        <v>0</v>
      </c>
      <c r="AW63" s="547">
        <f t="shared" si="19"/>
        <v>0</v>
      </c>
      <c r="AX63" s="547">
        <f t="shared" si="20"/>
        <v>0</v>
      </c>
      <c r="AY63" s="547">
        <f t="shared" si="21"/>
        <v>0</v>
      </c>
      <c r="AZ63" s="547">
        <f t="shared" si="22"/>
        <v>0</v>
      </c>
      <c r="BA63" s="547">
        <f t="shared" si="23"/>
        <v>0</v>
      </c>
      <c r="BB63" s="547">
        <f t="shared" si="24"/>
        <v>0</v>
      </c>
      <c r="BC63" s="547">
        <f t="shared" si="25"/>
        <v>0</v>
      </c>
      <c r="BD63" s="547">
        <f t="shared" si="26"/>
        <v>0</v>
      </c>
      <c r="BE63" s="547">
        <f t="shared" si="27"/>
        <v>0</v>
      </c>
      <c r="BF63" s="547">
        <f t="shared" si="28"/>
        <v>0</v>
      </c>
      <c r="BG63" s="547">
        <f t="shared" si="29"/>
        <v>0</v>
      </c>
      <c r="BN63" s="527">
        <f t="shared" si="30"/>
        <v>0</v>
      </c>
      <c r="BO63" s="527">
        <f t="shared" si="31"/>
        <v>0</v>
      </c>
      <c r="BR63" s="497" t="s">
        <v>576</v>
      </c>
      <c r="BU63" s="507"/>
      <c r="BV63" s="657" t="e">
        <f>BX49-(BX49*(BV60*($BZ$63-1)))</f>
        <v>#N/A</v>
      </c>
      <c r="BW63" s="658"/>
      <c r="BX63" s="654">
        <f>$BZ$26</f>
        <v>1</v>
      </c>
      <c r="BZ63" s="499" t="str">
        <f>IF(AirMovement=$AC$18,1,IF(AirMovement=$AC$19,2,MID(AirMovement,1,4)))</f>
        <v/>
      </c>
      <c r="CB63" s="639"/>
      <c r="CD63" s="505" t="s">
        <v>455</v>
      </c>
      <c r="CE63" s="516"/>
    </row>
    <row r="64" spans="1:83" ht="11.25" customHeight="1">
      <c r="A64" s="571"/>
      <c r="B64" s="620">
        <f>IF(ISBLANK(Calculator!C72),"",Calculator!C72)</f>
        <v>36</v>
      </c>
      <c r="C64" s="726" t="str">
        <f>IF(ISBLANK(Calculator!D72),"",Calculator!D72)</f>
        <v/>
      </c>
      <c r="D64" s="727"/>
      <c r="E64" s="618" t="str">
        <f>IF(ISBLANK(Calculator!G72),"",Calculator!G72)</f>
        <v/>
      </c>
      <c r="F64" s="619" t="str">
        <f>IF(ISBLANK(Calculator!H72),"",Calculator!H72)</f>
        <v/>
      </c>
      <c r="G64" s="574"/>
      <c r="H64" s="577"/>
      <c r="I64" s="501"/>
      <c r="J64" s="580"/>
      <c r="K64" s="581"/>
      <c r="L64" s="544" t="str">
        <f t="shared" si="6"/>
        <v/>
      </c>
      <c r="M64" s="582"/>
      <c r="N64" s="582"/>
      <c r="O64" s="582"/>
      <c r="P64" s="582"/>
      <c r="Q64" s="582"/>
      <c r="R64" s="582"/>
      <c r="S64" s="582"/>
      <c r="T64" s="582"/>
      <c r="U64" s="582"/>
      <c r="V64" s="582"/>
      <c r="W64" s="582"/>
      <c r="X64" s="582"/>
      <c r="Y64" s="571"/>
      <c r="Z64" s="572"/>
      <c r="AA64" s="572"/>
      <c r="AB64" s="516"/>
      <c r="AE64" s="500" t="b">
        <f t="shared" si="7"/>
        <v>0</v>
      </c>
      <c r="AF64" s="500" t="b">
        <f t="shared" si="32"/>
        <v>0</v>
      </c>
      <c r="AG64" s="500" t="b">
        <f t="shared" si="33"/>
        <v>0</v>
      </c>
      <c r="AH64" s="500" t="b">
        <f t="shared" si="34"/>
        <v>0</v>
      </c>
      <c r="AI64" s="500" t="b">
        <f t="shared" si="8"/>
        <v>0</v>
      </c>
      <c r="AJ64" s="500" t="b">
        <f t="shared" si="9"/>
        <v>0</v>
      </c>
      <c r="AK64" s="500" t="b">
        <f t="shared" si="10"/>
        <v>0</v>
      </c>
      <c r="AL64" s="500" t="b">
        <f t="shared" si="11"/>
        <v>0</v>
      </c>
      <c r="AM64" s="500" t="b">
        <f t="shared" si="12"/>
        <v>0</v>
      </c>
      <c r="AN64" s="500" t="b">
        <f t="shared" si="13"/>
        <v>0</v>
      </c>
      <c r="AO64" s="500" t="b">
        <f t="shared" si="14"/>
        <v>0</v>
      </c>
      <c r="AP64" s="500" t="b">
        <f t="shared" si="15"/>
        <v>0</v>
      </c>
      <c r="AR64" s="545">
        <f t="shared" si="16"/>
        <v>0</v>
      </c>
      <c r="AS64" s="545">
        <f t="shared" si="17"/>
        <v>0</v>
      </c>
      <c r="AT64" s="545">
        <f t="shared" si="35"/>
        <v>0</v>
      </c>
      <c r="AU64" s="546"/>
      <c r="AV64" s="547">
        <f t="shared" si="18"/>
        <v>0</v>
      </c>
      <c r="AW64" s="547">
        <f t="shared" si="19"/>
        <v>0</v>
      </c>
      <c r="AX64" s="547">
        <f t="shared" si="20"/>
        <v>0</v>
      </c>
      <c r="AY64" s="547">
        <f t="shared" si="21"/>
        <v>0</v>
      </c>
      <c r="AZ64" s="547">
        <f t="shared" si="22"/>
        <v>0</v>
      </c>
      <c r="BA64" s="547">
        <f t="shared" si="23"/>
        <v>0</v>
      </c>
      <c r="BB64" s="547">
        <f t="shared" si="24"/>
        <v>0</v>
      </c>
      <c r="BC64" s="547">
        <f t="shared" si="25"/>
        <v>0</v>
      </c>
      <c r="BD64" s="547">
        <f t="shared" si="26"/>
        <v>0</v>
      </c>
      <c r="BE64" s="547">
        <f t="shared" si="27"/>
        <v>0</v>
      </c>
      <c r="BF64" s="547">
        <f t="shared" si="28"/>
        <v>0</v>
      </c>
      <c r="BG64" s="547">
        <f t="shared" si="29"/>
        <v>0</v>
      </c>
      <c r="BI64" s="505" t="s">
        <v>453</v>
      </c>
      <c r="BN64" s="527">
        <f t="shared" si="30"/>
        <v>0</v>
      </c>
      <c r="BO64" s="527">
        <f t="shared" si="31"/>
        <v>0</v>
      </c>
      <c r="BU64" s="507"/>
      <c r="BV64" s="657" t="e">
        <f>BX50-(BX50*(BV61*($BZ$63-1)))</f>
        <v>#N/A</v>
      </c>
      <c r="BW64" s="658"/>
      <c r="BX64" s="654">
        <f>$BZ$26</f>
        <v>1</v>
      </c>
      <c r="BZ64" s="505" t="s">
        <v>577</v>
      </c>
      <c r="CB64" s="639"/>
      <c r="CD64" s="500" t="s">
        <v>448</v>
      </c>
      <c r="CE64" s="516"/>
    </row>
    <row r="65" spans="1:83" ht="11.25" customHeight="1">
      <c r="A65" s="571"/>
      <c r="B65" s="620">
        <f>IF(ISBLANK(Calculator!C73),"",Calculator!C73)</f>
        <v>37</v>
      </c>
      <c r="C65" s="726" t="str">
        <f>IF(ISBLANK(Calculator!D73),"",Calculator!D73)</f>
        <v/>
      </c>
      <c r="D65" s="727"/>
      <c r="E65" s="618" t="str">
        <f>IF(ISBLANK(Calculator!G73),"",Calculator!G73)</f>
        <v/>
      </c>
      <c r="F65" s="619" t="str">
        <f>IF(ISBLANK(Calculator!H73),"",Calculator!H73)</f>
        <v/>
      </c>
      <c r="G65" s="574"/>
      <c r="H65" s="577"/>
      <c r="I65" s="501"/>
      <c r="J65" s="580"/>
      <c r="K65" s="581"/>
      <c r="L65" s="544" t="str">
        <f t="shared" si="6"/>
        <v/>
      </c>
      <c r="M65" s="582"/>
      <c r="N65" s="582"/>
      <c r="O65" s="582"/>
      <c r="P65" s="582"/>
      <c r="Q65" s="582"/>
      <c r="R65" s="582"/>
      <c r="S65" s="582"/>
      <c r="T65" s="582"/>
      <c r="U65" s="582"/>
      <c r="V65" s="582"/>
      <c r="W65" s="582"/>
      <c r="X65" s="582"/>
      <c r="Y65" s="571"/>
      <c r="Z65" s="572"/>
      <c r="AA65" s="572"/>
      <c r="AB65" s="516"/>
      <c r="AE65" s="500" t="b">
        <f t="shared" si="7"/>
        <v>0</v>
      </c>
      <c r="AF65" s="500" t="b">
        <f t="shared" si="32"/>
        <v>0</v>
      </c>
      <c r="AG65" s="500" t="b">
        <f t="shared" si="33"/>
        <v>0</v>
      </c>
      <c r="AH65" s="500" t="b">
        <f t="shared" si="34"/>
        <v>0</v>
      </c>
      <c r="AI65" s="500" t="b">
        <f t="shared" si="8"/>
        <v>0</v>
      </c>
      <c r="AJ65" s="500" t="b">
        <f t="shared" si="9"/>
        <v>0</v>
      </c>
      <c r="AK65" s="500" t="b">
        <f t="shared" si="10"/>
        <v>0</v>
      </c>
      <c r="AL65" s="500" t="b">
        <f t="shared" si="11"/>
        <v>0</v>
      </c>
      <c r="AM65" s="500" t="b">
        <f t="shared" si="12"/>
        <v>0</v>
      </c>
      <c r="AN65" s="500" t="b">
        <f t="shared" si="13"/>
        <v>0</v>
      </c>
      <c r="AO65" s="500" t="b">
        <f t="shared" si="14"/>
        <v>0</v>
      </c>
      <c r="AP65" s="500" t="b">
        <f t="shared" si="15"/>
        <v>0</v>
      </c>
      <c r="AR65" s="545">
        <f t="shared" si="16"/>
        <v>0</v>
      </c>
      <c r="AS65" s="545">
        <f t="shared" si="17"/>
        <v>0</v>
      </c>
      <c r="AT65" s="545">
        <f t="shared" si="35"/>
        <v>0</v>
      </c>
      <c r="AU65" s="546"/>
      <c r="AV65" s="547">
        <f t="shared" si="18"/>
        <v>0</v>
      </c>
      <c r="AW65" s="547">
        <f t="shared" si="19"/>
        <v>0</v>
      </c>
      <c r="AX65" s="547">
        <f t="shared" si="20"/>
        <v>0</v>
      </c>
      <c r="AY65" s="547">
        <f t="shared" si="21"/>
        <v>0</v>
      </c>
      <c r="AZ65" s="547">
        <f t="shared" si="22"/>
        <v>0</v>
      </c>
      <c r="BA65" s="547">
        <f t="shared" si="23"/>
        <v>0</v>
      </c>
      <c r="BB65" s="547">
        <f t="shared" si="24"/>
        <v>0</v>
      </c>
      <c r="BC65" s="547">
        <f t="shared" si="25"/>
        <v>0</v>
      </c>
      <c r="BD65" s="547">
        <f t="shared" si="26"/>
        <v>0</v>
      </c>
      <c r="BE65" s="547">
        <f t="shared" si="27"/>
        <v>0</v>
      </c>
      <c r="BF65" s="547">
        <f t="shared" si="28"/>
        <v>0</v>
      </c>
      <c r="BG65" s="547">
        <f t="shared" si="29"/>
        <v>0</v>
      </c>
      <c r="BI65" s="500" t="s">
        <v>449</v>
      </c>
      <c r="BJ65" s="500"/>
      <c r="BK65" s="500"/>
      <c r="BL65" s="500"/>
      <c r="BN65" s="527">
        <f t="shared" si="30"/>
        <v>0</v>
      </c>
      <c r="BO65" s="527">
        <f t="shared" si="31"/>
        <v>0</v>
      </c>
      <c r="BZ65" s="532"/>
      <c r="CB65" s="639"/>
      <c r="CD65" s="549"/>
      <c r="CE65" s="516"/>
    </row>
    <row r="66" spans="1:83" ht="11.25" customHeight="1">
      <c r="A66" s="571"/>
      <c r="B66" s="620">
        <f>IF(ISBLANK(Calculator!C74),"",Calculator!C74)</f>
        <v>38</v>
      </c>
      <c r="C66" s="726" t="str">
        <f>IF(ISBLANK(Calculator!D74),"",Calculator!D74)</f>
        <v/>
      </c>
      <c r="D66" s="727"/>
      <c r="E66" s="618" t="str">
        <f>IF(ISBLANK(Calculator!G74),"",Calculator!G74)</f>
        <v/>
      </c>
      <c r="F66" s="619" t="str">
        <f>IF(ISBLANK(Calculator!H74),"",Calculator!H74)</f>
        <v/>
      </c>
      <c r="G66" s="574"/>
      <c r="H66" s="577"/>
      <c r="I66" s="501"/>
      <c r="J66" s="580"/>
      <c r="K66" s="581"/>
      <c r="L66" s="544" t="str">
        <f t="shared" si="6"/>
        <v/>
      </c>
      <c r="M66" s="582"/>
      <c r="N66" s="582"/>
      <c r="O66" s="582"/>
      <c r="P66" s="582"/>
      <c r="Q66" s="582"/>
      <c r="R66" s="582"/>
      <c r="S66" s="582"/>
      <c r="T66" s="582"/>
      <c r="U66" s="582"/>
      <c r="V66" s="582"/>
      <c r="W66" s="582"/>
      <c r="X66" s="582"/>
      <c r="Y66" s="571"/>
      <c r="Z66" s="572"/>
      <c r="AA66" s="572"/>
      <c r="AB66" s="516"/>
      <c r="AE66" s="500" t="b">
        <f t="shared" si="7"/>
        <v>0</v>
      </c>
      <c r="AF66" s="500" t="b">
        <f t="shared" si="32"/>
        <v>0</v>
      </c>
      <c r="AG66" s="500" t="b">
        <f t="shared" si="33"/>
        <v>0</v>
      </c>
      <c r="AH66" s="500" t="b">
        <f t="shared" si="34"/>
        <v>0</v>
      </c>
      <c r="AI66" s="500" t="b">
        <f t="shared" si="8"/>
        <v>0</v>
      </c>
      <c r="AJ66" s="500" t="b">
        <f t="shared" si="9"/>
        <v>0</v>
      </c>
      <c r="AK66" s="500" t="b">
        <f t="shared" si="10"/>
        <v>0</v>
      </c>
      <c r="AL66" s="500" t="b">
        <f t="shared" si="11"/>
        <v>0</v>
      </c>
      <c r="AM66" s="500" t="b">
        <f t="shared" si="12"/>
        <v>0</v>
      </c>
      <c r="AN66" s="500" t="b">
        <f t="shared" si="13"/>
        <v>0</v>
      </c>
      <c r="AO66" s="500" t="b">
        <f t="shared" si="14"/>
        <v>0</v>
      </c>
      <c r="AP66" s="500" t="b">
        <f t="shared" si="15"/>
        <v>0</v>
      </c>
      <c r="AR66" s="545">
        <f t="shared" si="16"/>
        <v>0</v>
      </c>
      <c r="AS66" s="545">
        <f t="shared" si="17"/>
        <v>0</v>
      </c>
      <c r="AT66" s="545">
        <f t="shared" si="35"/>
        <v>0</v>
      </c>
      <c r="AU66" s="546"/>
      <c r="AV66" s="547">
        <f t="shared" si="18"/>
        <v>0</v>
      </c>
      <c r="AW66" s="547">
        <f t="shared" si="19"/>
        <v>0</v>
      </c>
      <c r="AX66" s="547">
        <f t="shared" si="20"/>
        <v>0</v>
      </c>
      <c r="AY66" s="547">
        <f t="shared" si="21"/>
        <v>0</v>
      </c>
      <c r="AZ66" s="547">
        <f t="shared" si="22"/>
        <v>0</v>
      </c>
      <c r="BA66" s="547">
        <f t="shared" si="23"/>
        <v>0</v>
      </c>
      <c r="BB66" s="547">
        <f t="shared" si="24"/>
        <v>0</v>
      </c>
      <c r="BC66" s="547">
        <f t="shared" si="25"/>
        <v>0</v>
      </c>
      <c r="BD66" s="547">
        <f t="shared" si="26"/>
        <v>0</v>
      </c>
      <c r="BE66" s="547">
        <f t="shared" si="27"/>
        <v>0</v>
      </c>
      <c r="BF66" s="547">
        <f t="shared" si="28"/>
        <v>0</v>
      </c>
      <c r="BG66" s="547">
        <f t="shared" si="29"/>
        <v>0</v>
      </c>
      <c r="BI66" s="500" t="s">
        <v>537</v>
      </c>
      <c r="BJ66" s="500"/>
      <c r="BK66" s="500"/>
      <c r="BL66" s="500"/>
      <c r="BN66" s="527">
        <f t="shared" si="30"/>
        <v>0</v>
      </c>
      <c r="BO66" s="527">
        <f t="shared" si="31"/>
        <v>0</v>
      </c>
      <c r="BR66" s="497" t="s">
        <v>578</v>
      </c>
      <c r="BS66" s="497" t="s">
        <v>579</v>
      </c>
      <c r="BU66" s="653" t="e">
        <f>AreaA/(AreaA+AreaB)</f>
        <v>#DIV/0!</v>
      </c>
      <c r="CB66" s="639"/>
      <c r="CD66" s="526"/>
      <c r="CE66" s="516"/>
    </row>
    <row r="67" spans="1:83" ht="11.25" customHeight="1">
      <c r="A67" s="571"/>
      <c r="B67" s="620">
        <f>IF(ISBLANK(Calculator!C75),"",Calculator!C75)</f>
        <v>39</v>
      </c>
      <c r="C67" s="726" t="str">
        <f>IF(ISBLANK(Calculator!D75),"",Calculator!D75)</f>
        <v/>
      </c>
      <c r="D67" s="727"/>
      <c r="E67" s="618" t="str">
        <f>IF(ISBLANK(Calculator!G75),"",Calculator!G75)</f>
        <v/>
      </c>
      <c r="F67" s="619" t="str">
        <f>IF(ISBLANK(Calculator!H75),"",Calculator!H75)</f>
        <v/>
      </c>
      <c r="G67" s="574"/>
      <c r="H67" s="577"/>
      <c r="I67" s="501"/>
      <c r="J67" s="580"/>
      <c r="K67" s="581"/>
      <c r="L67" s="544" t="str">
        <f t="shared" si="6"/>
        <v/>
      </c>
      <c r="M67" s="582"/>
      <c r="N67" s="582"/>
      <c r="O67" s="582"/>
      <c r="P67" s="582"/>
      <c r="Q67" s="582"/>
      <c r="R67" s="582"/>
      <c r="S67" s="582"/>
      <c r="T67" s="582"/>
      <c r="U67" s="582"/>
      <c r="V67" s="582"/>
      <c r="W67" s="582"/>
      <c r="X67" s="582"/>
      <c r="Y67" s="571"/>
      <c r="Z67" s="572"/>
      <c r="AA67" s="572"/>
      <c r="AB67" s="516"/>
      <c r="AE67" s="500" t="b">
        <f t="shared" si="7"/>
        <v>0</v>
      </c>
      <c r="AF67" s="500" t="b">
        <f t="shared" si="32"/>
        <v>0</v>
      </c>
      <c r="AG67" s="500" t="b">
        <f t="shared" si="33"/>
        <v>0</v>
      </c>
      <c r="AH67" s="500" t="b">
        <f t="shared" si="34"/>
        <v>0</v>
      </c>
      <c r="AI67" s="500" t="b">
        <f t="shared" si="8"/>
        <v>0</v>
      </c>
      <c r="AJ67" s="500" t="b">
        <f t="shared" si="9"/>
        <v>0</v>
      </c>
      <c r="AK67" s="500" t="b">
        <f t="shared" si="10"/>
        <v>0</v>
      </c>
      <c r="AL67" s="500" t="b">
        <f t="shared" si="11"/>
        <v>0</v>
      </c>
      <c r="AM67" s="500" t="b">
        <f t="shared" si="12"/>
        <v>0</v>
      </c>
      <c r="AN67" s="500" t="b">
        <f t="shared" si="13"/>
        <v>0</v>
      </c>
      <c r="AO67" s="500" t="b">
        <f t="shared" si="14"/>
        <v>0</v>
      </c>
      <c r="AP67" s="500" t="b">
        <f t="shared" si="15"/>
        <v>0</v>
      </c>
      <c r="AR67" s="545">
        <f t="shared" si="16"/>
        <v>0</v>
      </c>
      <c r="AS67" s="545">
        <f t="shared" si="17"/>
        <v>0</v>
      </c>
      <c r="AT67" s="545">
        <f t="shared" si="35"/>
        <v>0</v>
      </c>
      <c r="AU67" s="546"/>
      <c r="AV67" s="547">
        <f t="shared" si="18"/>
        <v>0</v>
      </c>
      <c r="AW67" s="547">
        <f t="shared" si="19"/>
        <v>0</v>
      </c>
      <c r="AX67" s="547">
        <f t="shared" si="20"/>
        <v>0</v>
      </c>
      <c r="AY67" s="547">
        <f t="shared" si="21"/>
        <v>0</v>
      </c>
      <c r="AZ67" s="547">
        <f t="shared" si="22"/>
        <v>0</v>
      </c>
      <c r="BA67" s="547">
        <f t="shared" si="23"/>
        <v>0</v>
      </c>
      <c r="BB67" s="547">
        <f t="shared" si="24"/>
        <v>0</v>
      </c>
      <c r="BC67" s="547">
        <f t="shared" si="25"/>
        <v>0</v>
      </c>
      <c r="BD67" s="547">
        <f t="shared" si="26"/>
        <v>0</v>
      </c>
      <c r="BE67" s="547">
        <f t="shared" si="27"/>
        <v>0</v>
      </c>
      <c r="BF67" s="547">
        <f t="shared" si="28"/>
        <v>0</v>
      </c>
      <c r="BG67" s="547">
        <f t="shared" si="29"/>
        <v>0</v>
      </c>
      <c r="BJ67" s="500"/>
      <c r="BK67" s="500"/>
      <c r="BL67" s="500"/>
      <c r="BN67" s="527">
        <f t="shared" si="30"/>
        <v>0</v>
      </c>
      <c r="BO67" s="527">
        <f t="shared" si="31"/>
        <v>0</v>
      </c>
      <c r="BS67" s="497" t="s">
        <v>580</v>
      </c>
      <c r="BU67" s="653" t="e">
        <f>AreaB/(AreaA+AreaB)</f>
        <v>#DIV/0!</v>
      </c>
      <c r="CB67" s="639"/>
      <c r="CD67" s="526"/>
      <c r="CE67" s="516"/>
    </row>
    <row r="68" spans="1:83" ht="11.25" customHeight="1">
      <c r="A68" s="571"/>
      <c r="B68" s="620">
        <f>IF(ISBLANK(Calculator!C76),"",Calculator!C76)</f>
        <v>40</v>
      </c>
      <c r="C68" s="726" t="str">
        <f>IF(ISBLANK(Calculator!D76),"",Calculator!D76)</f>
        <v/>
      </c>
      <c r="D68" s="727"/>
      <c r="E68" s="618" t="str">
        <f>IF(ISBLANK(Calculator!G76),"",Calculator!G76)</f>
        <v/>
      </c>
      <c r="F68" s="619" t="str">
        <f>IF(ISBLANK(Calculator!H76),"",Calculator!H76)</f>
        <v/>
      </c>
      <c r="G68" s="574"/>
      <c r="H68" s="577"/>
      <c r="I68" s="501"/>
      <c r="J68" s="580"/>
      <c r="K68" s="581"/>
      <c r="L68" s="544" t="str">
        <f t="shared" si="6"/>
        <v/>
      </c>
      <c r="M68" s="582"/>
      <c r="N68" s="582"/>
      <c r="O68" s="582"/>
      <c r="P68" s="582"/>
      <c r="Q68" s="582"/>
      <c r="R68" s="582"/>
      <c r="S68" s="582"/>
      <c r="T68" s="582"/>
      <c r="U68" s="582"/>
      <c r="V68" s="582"/>
      <c r="W68" s="582"/>
      <c r="X68" s="582"/>
      <c r="Y68" s="571"/>
      <c r="Z68" s="572"/>
      <c r="AA68" s="572"/>
      <c r="AB68" s="516"/>
      <c r="AE68" s="500" t="b">
        <f t="shared" si="7"/>
        <v>0</v>
      </c>
      <c r="AF68" s="500" t="b">
        <f t="shared" si="32"/>
        <v>0</v>
      </c>
      <c r="AG68" s="500" t="b">
        <f t="shared" si="33"/>
        <v>0</v>
      </c>
      <c r="AH68" s="500" t="b">
        <f t="shared" si="34"/>
        <v>0</v>
      </c>
      <c r="AI68" s="500" t="b">
        <f t="shared" si="8"/>
        <v>0</v>
      </c>
      <c r="AJ68" s="500" t="b">
        <f t="shared" si="9"/>
        <v>0</v>
      </c>
      <c r="AK68" s="500" t="b">
        <f t="shared" si="10"/>
        <v>0</v>
      </c>
      <c r="AL68" s="500" t="b">
        <f t="shared" si="11"/>
        <v>0</v>
      </c>
      <c r="AM68" s="500" t="b">
        <f t="shared" si="12"/>
        <v>0</v>
      </c>
      <c r="AN68" s="500" t="b">
        <f t="shared" si="13"/>
        <v>0</v>
      </c>
      <c r="AO68" s="500" t="b">
        <f t="shared" si="14"/>
        <v>0</v>
      </c>
      <c r="AP68" s="500" t="b">
        <f t="shared" si="15"/>
        <v>0</v>
      </c>
      <c r="AR68" s="545">
        <f t="shared" si="16"/>
        <v>0</v>
      </c>
      <c r="AS68" s="545">
        <f t="shared" si="17"/>
        <v>0</v>
      </c>
      <c r="AT68" s="545">
        <f t="shared" si="35"/>
        <v>0</v>
      </c>
      <c r="AU68" s="546"/>
      <c r="AV68" s="547">
        <f t="shared" si="18"/>
        <v>0</v>
      </c>
      <c r="AW68" s="547">
        <f t="shared" si="19"/>
        <v>0</v>
      </c>
      <c r="AX68" s="547">
        <f t="shared" si="20"/>
        <v>0</v>
      </c>
      <c r="AY68" s="547">
        <f t="shared" si="21"/>
        <v>0</v>
      </c>
      <c r="AZ68" s="547">
        <f t="shared" si="22"/>
        <v>0</v>
      </c>
      <c r="BA68" s="547">
        <f t="shared" si="23"/>
        <v>0</v>
      </c>
      <c r="BB68" s="547">
        <f t="shared" si="24"/>
        <v>0</v>
      </c>
      <c r="BC68" s="547">
        <f t="shared" si="25"/>
        <v>0</v>
      </c>
      <c r="BD68" s="547">
        <f t="shared" si="26"/>
        <v>0</v>
      </c>
      <c r="BE68" s="547">
        <f t="shared" si="27"/>
        <v>0</v>
      </c>
      <c r="BF68" s="547">
        <f t="shared" si="28"/>
        <v>0</v>
      </c>
      <c r="BG68" s="547">
        <f t="shared" si="29"/>
        <v>0</v>
      </c>
      <c r="BH68" s="546"/>
      <c r="BI68" s="500" t="s">
        <v>450</v>
      </c>
      <c r="BJ68" s="547"/>
      <c r="BK68" s="547"/>
      <c r="BL68" s="500"/>
      <c r="BN68" s="527">
        <f t="shared" si="30"/>
        <v>0</v>
      </c>
      <c r="BO68" s="527">
        <f t="shared" si="31"/>
        <v>0</v>
      </c>
      <c r="BU68" s="659" t="e">
        <f>SUM(BU66:BU67)</f>
        <v>#DIV/0!</v>
      </c>
      <c r="CB68" s="639"/>
      <c r="CD68" s="526"/>
      <c r="CE68" s="516"/>
    </row>
    <row r="69" spans="1:83" ht="11.25" customHeight="1">
      <c r="A69" s="571"/>
      <c r="B69" s="614"/>
      <c r="C69" s="614"/>
      <c r="D69" s="621"/>
      <c r="E69" s="615"/>
      <c r="F69" s="615"/>
      <c r="G69" s="615"/>
      <c r="H69" s="614"/>
      <c r="I69" s="501"/>
      <c r="J69" s="550"/>
      <c r="K69" s="509"/>
      <c r="L69" s="551"/>
      <c r="M69" s="509"/>
      <c r="N69" s="509"/>
      <c r="O69" s="509"/>
      <c r="P69" s="509"/>
      <c r="Q69" s="509"/>
      <c r="R69" s="509"/>
      <c r="S69" s="509"/>
      <c r="T69" s="509"/>
      <c r="U69" s="509"/>
      <c r="V69" s="509"/>
      <c r="W69" s="509"/>
      <c r="X69" s="509"/>
      <c r="Y69" s="571"/>
      <c r="Z69" s="572"/>
      <c r="AA69" s="572"/>
      <c r="AB69" s="516"/>
      <c r="AE69" s="500"/>
      <c r="AF69" s="500"/>
      <c r="AG69" s="500"/>
      <c r="AH69" s="500"/>
      <c r="AI69" s="500"/>
      <c r="AJ69" s="500"/>
      <c r="AK69" s="500"/>
      <c r="AL69" s="500"/>
      <c r="AM69" s="500"/>
      <c r="AN69" s="500"/>
      <c r="AO69" s="500"/>
      <c r="AP69" s="500"/>
      <c r="AR69" s="545"/>
      <c r="AS69" s="545"/>
      <c r="AT69" s="545"/>
      <c r="AU69" s="546"/>
      <c r="AV69" s="546"/>
      <c r="AW69" s="546"/>
      <c r="AX69" s="546"/>
      <c r="AY69" s="546"/>
      <c r="AZ69" s="546"/>
      <c r="BA69" s="546"/>
      <c r="BB69" s="546"/>
      <c r="BC69" s="546"/>
      <c r="BD69" s="546"/>
      <c r="BE69" s="546"/>
      <c r="BF69" s="546"/>
      <c r="BG69" s="546"/>
      <c r="BH69" s="546"/>
      <c r="BI69" s="500" t="s">
        <v>454</v>
      </c>
      <c r="BJ69" s="547"/>
      <c r="BK69" s="547"/>
      <c r="BL69" s="500"/>
      <c r="BN69" s="552">
        <f>SUM(BN29:BN68)</f>
        <v>0</v>
      </c>
      <c r="BO69" s="552">
        <f>SUM(BO29:BO68)</f>
        <v>0</v>
      </c>
      <c r="CB69" s="638"/>
      <c r="CD69" s="526"/>
      <c r="CE69" s="516"/>
    </row>
    <row r="70" spans="1:83" ht="11.25" customHeight="1">
      <c r="A70" s="571"/>
      <c r="B70" s="622" t="s">
        <v>556</v>
      </c>
      <c r="C70" s="622"/>
      <c r="D70" s="621"/>
      <c r="E70" s="615"/>
      <c r="F70" s="615"/>
      <c r="G70" s="615"/>
      <c r="H70" s="623"/>
      <c r="I70" s="501"/>
      <c r="J70" s="553"/>
      <c r="K70" s="509"/>
      <c r="L70" s="551"/>
      <c r="M70" s="502"/>
      <c r="N70" s="502"/>
      <c r="O70" s="502"/>
      <c r="P70" s="502"/>
      <c r="Q70" s="502"/>
      <c r="R70" s="502"/>
      <c r="S70" s="502"/>
      <c r="T70" s="502"/>
      <c r="U70" s="502"/>
      <c r="V70" s="502"/>
      <c r="W70" s="502"/>
      <c r="X70" s="502"/>
      <c r="Y70" s="571"/>
      <c r="Z70" s="572"/>
      <c r="AA70" s="572"/>
      <c r="AB70" s="516"/>
      <c r="AE70" s="500"/>
      <c r="AF70" s="500"/>
      <c r="AG70" s="500"/>
      <c r="AH70" s="500"/>
      <c r="AI70" s="500"/>
      <c r="AJ70" s="500"/>
      <c r="AK70" s="500"/>
      <c r="AL70" s="500"/>
      <c r="AM70" s="500"/>
      <c r="AN70" s="500"/>
      <c r="AO70" s="500"/>
      <c r="AP70" s="500"/>
      <c r="AR70" s="545"/>
      <c r="AS70" s="545"/>
      <c r="AT70" s="545"/>
      <c r="AU70" s="546"/>
      <c r="AV70" s="546"/>
      <c r="AW70" s="546"/>
      <c r="AX70" s="546"/>
      <c r="AY70" s="546"/>
      <c r="AZ70" s="546"/>
      <c r="BA70" s="546"/>
      <c r="BB70" s="546"/>
      <c r="BC70" s="546"/>
      <c r="BD70" s="546"/>
      <c r="BE70" s="546"/>
      <c r="BF70" s="546"/>
      <c r="BG70" s="546"/>
      <c r="BR70" s="497" t="s">
        <v>581</v>
      </c>
      <c r="BU70" s="653" t="e">
        <f>(BU66*BW49)+(BU67*BW50)</f>
        <v>#DIV/0!</v>
      </c>
      <c r="BV70" s="657" t="e">
        <f>(BV63*BU66)+(BV64*BU67)</f>
        <v>#N/A</v>
      </c>
      <c r="BW70" s="660">
        <f>$BY$26</f>
        <v>1</v>
      </c>
      <c r="BX70" s="661">
        <f>$BZ$26</f>
        <v>1</v>
      </c>
      <c r="CE70" s="516"/>
    </row>
    <row r="71" spans="1:83" ht="11.25" customHeight="1">
      <c r="A71" s="571"/>
      <c r="B71" s="624">
        <v>41</v>
      </c>
      <c r="C71" s="739"/>
      <c r="D71" s="740"/>
      <c r="E71" s="583"/>
      <c r="F71" s="584"/>
      <c r="G71" s="574"/>
      <c r="H71" s="576"/>
      <c r="I71" s="501"/>
      <c r="J71" s="580"/>
      <c r="K71" s="581"/>
      <c r="L71" s="544" t="str">
        <f t="shared" ref="L71:L80" si="36">IF(OR(E71="",F71=""),"",AT71)</f>
        <v/>
      </c>
      <c r="M71" s="582"/>
      <c r="N71" s="582"/>
      <c r="O71" s="582"/>
      <c r="P71" s="582"/>
      <c r="Q71" s="582"/>
      <c r="R71" s="582"/>
      <c r="S71" s="582"/>
      <c r="T71" s="582"/>
      <c r="U71" s="582"/>
      <c r="V71" s="582"/>
      <c r="W71" s="582"/>
      <c r="X71" s="582"/>
      <c r="Y71" s="571"/>
      <c r="Z71" s="572"/>
      <c r="AA71" s="572"/>
      <c r="AB71" s="516"/>
      <c r="AE71" s="500" t="b">
        <f t="shared" ref="AE71:AE80" si="37">AND(ISERROR(E71*F71),G71=$AC$13)</f>
        <v>0</v>
      </c>
      <c r="AF71" s="500" t="b">
        <f t="shared" ref="AF71" si="38">AND(ISBLANK(H71),G71=$AC$13)</f>
        <v>0</v>
      </c>
      <c r="AG71" s="500" t="b">
        <f t="shared" ref="AG71" si="39">AND(H71=$AC$51,ISBLANK(G71))</f>
        <v>0</v>
      </c>
      <c r="AH71" s="500" t="b">
        <f t="shared" ref="AH71" si="40">AND(H71=$AC$50,ISBLANK(G71))</f>
        <v>0</v>
      </c>
      <c r="AI71" s="500" t="b">
        <f t="shared" ref="AI71:AI80" si="41">J71&gt;E71</f>
        <v>0</v>
      </c>
      <c r="AJ71" s="500" t="b">
        <f t="shared" ref="AJ71:AJ80" si="42">AND(ISNUMBER(J71),E71="")</f>
        <v>0</v>
      </c>
      <c r="AK71" s="500" t="b">
        <f t="shared" ref="AK71:AK80" si="43">AND(ISNUMBER(J71),H71=$AC$51)</f>
        <v>0</v>
      </c>
      <c r="AL71" s="500" t="b">
        <f t="shared" ref="AL71:AL80" si="44">AND(ISNUMBER(K71),F71="")</f>
        <v>0</v>
      </c>
      <c r="AM71" s="500" t="b">
        <f t="shared" ref="AM71:AM80" si="45">AND(ISNUMBER(K71),H71=$AC$51)</f>
        <v>0</v>
      </c>
      <c r="AN71" s="500" t="b">
        <f t="shared" ref="AN71:AN80" si="46">AND(ISBLANK(K71),COUNTIF(M71:X71,$AC$14)&gt;0)</f>
        <v>0</v>
      </c>
      <c r="AO71" s="500" t="b">
        <f t="shared" ref="AO71:AO80" si="47">AND(ISNUMBER(K71),COUNTIF(M71:X71,$AC$14)=0)</f>
        <v>0</v>
      </c>
      <c r="AP71" s="500" t="b">
        <f t="shared" ref="AP71:AP80" si="48">COUNTIF(M71:X71,$AC$14)&gt;1</f>
        <v>0</v>
      </c>
      <c r="AR71" s="545">
        <f t="shared" ref="AR71:AR80" si="49">IF(OR(E71="",F71=""),0,IF(H71=$AC$51,0,IF(OR(E71="",ISBLANK(K71)),0,IF(ISNUMBER(J71),J71*K71*F71,E71*K71*F71))))</f>
        <v>0</v>
      </c>
      <c r="AS71" s="545">
        <f t="shared" ref="AS71:AS80" si="50">IF(OR(E71="",F71=""),0,IF(H71=$AC$51,0,IF(OR(E71="",OR(ISBLANK(K71),K71=0)),0,IF(ISNUMBER(J71),$K$23*((J71*2)+(K71*F71*2)),$K$23*((E71*2)+(K71*F71*2))))))</f>
        <v>0</v>
      </c>
      <c r="AT71" s="545">
        <f t="shared" si="35"/>
        <v>0</v>
      </c>
      <c r="AU71" s="546"/>
      <c r="AV71" s="547">
        <f t="shared" ref="AV71:AV80" si="51">IF(M71=$AC$14,$AT71,0)</f>
        <v>0</v>
      </c>
      <c r="AW71" s="547">
        <f t="shared" ref="AW71:AW80" si="52">IF(N71=$AC$14,$AT71,0)</f>
        <v>0</v>
      </c>
      <c r="AX71" s="547">
        <f t="shared" ref="AX71:AX80" si="53">IF(O71=$AC$14,$AT71,0)</f>
        <v>0</v>
      </c>
      <c r="AY71" s="547">
        <f t="shared" ref="AY71:AY80" si="54">IF(P71=$AC$14,$AT71,0)</f>
        <v>0</v>
      </c>
      <c r="AZ71" s="547">
        <f t="shared" ref="AZ71:AZ80" si="55">IF(Q71=$AC$14,$AT71,0)</f>
        <v>0</v>
      </c>
      <c r="BA71" s="547">
        <f t="shared" ref="BA71:BA80" si="56">IF(R71=$AC$14,$AT71,0)</f>
        <v>0</v>
      </c>
      <c r="BB71" s="547">
        <f t="shared" ref="BB71:BB80" si="57">IF(S71=$AC$14,$AT71,0)</f>
        <v>0</v>
      </c>
      <c r="BC71" s="547">
        <f t="shared" ref="BC71:BC80" si="58">IF(T71=$AC$14,$AT71,0)</f>
        <v>0</v>
      </c>
      <c r="BD71" s="547">
        <f t="shared" ref="BD71:BD80" si="59">IF(U71=$AC$14,$AT71,0)</f>
        <v>0</v>
      </c>
      <c r="BE71" s="547">
        <f t="shared" ref="BE71:BE80" si="60">IF(V71=$AC$14,$AT71,0)</f>
        <v>0</v>
      </c>
      <c r="BF71" s="547">
        <f t="shared" ref="BF71:BF80" si="61">IF(W71=$AC$14,$AT71,0)</f>
        <v>0</v>
      </c>
      <c r="BG71" s="547">
        <f t="shared" ref="BG71:BG80" si="62">IF(X71=$AC$14,$AT71,0)</f>
        <v>0</v>
      </c>
      <c r="BI71" s="505" t="s">
        <v>484</v>
      </c>
      <c r="BN71" s="505" t="s">
        <v>504</v>
      </c>
      <c r="CE71" s="516"/>
    </row>
    <row r="72" spans="1:83" ht="11.25" customHeight="1">
      <c r="A72" s="571"/>
      <c r="B72" s="624">
        <v>42</v>
      </c>
      <c r="C72" s="739"/>
      <c r="D72" s="740"/>
      <c r="E72" s="583"/>
      <c r="F72" s="584"/>
      <c r="G72" s="574"/>
      <c r="H72" s="577"/>
      <c r="I72" s="501"/>
      <c r="J72" s="580"/>
      <c r="K72" s="581"/>
      <c r="L72" s="544" t="str">
        <f t="shared" si="36"/>
        <v/>
      </c>
      <c r="M72" s="582"/>
      <c r="N72" s="582"/>
      <c r="O72" s="582"/>
      <c r="P72" s="582"/>
      <c r="Q72" s="582"/>
      <c r="R72" s="582"/>
      <c r="S72" s="582"/>
      <c r="T72" s="582"/>
      <c r="U72" s="582"/>
      <c r="V72" s="582"/>
      <c r="W72" s="582"/>
      <c r="X72" s="582"/>
      <c r="Y72" s="571"/>
      <c r="Z72" s="572"/>
      <c r="AA72" s="572"/>
      <c r="AB72" s="516"/>
      <c r="AE72" s="500" t="b">
        <f t="shared" si="37"/>
        <v>0</v>
      </c>
      <c r="AF72" s="500" t="b">
        <f t="shared" ref="AF72:AF80" si="63">AND(ISBLANK(H72),G72=$AC$13)</f>
        <v>0</v>
      </c>
      <c r="AG72" s="500" t="b">
        <f t="shared" ref="AG72:AG80" si="64">AND(H72=$AC$51,ISBLANK(G72))</f>
        <v>0</v>
      </c>
      <c r="AH72" s="500" t="b">
        <f t="shared" ref="AH72:AH80" si="65">AND(H72=$AC$50,ISBLANK(G72))</f>
        <v>0</v>
      </c>
      <c r="AI72" s="500" t="b">
        <f t="shared" si="41"/>
        <v>0</v>
      </c>
      <c r="AJ72" s="500" t="b">
        <f t="shared" si="42"/>
        <v>0</v>
      </c>
      <c r="AK72" s="500" t="b">
        <f t="shared" si="43"/>
        <v>0</v>
      </c>
      <c r="AL72" s="500" t="b">
        <f t="shared" si="44"/>
        <v>0</v>
      </c>
      <c r="AM72" s="500" t="b">
        <f t="shared" si="45"/>
        <v>0</v>
      </c>
      <c r="AN72" s="500" t="b">
        <f t="shared" si="46"/>
        <v>0</v>
      </c>
      <c r="AO72" s="500" t="b">
        <f t="shared" si="47"/>
        <v>0</v>
      </c>
      <c r="AP72" s="500" t="b">
        <f t="shared" si="48"/>
        <v>0</v>
      </c>
      <c r="AR72" s="545">
        <f t="shared" si="49"/>
        <v>0</v>
      </c>
      <c r="AS72" s="545">
        <f t="shared" si="50"/>
        <v>0</v>
      </c>
      <c r="AT72" s="545">
        <f t="shared" si="35"/>
        <v>0</v>
      </c>
      <c r="AU72" s="546"/>
      <c r="AV72" s="547">
        <f t="shared" si="51"/>
        <v>0</v>
      </c>
      <c r="AW72" s="547">
        <f t="shared" si="52"/>
        <v>0</v>
      </c>
      <c r="AX72" s="547">
        <f t="shared" si="53"/>
        <v>0</v>
      </c>
      <c r="AY72" s="547">
        <f t="shared" si="54"/>
        <v>0</v>
      </c>
      <c r="AZ72" s="547">
        <f t="shared" si="55"/>
        <v>0</v>
      </c>
      <c r="BA72" s="547">
        <f t="shared" si="56"/>
        <v>0</v>
      </c>
      <c r="BB72" s="547">
        <f t="shared" si="57"/>
        <v>0</v>
      </c>
      <c r="BC72" s="547">
        <f t="shared" si="58"/>
        <v>0</v>
      </c>
      <c r="BD72" s="547">
        <f t="shared" si="59"/>
        <v>0</v>
      </c>
      <c r="BE72" s="547">
        <f t="shared" si="60"/>
        <v>0</v>
      </c>
      <c r="BF72" s="547">
        <f t="shared" si="61"/>
        <v>0</v>
      </c>
      <c r="BG72" s="547">
        <f t="shared" si="62"/>
        <v>0</v>
      </c>
      <c r="BI72" s="500" t="s">
        <v>485</v>
      </c>
      <c r="BJ72" s="500"/>
      <c r="BK72" s="500"/>
      <c r="BL72" s="500"/>
      <c r="BU72" s="505" t="s">
        <v>582</v>
      </c>
      <c r="CE72" s="516"/>
    </row>
    <row r="73" spans="1:83" ht="11.25" customHeight="1">
      <c r="A73" s="571"/>
      <c r="B73" s="624">
        <v>43</v>
      </c>
      <c r="C73" s="739"/>
      <c r="D73" s="740"/>
      <c r="E73" s="583"/>
      <c r="F73" s="584"/>
      <c r="G73" s="574"/>
      <c r="H73" s="577"/>
      <c r="I73" s="501"/>
      <c r="J73" s="580"/>
      <c r="K73" s="581"/>
      <c r="L73" s="544" t="str">
        <f t="shared" si="36"/>
        <v/>
      </c>
      <c r="M73" s="582"/>
      <c r="N73" s="582"/>
      <c r="O73" s="582"/>
      <c r="P73" s="582"/>
      <c r="Q73" s="582"/>
      <c r="R73" s="582"/>
      <c r="S73" s="582"/>
      <c r="T73" s="582"/>
      <c r="U73" s="582"/>
      <c r="V73" s="582"/>
      <c r="W73" s="582"/>
      <c r="X73" s="582"/>
      <c r="Y73" s="571"/>
      <c r="Z73" s="572"/>
      <c r="AA73" s="572"/>
      <c r="AB73" s="516"/>
      <c r="AE73" s="500" t="b">
        <f t="shared" si="37"/>
        <v>0</v>
      </c>
      <c r="AF73" s="500" t="b">
        <f t="shared" si="63"/>
        <v>0</v>
      </c>
      <c r="AG73" s="500" t="b">
        <f t="shared" si="64"/>
        <v>0</v>
      </c>
      <c r="AH73" s="500" t="b">
        <f t="shared" si="65"/>
        <v>0</v>
      </c>
      <c r="AI73" s="500" t="b">
        <f t="shared" si="41"/>
        <v>0</v>
      </c>
      <c r="AJ73" s="500" t="b">
        <f t="shared" si="42"/>
        <v>0</v>
      </c>
      <c r="AK73" s="500" t="b">
        <f t="shared" si="43"/>
        <v>0</v>
      </c>
      <c r="AL73" s="500" t="b">
        <f t="shared" si="44"/>
        <v>0</v>
      </c>
      <c r="AM73" s="500" t="b">
        <f t="shared" si="45"/>
        <v>0</v>
      </c>
      <c r="AN73" s="500" t="b">
        <f t="shared" si="46"/>
        <v>0</v>
      </c>
      <c r="AO73" s="500" t="b">
        <f t="shared" si="47"/>
        <v>0</v>
      </c>
      <c r="AP73" s="500" t="b">
        <f t="shared" si="48"/>
        <v>0</v>
      </c>
      <c r="AR73" s="545">
        <f t="shared" si="49"/>
        <v>0</v>
      </c>
      <c r="AS73" s="545">
        <f t="shared" si="50"/>
        <v>0</v>
      </c>
      <c r="AT73" s="545">
        <f t="shared" si="35"/>
        <v>0</v>
      </c>
      <c r="AU73" s="546"/>
      <c r="AV73" s="547">
        <f t="shared" si="51"/>
        <v>0</v>
      </c>
      <c r="AW73" s="547">
        <f t="shared" si="52"/>
        <v>0</v>
      </c>
      <c r="AX73" s="547">
        <f t="shared" si="53"/>
        <v>0</v>
      </c>
      <c r="AY73" s="547">
        <f t="shared" si="54"/>
        <v>0</v>
      </c>
      <c r="AZ73" s="547">
        <f t="shared" si="55"/>
        <v>0</v>
      </c>
      <c r="BA73" s="547">
        <f t="shared" si="56"/>
        <v>0</v>
      </c>
      <c r="BB73" s="547">
        <f t="shared" si="57"/>
        <v>0</v>
      </c>
      <c r="BC73" s="547">
        <f t="shared" si="58"/>
        <v>0</v>
      </c>
      <c r="BD73" s="547">
        <f t="shared" si="59"/>
        <v>0</v>
      </c>
      <c r="BE73" s="547">
        <f t="shared" si="60"/>
        <v>0</v>
      </c>
      <c r="BF73" s="547">
        <f t="shared" si="61"/>
        <v>0</v>
      </c>
      <c r="BG73" s="547">
        <f t="shared" si="62"/>
        <v>0</v>
      </c>
      <c r="BI73" s="500" t="s">
        <v>555</v>
      </c>
      <c r="BJ73" s="500"/>
      <c r="BK73" s="500"/>
      <c r="BL73" s="500"/>
      <c r="BO73" s="535"/>
      <c r="BR73" s="497" t="s">
        <v>583</v>
      </c>
      <c r="BU73" s="653" t="e">
        <f>(BU70*$BW$78)+(BW70*$BW$79)</f>
        <v>#DIV/0!</v>
      </c>
      <c r="BV73" s="653" t="e">
        <f>(BV70*$BW$78)+(BX70*$BW$79)</f>
        <v>#N/A</v>
      </c>
      <c r="CB73" s="535"/>
      <c r="CE73" s="516"/>
    </row>
    <row r="74" spans="1:83" ht="11.25" customHeight="1">
      <c r="A74" s="571"/>
      <c r="B74" s="624">
        <v>44</v>
      </c>
      <c r="C74" s="739"/>
      <c r="D74" s="740"/>
      <c r="E74" s="583"/>
      <c r="F74" s="584"/>
      <c r="G74" s="574"/>
      <c r="H74" s="577"/>
      <c r="I74" s="501"/>
      <c r="J74" s="580"/>
      <c r="K74" s="581"/>
      <c r="L74" s="544" t="str">
        <f t="shared" si="36"/>
        <v/>
      </c>
      <c r="M74" s="582"/>
      <c r="N74" s="582"/>
      <c r="O74" s="582"/>
      <c r="P74" s="582"/>
      <c r="Q74" s="582"/>
      <c r="R74" s="582"/>
      <c r="S74" s="582"/>
      <c r="T74" s="582"/>
      <c r="U74" s="582"/>
      <c r="V74" s="582"/>
      <c r="W74" s="582"/>
      <c r="X74" s="582"/>
      <c r="Y74" s="571"/>
      <c r="Z74" s="572"/>
      <c r="AA74" s="572"/>
      <c r="AB74" s="516"/>
      <c r="AE74" s="500" t="b">
        <f t="shared" si="37"/>
        <v>0</v>
      </c>
      <c r="AF74" s="500" t="b">
        <f t="shared" si="63"/>
        <v>0</v>
      </c>
      <c r="AG74" s="500" t="b">
        <f t="shared" si="64"/>
        <v>0</v>
      </c>
      <c r="AH74" s="500" t="b">
        <f t="shared" si="65"/>
        <v>0</v>
      </c>
      <c r="AI74" s="500" t="b">
        <f t="shared" si="41"/>
        <v>0</v>
      </c>
      <c r="AJ74" s="500" t="b">
        <f t="shared" si="42"/>
        <v>0</v>
      </c>
      <c r="AK74" s="500" t="b">
        <f t="shared" si="43"/>
        <v>0</v>
      </c>
      <c r="AL74" s="500" t="b">
        <f t="shared" si="44"/>
        <v>0</v>
      </c>
      <c r="AM74" s="500" t="b">
        <f t="shared" si="45"/>
        <v>0</v>
      </c>
      <c r="AN74" s="500" t="b">
        <f t="shared" si="46"/>
        <v>0</v>
      </c>
      <c r="AO74" s="500" t="b">
        <f t="shared" si="47"/>
        <v>0</v>
      </c>
      <c r="AP74" s="500" t="b">
        <f t="shared" si="48"/>
        <v>0</v>
      </c>
      <c r="AR74" s="545">
        <f t="shared" si="49"/>
        <v>0</v>
      </c>
      <c r="AS74" s="545">
        <f t="shared" si="50"/>
        <v>0</v>
      </c>
      <c r="AT74" s="545">
        <f t="shared" si="35"/>
        <v>0</v>
      </c>
      <c r="AU74" s="546"/>
      <c r="AV74" s="547">
        <f t="shared" si="51"/>
        <v>0</v>
      </c>
      <c r="AW74" s="547">
        <f t="shared" si="52"/>
        <v>0</v>
      </c>
      <c r="AX74" s="547">
        <f t="shared" si="53"/>
        <v>0</v>
      </c>
      <c r="AY74" s="547">
        <f t="shared" si="54"/>
        <v>0</v>
      </c>
      <c r="AZ74" s="547">
        <f t="shared" si="55"/>
        <v>0</v>
      </c>
      <c r="BA74" s="547">
        <f t="shared" si="56"/>
        <v>0</v>
      </c>
      <c r="BB74" s="547">
        <f t="shared" si="57"/>
        <v>0</v>
      </c>
      <c r="BC74" s="547">
        <f t="shared" si="58"/>
        <v>0</v>
      </c>
      <c r="BD74" s="547">
        <f t="shared" si="59"/>
        <v>0</v>
      </c>
      <c r="BE74" s="547">
        <f t="shared" si="60"/>
        <v>0</v>
      </c>
      <c r="BF74" s="547">
        <f t="shared" si="61"/>
        <v>0</v>
      </c>
      <c r="BG74" s="547">
        <f t="shared" si="62"/>
        <v>0</v>
      </c>
      <c r="BI74" s="500" t="s">
        <v>554</v>
      </c>
      <c r="BJ74" s="500"/>
      <c r="BK74" s="500"/>
      <c r="BL74" s="500"/>
      <c r="CE74" s="516"/>
    </row>
    <row r="75" spans="1:83" ht="11.25" customHeight="1">
      <c r="A75" s="571"/>
      <c r="B75" s="624">
        <v>45</v>
      </c>
      <c r="C75" s="739"/>
      <c r="D75" s="740"/>
      <c r="E75" s="583"/>
      <c r="F75" s="584"/>
      <c r="G75" s="574"/>
      <c r="H75" s="577"/>
      <c r="I75" s="501"/>
      <c r="J75" s="580"/>
      <c r="K75" s="581"/>
      <c r="L75" s="544" t="str">
        <f t="shared" si="36"/>
        <v/>
      </c>
      <c r="M75" s="582"/>
      <c r="N75" s="582"/>
      <c r="O75" s="582"/>
      <c r="P75" s="582"/>
      <c r="Q75" s="582"/>
      <c r="R75" s="582"/>
      <c r="S75" s="582"/>
      <c r="T75" s="582"/>
      <c r="U75" s="582"/>
      <c r="V75" s="582"/>
      <c r="W75" s="582"/>
      <c r="X75" s="582"/>
      <c r="Y75" s="571"/>
      <c r="Z75" s="572"/>
      <c r="AA75" s="572"/>
      <c r="AB75" s="516"/>
      <c r="AE75" s="500" t="b">
        <f t="shared" si="37"/>
        <v>0</v>
      </c>
      <c r="AF75" s="500" t="b">
        <f t="shared" si="63"/>
        <v>0</v>
      </c>
      <c r="AG75" s="500" t="b">
        <f t="shared" si="64"/>
        <v>0</v>
      </c>
      <c r="AH75" s="500" t="b">
        <f t="shared" si="65"/>
        <v>0</v>
      </c>
      <c r="AI75" s="500" t="b">
        <f t="shared" si="41"/>
        <v>0</v>
      </c>
      <c r="AJ75" s="500" t="b">
        <f t="shared" si="42"/>
        <v>0</v>
      </c>
      <c r="AK75" s="500" t="b">
        <f t="shared" si="43"/>
        <v>0</v>
      </c>
      <c r="AL75" s="500" t="b">
        <f t="shared" si="44"/>
        <v>0</v>
      </c>
      <c r="AM75" s="500" t="b">
        <f t="shared" si="45"/>
        <v>0</v>
      </c>
      <c r="AN75" s="500" t="b">
        <f t="shared" si="46"/>
        <v>0</v>
      </c>
      <c r="AO75" s="500" t="b">
        <f t="shared" si="47"/>
        <v>0</v>
      </c>
      <c r="AP75" s="500" t="b">
        <f t="shared" si="48"/>
        <v>0</v>
      </c>
      <c r="AR75" s="545">
        <f t="shared" si="49"/>
        <v>0</v>
      </c>
      <c r="AS75" s="545">
        <f t="shared" si="50"/>
        <v>0</v>
      </c>
      <c r="AT75" s="545">
        <f t="shared" si="35"/>
        <v>0</v>
      </c>
      <c r="AU75" s="546"/>
      <c r="AV75" s="547">
        <f t="shared" si="51"/>
        <v>0</v>
      </c>
      <c r="AW75" s="547">
        <f t="shared" si="52"/>
        <v>0</v>
      </c>
      <c r="AX75" s="547">
        <f t="shared" si="53"/>
        <v>0</v>
      </c>
      <c r="AY75" s="547">
        <f t="shared" si="54"/>
        <v>0</v>
      </c>
      <c r="AZ75" s="547">
        <f t="shared" si="55"/>
        <v>0</v>
      </c>
      <c r="BA75" s="547">
        <f t="shared" si="56"/>
        <v>0</v>
      </c>
      <c r="BB75" s="547">
        <f t="shared" si="57"/>
        <v>0</v>
      </c>
      <c r="BC75" s="547">
        <f t="shared" si="58"/>
        <v>0</v>
      </c>
      <c r="BD75" s="547">
        <f t="shared" si="59"/>
        <v>0</v>
      </c>
      <c r="BE75" s="547">
        <f t="shared" si="60"/>
        <v>0</v>
      </c>
      <c r="BF75" s="547">
        <f t="shared" si="61"/>
        <v>0</v>
      </c>
      <c r="BG75" s="547">
        <f t="shared" si="62"/>
        <v>0</v>
      </c>
      <c r="BI75" s="500" t="s">
        <v>540</v>
      </c>
      <c r="BJ75" s="500"/>
      <c r="BK75" s="500"/>
      <c r="BL75" s="500"/>
      <c r="CE75" s="516"/>
    </row>
    <row r="76" spans="1:83" ht="11.25" customHeight="1">
      <c r="A76" s="571"/>
      <c r="B76" s="624">
        <v>46</v>
      </c>
      <c r="C76" s="739"/>
      <c r="D76" s="740"/>
      <c r="E76" s="583"/>
      <c r="F76" s="584"/>
      <c r="G76" s="574"/>
      <c r="H76" s="577"/>
      <c r="I76" s="501"/>
      <c r="J76" s="580"/>
      <c r="K76" s="581"/>
      <c r="L76" s="544" t="str">
        <f t="shared" si="36"/>
        <v/>
      </c>
      <c r="M76" s="582"/>
      <c r="N76" s="582"/>
      <c r="O76" s="582"/>
      <c r="P76" s="582"/>
      <c r="Q76" s="582"/>
      <c r="R76" s="582"/>
      <c r="S76" s="582"/>
      <c r="T76" s="582"/>
      <c r="U76" s="582"/>
      <c r="V76" s="582"/>
      <c r="W76" s="582"/>
      <c r="X76" s="582"/>
      <c r="Y76" s="571"/>
      <c r="Z76" s="572"/>
      <c r="AA76" s="572"/>
      <c r="AB76" s="516"/>
      <c r="AE76" s="500" t="b">
        <f t="shared" si="37"/>
        <v>0</v>
      </c>
      <c r="AF76" s="500" t="b">
        <f t="shared" si="63"/>
        <v>0</v>
      </c>
      <c r="AG76" s="500" t="b">
        <f t="shared" si="64"/>
        <v>0</v>
      </c>
      <c r="AH76" s="500" t="b">
        <f t="shared" si="65"/>
        <v>0</v>
      </c>
      <c r="AI76" s="500" t="b">
        <f t="shared" si="41"/>
        <v>0</v>
      </c>
      <c r="AJ76" s="500" t="b">
        <f t="shared" si="42"/>
        <v>0</v>
      </c>
      <c r="AK76" s="500" t="b">
        <f t="shared" si="43"/>
        <v>0</v>
      </c>
      <c r="AL76" s="500" t="b">
        <f t="shared" si="44"/>
        <v>0</v>
      </c>
      <c r="AM76" s="500" t="b">
        <f t="shared" si="45"/>
        <v>0</v>
      </c>
      <c r="AN76" s="500" t="b">
        <f t="shared" si="46"/>
        <v>0</v>
      </c>
      <c r="AO76" s="500" t="b">
        <f t="shared" si="47"/>
        <v>0</v>
      </c>
      <c r="AP76" s="500" t="b">
        <f t="shared" si="48"/>
        <v>0</v>
      </c>
      <c r="AR76" s="545">
        <f t="shared" si="49"/>
        <v>0</v>
      </c>
      <c r="AS76" s="545">
        <f t="shared" si="50"/>
        <v>0</v>
      </c>
      <c r="AT76" s="545">
        <f t="shared" si="35"/>
        <v>0</v>
      </c>
      <c r="AU76" s="546"/>
      <c r="AV76" s="547">
        <f t="shared" si="51"/>
        <v>0</v>
      </c>
      <c r="AW76" s="547">
        <f t="shared" si="52"/>
        <v>0</v>
      </c>
      <c r="AX76" s="547">
        <f t="shared" si="53"/>
        <v>0</v>
      </c>
      <c r="AY76" s="547">
        <f t="shared" si="54"/>
        <v>0</v>
      </c>
      <c r="AZ76" s="547">
        <f t="shared" si="55"/>
        <v>0</v>
      </c>
      <c r="BA76" s="547">
        <f t="shared" si="56"/>
        <v>0</v>
      </c>
      <c r="BB76" s="547">
        <f t="shared" si="57"/>
        <v>0</v>
      </c>
      <c r="BC76" s="547">
        <f t="shared" si="58"/>
        <v>0</v>
      </c>
      <c r="BD76" s="547">
        <f t="shared" si="59"/>
        <v>0</v>
      </c>
      <c r="BE76" s="547">
        <f t="shared" si="60"/>
        <v>0</v>
      </c>
      <c r="BF76" s="547">
        <f t="shared" si="61"/>
        <v>0</v>
      </c>
      <c r="BG76" s="547">
        <f t="shared" si="62"/>
        <v>0</v>
      </c>
      <c r="BI76" s="500" t="s">
        <v>557</v>
      </c>
      <c r="BJ76" s="500"/>
      <c r="BK76" s="500"/>
      <c r="BL76" s="500"/>
      <c r="BR76" s="500" t="s">
        <v>584</v>
      </c>
      <c r="BS76" s="500"/>
      <c r="BT76" s="500"/>
      <c r="BU76" s="499" t="s">
        <v>585</v>
      </c>
      <c r="BV76" s="499"/>
      <c r="BW76" s="499" t="s">
        <v>586</v>
      </c>
      <c r="BX76" s="500"/>
      <c r="BY76" s="499" t="s">
        <v>587</v>
      </c>
      <c r="CE76" s="516"/>
    </row>
    <row r="77" spans="1:83" ht="11.25" customHeight="1">
      <c r="A77" s="571"/>
      <c r="B77" s="624">
        <v>47</v>
      </c>
      <c r="C77" s="739"/>
      <c r="D77" s="740"/>
      <c r="E77" s="583"/>
      <c r="F77" s="584"/>
      <c r="G77" s="574"/>
      <c r="H77" s="577"/>
      <c r="I77" s="501"/>
      <c r="J77" s="580"/>
      <c r="K77" s="581"/>
      <c r="L77" s="544" t="str">
        <f t="shared" si="36"/>
        <v/>
      </c>
      <c r="M77" s="582"/>
      <c r="N77" s="582"/>
      <c r="O77" s="582"/>
      <c r="P77" s="582"/>
      <c r="Q77" s="582"/>
      <c r="R77" s="582"/>
      <c r="S77" s="582"/>
      <c r="T77" s="582"/>
      <c r="U77" s="582"/>
      <c r="V77" s="582"/>
      <c r="W77" s="582"/>
      <c r="X77" s="582"/>
      <c r="Y77" s="571"/>
      <c r="Z77" s="572"/>
      <c r="AA77" s="572"/>
      <c r="AB77" s="516"/>
      <c r="AE77" s="500" t="b">
        <f t="shared" si="37"/>
        <v>0</v>
      </c>
      <c r="AF77" s="500" t="b">
        <f t="shared" si="63"/>
        <v>0</v>
      </c>
      <c r="AG77" s="500" t="b">
        <f t="shared" si="64"/>
        <v>0</v>
      </c>
      <c r="AH77" s="500" t="b">
        <f t="shared" si="65"/>
        <v>0</v>
      </c>
      <c r="AI77" s="500" t="b">
        <f t="shared" si="41"/>
        <v>0</v>
      </c>
      <c r="AJ77" s="500" t="b">
        <f t="shared" si="42"/>
        <v>0</v>
      </c>
      <c r="AK77" s="500" t="b">
        <f t="shared" si="43"/>
        <v>0</v>
      </c>
      <c r="AL77" s="500" t="b">
        <f t="shared" si="44"/>
        <v>0</v>
      </c>
      <c r="AM77" s="500" t="b">
        <f t="shared" si="45"/>
        <v>0</v>
      </c>
      <c r="AN77" s="500" t="b">
        <f t="shared" si="46"/>
        <v>0</v>
      </c>
      <c r="AO77" s="500" t="b">
        <f t="shared" si="47"/>
        <v>0</v>
      </c>
      <c r="AP77" s="500" t="b">
        <f t="shared" si="48"/>
        <v>0</v>
      </c>
      <c r="AR77" s="545">
        <f t="shared" si="49"/>
        <v>0</v>
      </c>
      <c r="AS77" s="545">
        <f t="shared" si="50"/>
        <v>0</v>
      </c>
      <c r="AT77" s="545">
        <f t="shared" si="35"/>
        <v>0</v>
      </c>
      <c r="AU77" s="546"/>
      <c r="AV77" s="547">
        <f t="shared" si="51"/>
        <v>0</v>
      </c>
      <c r="AW77" s="547">
        <f t="shared" si="52"/>
        <v>0</v>
      </c>
      <c r="AX77" s="547">
        <f t="shared" si="53"/>
        <v>0</v>
      </c>
      <c r="AY77" s="547">
        <f t="shared" si="54"/>
        <v>0</v>
      </c>
      <c r="AZ77" s="547">
        <f t="shared" si="55"/>
        <v>0</v>
      </c>
      <c r="BA77" s="547">
        <f t="shared" si="56"/>
        <v>0</v>
      </c>
      <c r="BB77" s="547">
        <f t="shared" si="57"/>
        <v>0</v>
      </c>
      <c r="BC77" s="547">
        <f t="shared" si="58"/>
        <v>0</v>
      </c>
      <c r="BD77" s="547">
        <f t="shared" si="59"/>
        <v>0</v>
      </c>
      <c r="BE77" s="547">
        <f t="shared" si="60"/>
        <v>0</v>
      </c>
      <c r="BF77" s="547">
        <f t="shared" si="61"/>
        <v>0</v>
      </c>
      <c r="BG77" s="547">
        <f t="shared" si="62"/>
        <v>0</v>
      </c>
      <c r="CE77" s="516"/>
    </row>
    <row r="78" spans="1:83" ht="11.25" customHeight="1">
      <c r="A78" s="571"/>
      <c r="B78" s="624">
        <v>48</v>
      </c>
      <c r="C78" s="739"/>
      <c r="D78" s="740"/>
      <c r="E78" s="583"/>
      <c r="F78" s="584"/>
      <c r="G78" s="574"/>
      <c r="H78" s="577"/>
      <c r="I78" s="501"/>
      <c r="J78" s="580"/>
      <c r="K78" s="581"/>
      <c r="L78" s="544" t="str">
        <f t="shared" si="36"/>
        <v/>
      </c>
      <c r="M78" s="582"/>
      <c r="N78" s="582"/>
      <c r="O78" s="582"/>
      <c r="P78" s="582"/>
      <c r="Q78" s="582"/>
      <c r="R78" s="582"/>
      <c r="S78" s="582"/>
      <c r="T78" s="582"/>
      <c r="U78" s="582"/>
      <c r="V78" s="582"/>
      <c r="W78" s="582"/>
      <c r="X78" s="582"/>
      <c r="Y78" s="571"/>
      <c r="Z78" s="572"/>
      <c r="AA78" s="572"/>
      <c r="AB78" s="516"/>
      <c r="AE78" s="500" t="b">
        <f t="shared" si="37"/>
        <v>0</v>
      </c>
      <c r="AF78" s="500" t="b">
        <f t="shared" si="63"/>
        <v>0</v>
      </c>
      <c r="AG78" s="500" t="b">
        <f t="shared" si="64"/>
        <v>0</v>
      </c>
      <c r="AH78" s="500" t="b">
        <f t="shared" si="65"/>
        <v>0</v>
      </c>
      <c r="AI78" s="500" t="b">
        <f t="shared" si="41"/>
        <v>0</v>
      </c>
      <c r="AJ78" s="500" t="b">
        <f t="shared" si="42"/>
        <v>0</v>
      </c>
      <c r="AK78" s="500" t="b">
        <f t="shared" si="43"/>
        <v>0</v>
      </c>
      <c r="AL78" s="500" t="b">
        <f t="shared" si="44"/>
        <v>0</v>
      </c>
      <c r="AM78" s="500" t="b">
        <f t="shared" si="45"/>
        <v>0</v>
      </c>
      <c r="AN78" s="500" t="b">
        <f t="shared" si="46"/>
        <v>0</v>
      </c>
      <c r="AO78" s="500" t="b">
        <f t="shared" si="47"/>
        <v>0</v>
      </c>
      <c r="AP78" s="500" t="b">
        <f t="shared" si="48"/>
        <v>0</v>
      </c>
      <c r="AR78" s="545">
        <f t="shared" si="49"/>
        <v>0</v>
      </c>
      <c r="AS78" s="545">
        <f t="shared" si="50"/>
        <v>0</v>
      </c>
      <c r="AT78" s="545">
        <f t="shared" si="35"/>
        <v>0</v>
      </c>
      <c r="AU78" s="546"/>
      <c r="AV78" s="547">
        <f t="shared" si="51"/>
        <v>0</v>
      </c>
      <c r="AW78" s="547">
        <f t="shared" si="52"/>
        <v>0</v>
      </c>
      <c r="AX78" s="547">
        <f t="shared" si="53"/>
        <v>0</v>
      </c>
      <c r="AY78" s="547">
        <f t="shared" si="54"/>
        <v>0</v>
      </c>
      <c r="AZ78" s="547">
        <f t="shared" si="55"/>
        <v>0</v>
      </c>
      <c r="BA78" s="547">
        <f t="shared" si="56"/>
        <v>0</v>
      </c>
      <c r="BB78" s="547">
        <f t="shared" si="57"/>
        <v>0</v>
      </c>
      <c r="BC78" s="547">
        <f t="shared" si="58"/>
        <v>0</v>
      </c>
      <c r="BD78" s="547">
        <f t="shared" si="59"/>
        <v>0</v>
      </c>
      <c r="BE78" s="547">
        <f t="shared" si="60"/>
        <v>0</v>
      </c>
      <c r="BF78" s="547">
        <f t="shared" si="61"/>
        <v>0</v>
      </c>
      <c r="BG78" s="547">
        <f t="shared" si="62"/>
        <v>0</v>
      </c>
      <c r="BI78" s="500" t="s">
        <v>493</v>
      </c>
      <c r="BJ78" s="500"/>
      <c r="BK78" s="500"/>
      <c r="BL78" s="500"/>
      <c r="BR78" s="497" t="s">
        <v>588</v>
      </c>
      <c r="BS78" s="497" t="s">
        <v>589</v>
      </c>
      <c r="BU78" s="654">
        <v>1</v>
      </c>
      <c r="BW78" s="656" t="e">
        <f>$G$85/$G$86</f>
        <v>#DIV/0!</v>
      </c>
      <c r="BY78" s="654">
        <v>0</v>
      </c>
      <c r="CE78" s="516"/>
    </row>
    <row r="79" spans="1:83" ht="11.25" customHeight="1">
      <c r="A79" s="571"/>
      <c r="B79" s="624">
        <v>49</v>
      </c>
      <c r="C79" s="739"/>
      <c r="D79" s="740"/>
      <c r="E79" s="583"/>
      <c r="F79" s="584"/>
      <c r="G79" s="574"/>
      <c r="H79" s="577"/>
      <c r="J79" s="580"/>
      <c r="K79" s="581"/>
      <c r="L79" s="544" t="str">
        <f t="shared" si="36"/>
        <v/>
      </c>
      <c r="M79" s="582"/>
      <c r="N79" s="582"/>
      <c r="O79" s="582"/>
      <c r="P79" s="582"/>
      <c r="Q79" s="582"/>
      <c r="R79" s="582"/>
      <c r="S79" s="582"/>
      <c r="T79" s="582"/>
      <c r="U79" s="582"/>
      <c r="V79" s="582"/>
      <c r="W79" s="582"/>
      <c r="X79" s="582"/>
      <c r="Y79" s="571"/>
      <c r="Z79" s="572"/>
      <c r="AA79" s="572"/>
      <c r="AB79" s="516"/>
      <c r="AE79" s="500" t="b">
        <f t="shared" si="37"/>
        <v>0</v>
      </c>
      <c r="AF79" s="500" t="b">
        <f t="shared" si="63"/>
        <v>0</v>
      </c>
      <c r="AG79" s="500" t="b">
        <f t="shared" si="64"/>
        <v>0</v>
      </c>
      <c r="AH79" s="500" t="b">
        <f t="shared" si="65"/>
        <v>0</v>
      </c>
      <c r="AI79" s="500" t="b">
        <f t="shared" si="41"/>
        <v>0</v>
      </c>
      <c r="AJ79" s="500" t="b">
        <f t="shared" si="42"/>
        <v>0</v>
      </c>
      <c r="AK79" s="500" t="b">
        <f t="shared" si="43"/>
        <v>0</v>
      </c>
      <c r="AL79" s="500" t="b">
        <f t="shared" si="44"/>
        <v>0</v>
      </c>
      <c r="AM79" s="500" t="b">
        <f t="shared" si="45"/>
        <v>0</v>
      </c>
      <c r="AN79" s="500" t="b">
        <f t="shared" si="46"/>
        <v>0</v>
      </c>
      <c r="AO79" s="500" t="b">
        <f t="shared" si="47"/>
        <v>0</v>
      </c>
      <c r="AP79" s="500" t="b">
        <f t="shared" si="48"/>
        <v>0</v>
      </c>
      <c r="AR79" s="545">
        <f t="shared" si="49"/>
        <v>0</v>
      </c>
      <c r="AS79" s="545">
        <f t="shared" si="50"/>
        <v>0</v>
      </c>
      <c r="AT79" s="545">
        <f t="shared" si="35"/>
        <v>0</v>
      </c>
      <c r="AU79" s="546"/>
      <c r="AV79" s="547">
        <f t="shared" si="51"/>
        <v>0</v>
      </c>
      <c r="AW79" s="547">
        <f t="shared" si="52"/>
        <v>0</v>
      </c>
      <c r="AX79" s="547">
        <f t="shared" si="53"/>
        <v>0</v>
      </c>
      <c r="AY79" s="547">
        <f t="shared" si="54"/>
        <v>0</v>
      </c>
      <c r="AZ79" s="547">
        <f t="shared" si="55"/>
        <v>0</v>
      </c>
      <c r="BA79" s="547">
        <f t="shared" si="56"/>
        <v>0</v>
      </c>
      <c r="BB79" s="547">
        <f t="shared" si="57"/>
        <v>0</v>
      </c>
      <c r="BC79" s="547">
        <f t="shared" si="58"/>
        <v>0</v>
      </c>
      <c r="BD79" s="547">
        <f t="shared" si="59"/>
        <v>0</v>
      </c>
      <c r="BE79" s="547">
        <f t="shared" si="60"/>
        <v>0</v>
      </c>
      <c r="BF79" s="547">
        <f t="shared" si="61"/>
        <v>0</v>
      </c>
      <c r="BG79" s="547">
        <f t="shared" si="62"/>
        <v>0</v>
      </c>
      <c r="BS79" s="497" t="s">
        <v>590</v>
      </c>
      <c r="BU79" s="654">
        <v>0</v>
      </c>
      <c r="BW79" s="656" t="e">
        <f>$G$84/$G$86</f>
        <v>#DIV/0!</v>
      </c>
      <c r="BY79" s="654">
        <v>1</v>
      </c>
      <c r="CE79" s="516"/>
    </row>
    <row r="80" spans="1:83" ht="11.25" customHeight="1">
      <c r="A80" s="571"/>
      <c r="B80" s="624">
        <v>50</v>
      </c>
      <c r="C80" s="739"/>
      <c r="D80" s="740"/>
      <c r="E80" s="583"/>
      <c r="F80" s="584"/>
      <c r="G80" s="574"/>
      <c r="H80" s="577"/>
      <c r="I80" s="501"/>
      <c r="J80" s="580"/>
      <c r="K80" s="581"/>
      <c r="L80" s="544" t="str">
        <f t="shared" si="36"/>
        <v/>
      </c>
      <c r="M80" s="582"/>
      <c r="N80" s="582"/>
      <c r="O80" s="582"/>
      <c r="P80" s="582"/>
      <c r="Q80" s="582"/>
      <c r="R80" s="582"/>
      <c r="S80" s="582"/>
      <c r="T80" s="582"/>
      <c r="U80" s="582"/>
      <c r="V80" s="582"/>
      <c r="W80" s="582"/>
      <c r="X80" s="582"/>
      <c r="Y80" s="571"/>
      <c r="Z80" s="572"/>
      <c r="AA80" s="572"/>
      <c r="AB80" s="516"/>
      <c r="AE80" s="500" t="b">
        <f t="shared" si="37"/>
        <v>0</v>
      </c>
      <c r="AF80" s="500" t="b">
        <f t="shared" si="63"/>
        <v>0</v>
      </c>
      <c r="AG80" s="500" t="b">
        <f t="shared" si="64"/>
        <v>0</v>
      </c>
      <c r="AH80" s="500" t="b">
        <f t="shared" si="65"/>
        <v>0</v>
      </c>
      <c r="AI80" s="500" t="b">
        <f t="shared" si="41"/>
        <v>0</v>
      </c>
      <c r="AJ80" s="500" t="b">
        <f t="shared" si="42"/>
        <v>0</v>
      </c>
      <c r="AK80" s="500" t="b">
        <f t="shared" si="43"/>
        <v>0</v>
      </c>
      <c r="AL80" s="500" t="b">
        <f t="shared" si="44"/>
        <v>0</v>
      </c>
      <c r="AM80" s="500" t="b">
        <f t="shared" si="45"/>
        <v>0</v>
      </c>
      <c r="AN80" s="500" t="b">
        <f t="shared" si="46"/>
        <v>0</v>
      </c>
      <c r="AO80" s="500" t="b">
        <f t="shared" si="47"/>
        <v>0</v>
      </c>
      <c r="AP80" s="500" t="b">
        <f t="shared" si="48"/>
        <v>0</v>
      </c>
      <c r="AR80" s="545">
        <f t="shared" si="49"/>
        <v>0</v>
      </c>
      <c r="AS80" s="545">
        <f t="shared" si="50"/>
        <v>0</v>
      </c>
      <c r="AT80" s="545">
        <f t="shared" si="35"/>
        <v>0</v>
      </c>
      <c r="AU80" s="546"/>
      <c r="AV80" s="547">
        <f t="shared" si="51"/>
        <v>0</v>
      </c>
      <c r="AW80" s="547">
        <f t="shared" si="52"/>
        <v>0</v>
      </c>
      <c r="AX80" s="547">
        <f t="shared" si="53"/>
        <v>0</v>
      </c>
      <c r="AY80" s="547">
        <f t="shared" si="54"/>
        <v>0</v>
      </c>
      <c r="AZ80" s="547">
        <f t="shared" si="55"/>
        <v>0</v>
      </c>
      <c r="BA80" s="547">
        <f t="shared" si="56"/>
        <v>0</v>
      </c>
      <c r="BB80" s="547">
        <f t="shared" si="57"/>
        <v>0</v>
      </c>
      <c r="BC80" s="547">
        <f t="shared" si="58"/>
        <v>0</v>
      </c>
      <c r="BD80" s="547">
        <f t="shared" si="59"/>
        <v>0</v>
      </c>
      <c r="BE80" s="547">
        <f t="shared" si="60"/>
        <v>0</v>
      </c>
      <c r="BF80" s="547">
        <f t="shared" si="61"/>
        <v>0</v>
      </c>
      <c r="BG80" s="547">
        <f t="shared" si="62"/>
        <v>0</v>
      </c>
      <c r="BI80" s="500" t="s">
        <v>526</v>
      </c>
      <c r="BJ80" s="500"/>
      <c r="BU80" s="662">
        <f>SUM(BU78:BU79)</f>
        <v>1</v>
      </c>
      <c r="BW80" s="662" t="e">
        <f>SUM(BW78:BW79)</f>
        <v>#DIV/0!</v>
      </c>
      <c r="BY80" s="662">
        <f>SUM(BY78:BY79)</f>
        <v>1</v>
      </c>
      <c r="CE80" s="516"/>
    </row>
    <row r="81" spans="1:83" ht="11.25" customHeight="1">
      <c r="A81" s="571"/>
      <c r="B81" s="615"/>
      <c r="C81" s="615"/>
      <c r="D81" s="615"/>
      <c r="E81" s="615"/>
      <c r="F81" s="615"/>
      <c r="G81" s="615"/>
      <c r="H81" s="615"/>
      <c r="I81" s="501"/>
      <c r="J81" s="501"/>
      <c r="K81" s="501"/>
      <c r="L81" s="509"/>
      <c r="M81" s="554"/>
      <c r="N81" s="548"/>
      <c r="O81" s="548"/>
      <c r="P81" s="548"/>
      <c r="Q81" s="548"/>
      <c r="R81" s="548"/>
      <c r="S81" s="548"/>
      <c r="T81" s="548"/>
      <c r="U81" s="548"/>
      <c r="V81" s="548"/>
      <c r="W81" s="548"/>
      <c r="X81" s="548"/>
      <c r="Y81" s="571"/>
      <c r="Z81" s="572"/>
      <c r="AA81" s="572"/>
      <c r="AB81" s="516"/>
      <c r="AE81" s="505" t="s">
        <v>474</v>
      </c>
      <c r="CE81" s="516"/>
    </row>
    <row r="82" spans="1:83" ht="11.25" customHeight="1" thickBot="1">
      <c r="A82" s="571"/>
      <c r="B82" s="625" t="s">
        <v>497</v>
      </c>
      <c r="C82" s="626"/>
      <c r="D82" s="626"/>
      <c r="E82" s="626"/>
      <c r="F82" s="626"/>
      <c r="G82" s="626"/>
      <c r="H82" s="626"/>
      <c r="I82" s="501"/>
      <c r="J82" s="501"/>
      <c r="K82" s="501"/>
      <c r="L82" s="509"/>
      <c r="M82" s="540" t="s">
        <v>473</v>
      </c>
      <c r="N82" s="548"/>
      <c r="O82" s="548"/>
      <c r="P82" s="548"/>
      <c r="Q82" s="548"/>
      <c r="R82" s="548"/>
      <c r="S82" s="548"/>
      <c r="T82" s="548"/>
      <c r="U82" s="548"/>
      <c r="V82" s="548"/>
      <c r="W82" s="548"/>
      <c r="X82" s="548"/>
      <c r="Y82" s="571"/>
      <c r="Z82" s="572"/>
      <c r="AA82" s="572"/>
      <c r="AB82" s="516"/>
      <c r="AE82" s="555">
        <f>COUNTIF(AE29:AE80,TRUE())</f>
        <v>0</v>
      </c>
      <c r="AF82" s="555">
        <f t="shared" ref="AF82:AP82" si="66">COUNTIF(AF29:AF80,TRUE())</f>
        <v>0</v>
      </c>
      <c r="AG82" s="555">
        <f t="shared" si="66"/>
        <v>0</v>
      </c>
      <c r="AH82" s="555"/>
      <c r="AI82" s="555">
        <f t="shared" si="66"/>
        <v>0</v>
      </c>
      <c r="AJ82" s="555">
        <f t="shared" si="66"/>
        <v>0</v>
      </c>
      <c r="AK82" s="555">
        <f t="shared" si="66"/>
        <v>0</v>
      </c>
      <c r="AL82" s="555">
        <f t="shared" si="66"/>
        <v>0</v>
      </c>
      <c r="AM82" s="555">
        <f t="shared" si="66"/>
        <v>0</v>
      </c>
      <c r="AN82" s="555">
        <f t="shared" si="66"/>
        <v>0</v>
      </c>
      <c r="AO82" s="555">
        <f t="shared" si="66"/>
        <v>0</v>
      </c>
      <c r="AP82" s="555">
        <f t="shared" si="66"/>
        <v>0</v>
      </c>
      <c r="AU82" s="532" t="s">
        <v>417</v>
      </c>
      <c r="AV82" s="556">
        <f>SUM(AV29:AV80)</f>
        <v>0</v>
      </c>
      <c r="AW82" s="556">
        <f t="shared" ref="AW82:BG82" si="67">SUM(AW29:AW80)</f>
        <v>0</v>
      </c>
      <c r="AX82" s="556">
        <f t="shared" si="67"/>
        <v>0</v>
      </c>
      <c r="AY82" s="556">
        <f t="shared" si="67"/>
        <v>0</v>
      </c>
      <c r="AZ82" s="556">
        <f t="shared" si="67"/>
        <v>0</v>
      </c>
      <c r="BA82" s="556">
        <f t="shared" si="67"/>
        <v>0</v>
      </c>
      <c r="BB82" s="556">
        <f t="shared" si="67"/>
        <v>0</v>
      </c>
      <c r="BC82" s="556">
        <f t="shared" si="67"/>
        <v>0</v>
      </c>
      <c r="BD82" s="556">
        <f t="shared" si="67"/>
        <v>0</v>
      </c>
      <c r="BE82" s="556">
        <f t="shared" si="67"/>
        <v>0</v>
      </c>
      <c r="BF82" s="556">
        <f t="shared" si="67"/>
        <v>0</v>
      </c>
      <c r="BG82" s="556">
        <f t="shared" si="67"/>
        <v>0</v>
      </c>
      <c r="BI82" s="514" t="s">
        <v>542</v>
      </c>
      <c r="BP82" s="505"/>
      <c r="BQ82" s="505"/>
      <c r="BR82" s="505"/>
      <c r="BS82" s="505"/>
      <c r="BT82" s="505"/>
      <c r="BU82" s="663">
        <f>IF($G$85=0,100%,(BU70*$BU$78)+(BW70*$BU$799))</f>
        <v>1</v>
      </c>
      <c r="BV82" s="663">
        <f>IF($G$85=0,100%,(BV70*$BU$78)+(BX70*$BU$79))</f>
        <v>1</v>
      </c>
      <c r="BW82" s="664"/>
      <c r="BX82" s="665"/>
      <c r="BY82" s="663" t="e">
        <f>(BU70*$BY$78)+(BW70*$BY$79)</f>
        <v>#DIV/0!</v>
      </c>
      <c r="BZ82" s="663" t="e">
        <f>(BV70*$BY$78)+(BX70*$BY$79)</f>
        <v>#N/A</v>
      </c>
      <c r="CE82" s="516"/>
    </row>
    <row r="83" spans="1:83" ht="11.25" customHeight="1">
      <c r="A83" s="571"/>
      <c r="B83" s="627" t="s">
        <v>538</v>
      </c>
      <c r="C83" s="628"/>
      <c r="D83" s="615"/>
      <c r="E83" s="615"/>
      <c r="F83" s="615"/>
      <c r="G83" s="615"/>
      <c r="H83" s="615"/>
      <c r="I83" s="501"/>
      <c r="J83" s="501"/>
      <c r="K83" s="501"/>
      <c r="L83" s="530" t="s">
        <v>539</v>
      </c>
      <c r="M83" s="557" t="str">
        <f t="shared" ref="M83:X83" si="68">IF($AP$83&gt;0,$AC$17,IF(OR(AV24=1,AV24=2),$AC$17,IF(AND(AV24=3,AV87&gt;0),$AC$17,IF(AND(AV24=0,AV87=0),$AC$17,IF(AND(AV24=3,AV87=0),"",AV82)))))</f>
        <v/>
      </c>
      <c r="N83" s="557" t="str">
        <f t="shared" si="68"/>
        <v/>
      </c>
      <c r="O83" s="557" t="str">
        <f t="shared" si="68"/>
        <v/>
      </c>
      <c r="P83" s="557" t="str">
        <f t="shared" si="68"/>
        <v/>
      </c>
      <c r="Q83" s="557" t="str">
        <f t="shared" si="68"/>
        <v/>
      </c>
      <c r="R83" s="557" t="str">
        <f t="shared" si="68"/>
        <v/>
      </c>
      <c r="S83" s="557" t="str">
        <f t="shared" si="68"/>
        <v/>
      </c>
      <c r="T83" s="557" t="str">
        <f t="shared" si="68"/>
        <v/>
      </c>
      <c r="U83" s="557" t="str">
        <f t="shared" si="68"/>
        <v/>
      </c>
      <c r="V83" s="557" t="str">
        <f t="shared" si="68"/>
        <v/>
      </c>
      <c r="W83" s="557" t="str">
        <f t="shared" si="68"/>
        <v/>
      </c>
      <c r="X83" s="557" t="str">
        <f t="shared" si="68"/>
        <v/>
      </c>
      <c r="Y83" s="571"/>
      <c r="Z83" s="572"/>
      <c r="AA83" s="572"/>
      <c r="AB83" s="516"/>
      <c r="AM83" s="532" t="s">
        <v>524</v>
      </c>
      <c r="AN83" s="532"/>
      <c r="AO83" s="532"/>
      <c r="AP83" s="537">
        <f>SUM(AE82:AP82)</f>
        <v>0</v>
      </c>
      <c r="BI83" s="514" t="s">
        <v>541</v>
      </c>
      <c r="BJ83" s="526"/>
      <c r="BK83" s="526"/>
      <c r="BL83" s="526"/>
      <c r="BM83" s="526"/>
      <c r="BN83" s="526"/>
      <c r="BO83" s="526"/>
      <c r="BP83" s="498"/>
      <c r="BQ83" s="498"/>
      <c r="BR83" s="498"/>
      <c r="BS83" s="498"/>
      <c r="BT83" s="498"/>
      <c r="BU83" s="666"/>
      <c r="BV83" s="666"/>
      <c r="BW83" s="667" t="e">
        <f>IF(BW79&lt;=10%,BU82,IF(BW79&gt;80%,BY82,BU82-((BU82-BY82)*((BW79-10%)*(100/70)))))</f>
        <v>#DIV/0!</v>
      </c>
      <c r="BX83" s="667" t="e">
        <f>IF(BW79&lt;=10%,BV82,IF(BW79&gt;80%,BZ82,BV82-((BV82-BZ82)*((BW79-10%)*(100/70)))))</f>
        <v>#DIV/0!</v>
      </c>
      <c r="BY83" s="665"/>
      <c r="BZ83" s="665"/>
      <c r="CB83" s="526"/>
      <c r="CC83" s="526"/>
      <c r="CD83" s="526"/>
      <c r="CE83" s="516"/>
    </row>
    <row r="84" spans="1:83" ht="11.25" customHeight="1" thickBot="1">
      <c r="A84" s="571"/>
      <c r="B84" s="615"/>
      <c r="C84" s="615" t="s">
        <v>506</v>
      </c>
      <c r="D84" s="615"/>
      <c r="E84" s="615"/>
      <c r="F84" s="615"/>
      <c r="G84" s="629">
        <f>BN69-BO69</f>
        <v>0</v>
      </c>
      <c r="H84" s="615"/>
      <c r="I84" s="501"/>
      <c r="J84" s="501"/>
      <c r="K84" s="501"/>
      <c r="L84" s="530" t="s">
        <v>487</v>
      </c>
      <c r="M84" s="558" t="str">
        <f t="shared" ref="M84:X84" si="69">IF($AP$83&gt;0,$AC$17,IF(OR(AV24=1,AV24=2),$AC$17,IF(AND(AV24=3,AV87&gt;0),$AC$17,IF(AND(AV24=0,AV87=0),$AC$17,IF(AND(AV24=3,AV87=0),"",M23*M27)))))</f>
        <v/>
      </c>
      <c r="N84" s="558" t="str">
        <f t="shared" si="69"/>
        <v/>
      </c>
      <c r="O84" s="558" t="str">
        <f t="shared" si="69"/>
        <v/>
      </c>
      <c r="P84" s="558" t="str">
        <f t="shared" si="69"/>
        <v/>
      </c>
      <c r="Q84" s="558" t="str">
        <f t="shared" si="69"/>
        <v/>
      </c>
      <c r="R84" s="558" t="str">
        <f t="shared" si="69"/>
        <v/>
      </c>
      <c r="S84" s="558" t="str">
        <f t="shared" si="69"/>
        <v/>
      </c>
      <c r="T84" s="558" t="str">
        <f t="shared" si="69"/>
        <v/>
      </c>
      <c r="U84" s="558" t="str">
        <f t="shared" si="69"/>
        <v/>
      </c>
      <c r="V84" s="558" t="str">
        <f t="shared" si="69"/>
        <v/>
      </c>
      <c r="W84" s="558" t="str">
        <f t="shared" si="69"/>
        <v/>
      </c>
      <c r="X84" s="558" t="str">
        <f t="shared" si="69"/>
        <v/>
      </c>
      <c r="Y84" s="571"/>
      <c r="Z84" s="572"/>
      <c r="AA84" s="572"/>
      <c r="AB84" s="516"/>
      <c r="AE84" s="505"/>
      <c r="BI84" s="500" t="str">
        <f>IF(ISBLANK(Zone),"","BCA 3.12.4 Air movement and Protocol B4 apply")</f>
        <v/>
      </c>
      <c r="BJ84" s="500"/>
      <c r="BK84" s="500"/>
      <c r="BL84" s="500"/>
      <c r="BM84" s="500"/>
      <c r="BN84" s="526"/>
      <c r="BO84" s="526"/>
      <c r="CB84" s="526"/>
      <c r="CC84" s="526"/>
      <c r="CD84" s="526"/>
      <c r="CE84" s="516"/>
    </row>
    <row r="85" spans="1:83" ht="11.25" customHeight="1" thickBot="1">
      <c r="A85" s="571"/>
      <c r="B85" s="615"/>
      <c r="C85" s="615" t="s">
        <v>507</v>
      </c>
      <c r="D85" s="615"/>
      <c r="E85" s="615"/>
      <c r="F85" s="615"/>
      <c r="G85" s="629">
        <f>BO69</f>
        <v>0</v>
      </c>
      <c r="H85" s="615"/>
      <c r="I85" s="501"/>
      <c r="J85" s="501"/>
      <c r="K85" s="501"/>
      <c r="L85" s="530" t="s">
        <v>435</v>
      </c>
      <c r="M85" s="559" t="str">
        <f t="shared" ref="M85:X85" si="70">IF(AND(M83="",M84=""),"",IF(ISERROR(AV89),$AC$17,IF(AV89&gt;=0,$AC$15,$AC$16)))</f>
        <v/>
      </c>
      <c r="N85" s="559" t="str">
        <f t="shared" si="70"/>
        <v/>
      </c>
      <c r="O85" s="559" t="str">
        <f t="shared" si="70"/>
        <v/>
      </c>
      <c r="P85" s="559" t="str">
        <f t="shared" si="70"/>
        <v/>
      </c>
      <c r="Q85" s="559" t="str">
        <f t="shared" si="70"/>
        <v/>
      </c>
      <c r="R85" s="559" t="str">
        <f t="shared" si="70"/>
        <v/>
      </c>
      <c r="S85" s="559" t="str">
        <f t="shared" si="70"/>
        <v/>
      </c>
      <c r="T85" s="559" t="str">
        <f t="shared" si="70"/>
        <v/>
      </c>
      <c r="U85" s="559" t="str">
        <f t="shared" si="70"/>
        <v/>
      </c>
      <c r="V85" s="559" t="str">
        <f t="shared" si="70"/>
        <v/>
      </c>
      <c r="W85" s="559" t="str">
        <f t="shared" si="70"/>
        <v/>
      </c>
      <c r="X85" s="559" t="str">
        <f t="shared" si="70"/>
        <v/>
      </c>
      <c r="Y85" s="571"/>
      <c r="Z85" s="572"/>
      <c r="AA85" s="572"/>
      <c r="AB85" s="516"/>
      <c r="AU85" s="532" t="s">
        <v>477</v>
      </c>
      <c r="AV85" s="533">
        <f t="shared" ref="AV85:BG85" si="71">COUNTIF(M29:M68,$AC$14)</f>
        <v>0</v>
      </c>
      <c r="AW85" s="533">
        <f t="shared" si="71"/>
        <v>0</v>
      </c>
      <c r="AX85" s="533">
        <f t="shared" si="71"/>
        <v>0</v>
      </c>
      <c r="AY85" s="533">
        <f t="shared" si="71"/>
        <v>0</v>
      </c>
      <c r="AZ85" s="533">
        <f t="shared" si="71"/>
        <v>0</v>
      </c>
      <c r="BA85" s="533">
        <f t="shared" si="71"/>
        <v>0</v>
      </c>
      <c r="BB85" s="533">
        <f t="shared" si="71"/>
        <v>0</v>
      </c>
      <c r="BC85" s="533">
        <f t="shared" si="71"/>
        <v>0</v>
      </c>
      <c r="BD85" s="533">
        <f t="shared" si="71"/>
        <v>0</v>
      </c>
      <c r="BE85" s="533">
        <f t="shared" si="71"/>
        <v>0</v>
      </c>
      <c r="BF85" s="533">
        <f t="shared" si="71"/>
        <v>0</v>
      </c>
      <c r="BG85" s="533">
        <f t="shared" si="71"/>
        <v>0</v>
      </c>
      <c r="BI85" s="500" t="str">
        <f>IF(Zone=6,CONCATENATE(BI72," ",BI75," ",BI76),IF(AND(Zone&gt;=1,Zone&lt;4),CONCATENATE(BI73," ",BI75," ",BI76),IF(AND(Zone&gt;3,Zone&lt;6),CONCATENATE(BI74," ",BI75," ",BI76),"")))</f>
        <v/>
      </c>
      <c r="BJ85" s="500"/>
      <c r="BK85" s="500"/>
      <c r="BL85" s="500"/>
      <c r="BM85" s="500"/>
      <c r="BN85" s="526"/>
      <c r="BO85" s="526"/>
      <c r="CB85" s="526"/>
      <c r="CC85" s="526"/>
      <c r="CE85" s="516"/>
    </row>
    <row r="86" spans="1:83" ht="11.25" customHeight="1">
      <c r="A86" s="571"/>
      <c r="B86" s="615"/>
      <c r="C86" s="615" t="s">
        <v>505</v>
      </c>
      <c r="D86" s="615"/>
      <c r="E86" s="615"/>
      <c r="F86" s="615"/>
      <c r="G86" s="630">
        <f>SUM(G84:G85)</f>
        <v>0</v>
      </c>
      <c r="H86" s="615" t="s">
        <v>436</v>
      </c>
      <c r="I86" s="501"/>
      <c r="J86" s="501"/>
      <c r="K86" s="501"/>
      <c r="L86" s="501"/>
      <c r="M86" s="501"/>
      <c r="N86" s="501"/>
      <c r="O86" s="501"/>
      <c r="P86" s="501"/>
      <c r="Q86" s="501"/>
      <c r="R86" s="501"/>
      <c r="S86" s="501"/>
      <c r="T86" s="501"/>
      <c r="U86" s="501"/>
      <c r="V86" s="501"/>
      <c r="W86" s="501"/>
      <c r="X86" s="501"/>
      <c r="Y86" s="571"/>
      <c r="Z86" s="572"/>
      <c r="AA86" s="572"/>
      <c r="AB86" s="516"/>
      <c r="AU86" s="532" t="s">
        <v>477</v>
      </c>
      <c r="AV86" s="533">
        <f t="shared" ref="AV86:BG86" si="72">COUNTIF(M71:M80,$AC$14)</f>
        <v>0</v>
      </c>
      <c r="AW86" s="533">
        <f t="shared" si="72"/>
        <v>0</v>
      </c>
      <c r="AX86" s="533">
        <f t="shared" si="72"/>
        <v>0</v>
      </c>
      <c r="AY86" s="533">
        <f t="shared" si="72"/>
        <v>0</v>
      </c>
      <c r="AZ86" s="533">
        <f t="shared" si="72"/>
        <v>0</v>
      </c>
      <c r="BA86" s="533">
        <f t="shared" si="72"/>
        <v>0</v>
      </c>
      <c r="BB86" s="533">
        <f t="shared" si="72"/>
        <v>0</v>
      </c>
      <c r="BC86" s="533">
        <f t="shared" si="72"/>
        <v>0</v>
      </c>
      <c r="BD86" s="533">
        <f t="shared" si="72"/>
        <v>0</v>
      </c>
      <c r="BE86" s="533">
        <f t="shared" si="72"/>
        <v>0</v>
      </c>
      <c r="BF86" s="533">
        <f t="shared" si="72"/>
        <v>0</v>
      </c>
      <c r="BG86" s="533">
        <f t="shared" si="72"/>
        <v>0</v>
      </c>
      <c r="BI86" s="505" t="s">
        <v>543</v>
      </c>
      <c r="BN86" s="526"/>
      <c r="BO86" s="526"/>
      <c r="BR86" s="505" t="s">
        <v>591</v>
      </c>
      <c r="CB86" s="526"/>
      <c r="CC86" s="526"/>
      <c r="CE86" s="516"/>
    </row>
    <row r="87" spans="1:83" ht="11.25" customHeight="1">
      <c r="A87" s="571"/>
      <c r="B87" s="614"/>
      <c r="C87" s="614"/>
      <c r="D87" s="614"/>
      <c r="E87" s="614"/>
      <c r="F87" s="614"/>
      <c r="G87" s="614"/>
      <c r="H87" s="614"/>
      <c r="I87" s="509"/>
      <c r="J87" s="501"/>
      <c r="K87" s="501"/>
      <c r="L87" s="501"/>
      <c r="M87" s="541" t="s">
        <v>478</v>
      </c>
      <c r="N87" s="508"/>
      <c r="O87" s="508"/>
      <c r="P87" s="508"/>
      <c r="Q87" s="508"/>
      <c r="R87" s="508"/>
      <c r="S87" s="508"/>
      <c r="T87" s="508"/>
      <c r="U87" s="508"/>
      <c r="V87" s="508"/>
      <c r="W87" s="508"/>
      <c r="X87" s="508"/>
      <c r="Y87" s="571"/>
      <c r="Z87" s="572"/>
      <c r="AA87" s="572"/>
      <c r="AB87" s="516"/>
      <c r="AV87" s="538">
        <f>SUM(AV85:AV86)</f>
        <v>0</v>
      </c>
      <c r="AW87" s="538">
        <f t="shared" ref="AW87:BG87" si="73">SUM(AW85:AW86)</f>
        <v>0</v>
      </c>
      <c r="AX87" s="538">
        <f t="shared" si="73"/>
        <v>0</v>
      </c>
      <c r="AY87" s="538">
        <f t="shared" si="73"/>
        <v>0</v>
      </c>
      <c r="AZ87" s="538">
        <f t="shared" si="73"/>
        <v>0</v>
      </c>
      <c r="BA87" s="538">
        <f t="shared" si="73"/>
        <v>0</v>
      </c>
      <c r="BB87" s="538">
        <f t="shared" si="73"/>
        <v>0</v>
      </c>
      <c r="BC87" s="538">
        <f t="shared" si="73"/>
        <v>0</v>
      </c>
      <c r="BD87" s="538">
        <f t="shared" si="73"/>
        <v>0</v>
      </c>
      <c r="BE87" s="538">
        <f t="shared" si="73"/>
        <v>0</v>
      </c>
      <c r="BF87" s="538">
        <f t="shared" si="73"/>
        <v>0</v>
      </c>
      <c r="BG87" s="538">
        <f t="shared" si="73"/>
        <v>0</v>
      </c>
      <c r="BI87" s="500" t="str">
        <f>CONCATENATE(BI72," ",BI75," ",BI76)</f>
        <v>BCA Climate Zone 6: Glazing nominated to verify GLAZING CALCULATOR outcomes.  Air movement does not apply (5% ventilation opening indicates Part 3.8.5 compliance).</v>
      </c>
      <c r="BJ87" s="500"/>
      <c r="BK87" s="500"/>
      <c r="BL87" s="500"/>
      <c r="BM87" s="500"/>
      <c r="BN87" s="526"/>
      <c r="BO87" s="526"/>
      <c r="BR87" s="516" t="s">
        <v>576</v>
      </c>
      <c r="BS87" s="516"/>
      <c r="BT87" s="516"/>
      <c r="BU87" s="668" t="e">
        <f>BW49</f>
        <v>#N/A</v>
      </c>
      <c r="BV87" s="669" t="e">
        <f>BX49-(BX49*($BV$60*($BZ$63-1)))</f>
        <v>#N/A</v>
      </c>
      <c r="BW87" s="670">
        <f>BY49</f>
        <v>1</v>
      </c>
      <c r="BX87" s="671">
        <f>BZ49</f>
        <v>1</v>
      </c>
      <c r="CB87" s="526"/>
      <c r="CC87" s="526"/>
      <c r="CE87" s="516"/>
    </row>
    <row r="88" spans="1:83" ht="11.25" customHeight="1" thickBot="1">
      <c r="A88" s="571"/>
      <c r="B88" s="615"/>
      <c r="C88" s="615" t="s">
        <v>508</v>
      </c>
      <c r="D88" s="615"/>
      <c r="E88" s="615"/>
      <c r="F88" s="615"/>
      <c r="G88" s="631" t="str">
        <f>IF(G86=0,$AC$17,G84/G86)</f>
        <v>Data</v>
      </c>
      <c r="H88" s="614"/>
      <c r="I88" s="501"/>
      <c r="J88" s="501"/>
      <c r="K88" s="501"/>
      <c r="L88" s="501"/>
      <c r="M88" s="501" t="s">
        <v>488</v>
      </c>
      <c r="N88" s="501"/>
      <c r="O88" s="501"/>
      <c r="P88" s="501"/>
      <c r="Q88" s="501"/>
      <c r="R88" s="501"/>
      <c r="S88" s="501"/>
      <c r="T88" s="501"/>
      <c r="U88" s="501"/>
      <c r="V88" s="501"/>
      <c r="W88" s="501"/>
      <c r="X88" s="501"/>
      <c r="Y88" s="571"/>
      <c r="Z88" s="572"/>
      <c r="AA88" s="572"/>
      <c r="AB88" s="516"/>
      <c r="BI88" s="500" t="str">
        <f>CONCATENATE(BI73," ",BI75," ",BI76)</f>
        <v>BCA 3.12.4.1(c)  Region D exemption applies: Glazing nominated to verify GLAZING CALCULATOR outcomes.  Air movement does not apply (5% ventilation opening indicates Part 3.8.5 compliance).</v>
      </c>
      <c r="BJ88" s="500"/>
      <c r="BK88" s="500"/>
      <c r="BL88" s="500"/>
      <c r="BM88" s="500"/>
      <c r="BN88" s="526"/>
      <c r="BO88" s="526"/>
      <c r="BU88" s="668" t="e">
        <f>BW50</f>
        <v>#N/A</v>
      </c>
      <c r="BV88" s="669" t="e">
        <f>BX50-(BX50*($BV$61*($BZ$63-1)))</f>
        <v>#N/A</v>
      </c>
      <c r="BW88" s="670">
        <f>BY50</f>
        <v>1</v>
      </c>
      <c r="BX88" s="671">
        <f>BZ50</f>
        <v>1</v>
      </c>
      <c r="CB88" s="526"/>
      <c r="CC88" s="526"/>
      <c r="CE88" s="516"/>
    </row>
    <row r="89" spans="1:83" ht="11.25" customHeight="1" thickBot="1">
      <c r="A89" s="571"/>
      <c r="B89" s="615"/>
      <c r="C89" s="615"/>
      <c r="D89" s="615"/>
      <c r="E89" s="615"/>
      <c r="F89" s="615"/>
      <c r="G89" s="615"/>
      <c r="H89" s="614"/>
      <c r="I89" s="501"/>
      <c r="J89" s="501"/>
      <c r="K89" s="501"/>
      <c r="L89" s="525" t="s">
        <v>489</v>
      </c>
      <c r="M89" s="770" t="str">
        <f>IF(COUNTIF(M85:X85,"")=12,"",IF(COUNTIF(M85:X85,AC17)&gt;0,AC17,IF(COUNTIF(M85:X85,AC16)&gt;0,AC16,AC18)))</f>
        <v/>
      </c>
      <c r="N89" s="771"/>
      <c r="O89" s="772"/>
      <c r="P89" s="501"/>
      <c r="Q89" s="501"/>
      <c r="R89" s="501"/>
      <c r="S89" s="501"/>
      <c r="T89" s="501"/>
      <c r="U89" s="501"/>
      <c r="V89" s="501"/>
      <c r="W89" s="501"/>
      <c r="X89" s="501"/>
      <c r="Y89" s="571"/>
      <c r="Z89" s="572"/>
      <c r="AA89" s="572"/>
      <c r="AB89" s="516"/>
      <c r="AU89" s="560" t="s">
        <v>476</v>
      </c>
      <c r="AV89" s="561" t="e">
        <f t="shared" ref="AV89:BG89" si="74">M83-M84</f>
        <v>#VALUE!</v>
      </c>
      <c r="AW89" s="562" t="e">
        <f t="shared" si="74"/>
        <v>#VALUE!</v>
      </c>
      <c r="AX89" s="562" t="e">
        <f t="shared" si="74"/>
        <v>#VALUE!</v>
      </c>
      <c r="AY89" s="562" t="e">
        <f t="shared" si="74"/>
        <v>#VALUE!</v>
      </c>
      <c r="AZ89" s="562" t="e">
        <f t="shared" si="74"/>
        <v>#VALUE!</v>
      </c>
      <c r="BA89" s="562" t="e">
        <f t="shared" si="74"/>
        <v>#VALUE!</v>
      </c>
      <c r="BB89" s="562" t="e">
        <f t="shared" si="74"/>
        <v>#VALUE!</v>
      </c>
      <c r="BC89" s="562" t="e">
        <f t="shared" si="74"/>
        <v>#VALUE!</v>
      </c>
      <c r="BD89" s="562" t="e">
        <f t="shared" si="74"/>
        <v>#VALUE!</v>
      </c>
      <c r="BE89" s="562" t="e">
        <f t="shared" si="74"/>
        <v>#VALUE!</v>
      </c>
      <c r="BF89" s="562" t="e">
        <f t="shared" si="74"/>
        <v>#VALUE!</v>
      </c>
      <c r="BG89" s="562" t="e">
        <f t="shared" si="74"/>
        <v>#VALUE!</v>
      </c>
      <c r="BI89" s="500" t="str">
        <f>CONCATENATE(BI74," ",BI75," ",BI76)</f>
        <v>BCA 3.12.4 "Not applicable": Glazing nominated to verify GLAZING CALCULATOR outcomes.  Air movement does not apply (5% ventilation opening indicates Part 3.8.5 compliance).</v>
      </c>
      <c r="BJ89" s="500"/>
      <c r="BK89" s="500"/>
      <c r="BL89" s="500"/>
      <c r="BM89" s="500"/>
      <c r="BN89" s="526"/>
      <c r="BO89" s="526"/>
      <c r="CB89" s="526"/>
      <c r="CC89" s="526"/>
      <c r="CE89" s="516"/>
    </row>
    <row r="90" spans="1:83" ht="11.25" customHeight="1" thickBot="1">
      <c r="A90" s="571"/>
      <c r="B90" s="627" t="s">
        <v>498</v>
      </c>
      <c r="C90" s="628"/>
      <c r="D90" s="615"/>
      <c r="E90" s="615"/>
      <c r="F90" s="615"/>
      <c r="G90" s="615"/>
      <c r="H90" s="614"/>
      <c r="I90" s="501"/>
      <c r="J90" s="501"/>
      <c r="K90" s="501"/>
      <c r="L90" s="501"/>
      <c r="M90" s="501" t="s">
        <v>490</v>
      </c>
      <c r="N90" s="501"/>
      <c r="O90" s="501"/>
      <c r="P90" s="501"/>
      <c r="Q90" s="501"/>
      <c r="R90" s="501"/>
      <c r="S90" s="501"/>
      <c r="T90" s="501"/>
      <c r="U90" s="501"/>
      <c r="V90" s="501"/>
      <c r="W90" s="501"/>
      <c r="X90" s="501"/>
      <c r="Y90" s="571"/>
      <c r="Z90" s="572"/>
      <c r="AA90" s="572"/>
      <c r="AB90" s="516"/>
      <c r="BR90" s="516" t="s">
        <v>592</v>
      </c>
      <c r="BS90" s="516"/>
      <c r="BT90" s="516"/>
      <c r="BU90" s="672" t="e">
        <f>(BU87*$BW$78)+(BW87*$BW$79)</f>
        <v>#N/A</v>
      </c>
      <c r="BV90" s="673" t="e">
        <f>(BV87*$BW$78)+(BX87*$BW$79)</f>
        <v>#N/A</v>
      </c>
      <c r="CE90" s="516"/>
    </row>
    <row r="91" spans="1:83" ht="11.25" customHeight="1" thickBot="1">
      <c r="A91" s="571"/>
      <c r="B91" s="628"/>
      <c r="C91" s="633" t="s">
        <v>499</v>
      </c>
      <c r="D91" s="634"/>
      <c r="E91" s="634"/>
      <c r="F91" s="634"/>
      <c r="G91" s="631" t="str">
        <f ca="1">BS112</f>
        <v/>
      </c>
      <c r="H91" s="614"/>
      <c r="I91" s="501"/>
      <c r="J91" s="501"/>
      <c r="K91" s="501"/>
      <c r="L91" s="525" t="s">
        <v>491</v>
      </c>
      <c r="M91" s="790" t="str">
        <f>IF(M89="","",IF(OR(Zone=6,OR($B$16=$BI$88,$BI$40&gt;0)),$AC$55,IF(M89=AC17,AC17,IF(M89=AC16,AC16,IF(AV105+AV106+AV107=0,AC19,AC55)))))</f>
        <v/>
      </c>
      <c r="N91" s="791"/>
      <c r="O91" s="792"/>
      <c r="P91" s="528"/>
      <c r="Q91" s="501"/>
      <c r="R91" s="501"/>
      <c r="S91" s="501"/>
      <c r="T91" s="501"/>
      <c r="U91" s="501"/>
      <c r="V91" s="501"/>
      <c r="W91" s="501"/>
      <c r="X91" s="501"/>
      <c r="Y91" s="571"/>
      <c r="Z91" s="572"/>
      <c r="AA91" s="572"/>
      <c r="AB91" s="516"/>
      <c r="AU91" s="532" t="s">
        <v>426</v>
      </c>
      <c r="AV91" s="546">
        <f t="shared" ref="AV91:BG91" si="75">AV82</f>
        <v>0</v>
      </c>
      <c r="AW91" s="546">
        <f t="shared" si="75"/>
        <v>0</v>
      </c>
      <c r="AX91" s="546">
        <f t="shared" si="75"/>
        <v>0</v>
      </c>
      <c r="AY91" s="546">
        <f t="shared" si="75"/>
        <v>0</v>
      </c>
      <c r="AZ91" s="546">
        <f t="shared" si="75"/>
        <v>0</v>
      </c>
      <c r="BA91" s="546">
        <f t="shared" si="75"/>
        <v>0</v>
      </c>
      <c r="BB91" s="546">
        <f t="shared" si="75"/>
        <v>0</v>
      </c>
      <c r="BC91" s="546">
        <f t="shared" si="75"/>
        <v>0</v>
      </c>
      <c r="BD91" s="546">
        <f t="shared" si="75"/>
        <v>0</v>
      </c>
      <c r="BE91" s="546">
        <f t="shared" si="75"/>
        <v>0</v>
      </c>
      <c r="BF91" s="546">
        <f t="shared" si="75"/>
        <v>0</v>
      </c>
      <c r="BG91" s="546">
        <f t="shared" si="75"/>
        <v>0</v>
      </c>
      <c r="BU91" s="672" t="e">
        <f>(BU88*$BW$78)+(BW88*$BW$79)</f>
        <v>#N/A</v>
      </c>
      <c r="BV91" s="673" t="e">
        <f>(BV88*$BW$78)+(BX88*$BW$79)</f>
        <v>#N/A</v>
      </c>
      <c r="CE91" s="516"/>
    </row>
    <row r="92" spans="1:83" ht="11.25" customHeight="1" thickBot="1">
      <c r="A92" s="571"/>
      <c r="B92" s="628"/>
      <c r="C92" s="633" t="s">
        <v>500</v>
      </c>
      <c r="D92" s="634"/>
      <c r="E92" s="634"/>
      <c r="F92" s="634"/>
      <c r="G92" s="631" t="str">
        <f ca="1">BS113</f>
        <v/>
      </c>
      <c r="H92" s="614"/>
      <c r="I92" s="501"/>
      <c r="J92" s="501"/>
      <c r="K92" s="501"/>
      <c r="L92" s="530" t="s">
        <v>494</v>
      </c>
      <c r="M92" s="570" t="str">
        <f t="shared" ref="M92:X92" si="76">IF(AND($M$91=$AC$19,ISTEXT(M25)),ROUNDUP(M23/$BI$36,0),"")</f>
        <v/>
      </c>
      <c r="N92" s="570" t="str">
        <f t="shared" si="76"/>
        <v/>
      </c>
      <c r="O92" s="570" t="str">
        <f t="shared" si="76"/>
        <v/>
      </c>
      <c r="P92" s="570" t="str">
        <f t="shared" si="76"/>
        <v/>
      </c>
      <c r="Q92" s="570" t="str">
        <f t="shared" si="76"/>
        <v/>
      </c>
      <c r="R92" s="570" t="str">
        <f t="shared" si="76"/>
        <v/>
      </c>
      <c r="S92" s="570" t="str">
        <f t="shared" si="76"/>
        <v/>
      </c>
      <c r="T92" s="570" t="str">
        <f t="shared" si="76"/>
        <v/>
      </c>
      <c r="U92" s="570" t="str">
        <f t="shared" si="76"/>
        <v/>
      </c>
      <c r="V92" s="570" t="str">
        <f t="shared" si="76"/>
        <v/>
      </c>
      <c r="W92" s="570" t="str">
        <f t="shared" si="76"/>
        <v/>
      </c>
      <c r="X92" s="570" t="str">
        <f t="shared" si="76"/>
        <v/>
      </c>
      <c r="Y92" s="571"/>
      <c r="Z92" s="572"/>
      <c r="AA92" s="572"/>
      <c r="AB92" s="516"/>
      <c r="AU92" s="563" t="s">
        <v>430</v>
      </c>
      <c r="AV92" s="564">
        <f>SUM(AV91:BG91)</f>
        <v>0</v>
      </c>
      <c r="CE92" s="516"/>
    </row>
    <row r="93" spans="1:83" ht="11.25" customHeight="1" thickBot="1">
      <c r="A93" s="571"/>
      <c r="B93" s="615"/>
      <c r="C93" s="615"/>
      <c r="D93" s="615"/>
      <c r="E93" s="615"/>
      <c r="F93" s="615"/>
      <c r="G93" s="615"/>
      <c r="H93" s="614"/>
      <c r="I93" s="501"/>
      <c r="J93" s="501"/>
      <c r="K93" s="501"/>
      <c r="L93" s="530" t="s">
        <v>483</v>
      </c>
      <c r="M93" s="570" t="str">
        <f t="shared" ref="M93:X93" si="77">IF(AND($M$91=$AC$19,ISTEXT(M25)),ROUNDUP(M23/$BI$37,0),"")</f>
        <v/>
      </c>
      <c r="N93" s="570" t="str">
        <f t="shared" si="77"/>
        <v/>
      </c>
      <c r="O93" s="570" t="str">
        <f t="shared" si="77"/>
        <v/>
      </c>
      <c r="P93" s="570" t="str">
        <f t="shared" si="77"/>
        <v/>
      </c>
      <c r="Q93" s="570" t="str">
        <f t="shared" si="77"/>
        <v/>
      </c>
      <c r="R93" s="570" t="str">
        <f t="shared" si="77"/>
        <v/>
      </c>
      <c r="S93" s="570" t="str">
        <f t="shared" si="77"/>
        <v/>
      </c>
      <c r="T93" s="570" t="str">
        <f t="shared" si="77"/>
        <v/>
      </c>
      <c r="U93" s="570" t="str">
        <f t="shared" si="77"/>
        <v/>
      </c>
      <c r="V93" s="570" t="str">
        <f t="shared" si="77"/>
        <v/>
      </c>
      <c r="W93" s="570" t="str">
        <f t="shared" si="77"/>
        <v/>
      </c>
      <c r="X93" s="570" t="str">
        <f t="shared" si="77"/>
        <v/>
      </c>
      <c r="Y93" s="571"/>
      <c r="Z93" s="572"/>
      <c r="AA93" s="572"/>
      <c r="AB93" s="516"/>
      <c r="BR93" s="516" t="s">
        <v>593</v>
      </c>
      <c r="BS93" s="516"/>
      <c r="BT93" s="516"/>
      <c r="BU93" s="674" t="e">
        <f>(BU90*$BU$66)+(BU91*$BU$67)</f>
        <v>#N/A</v>
      </c>
      <c r="BV93" s="675" t="e">
        <f>(BV90*$BU$66)+(BV91*$BU$67)</f>
        <v>#N/A</v>
      </c>
      <c r="CE93" s="516"/>
    </row>
    <row r="94" spans="1:83" ht="11.25" customHeight="1" thickBot="1">
      <c r="A94" s="571"/>
      <c r="B94" s="627" t="s">
        <v>501</v>
      </c>
      <c r="C94" s="615"/>
      <c r="D94" s="615"/>
      <c r="E94" s="615"/>
      <c r="F94" s="615"/>
      <c r="G94" s="615"/>
      <c r="H94" s="614"/>
      <c r="I94" s="501"/>
      <c r="J94" s="501"/>
      <c r="K94" s="501"/>
      <c r="L94" s="501"/>
      <c r="M94" s="501"/>
      <c r="N94" s="501"/>
      <c r="O94" s="501"/>
      <c r="P94" s="501"/>
      <c r="Q94" s="501"/>
      <c r="R94" s="501"/>
      <c r="S94" s="501"/>
      <c r="T94" s="501"/>
      <c r="U94" s="501"/>
      <c r="V94" s="501"/>
      <c r="W94" s="501"/>
      <c r="X94" s="501"/>
      <c r="Y94" s="571"/>
      <c r="Z94" s="572"/>
      <c r="AA94" s="572"/>
      <c r="AB94" s="516"/>
      <c r="BU94" s="676" t="e">
        <f>BU73</f>
        <v>#DIV/0!</v>
      </c>
      <c r="BV94" s="676" t="e">
        <f>BV73</f>
        <v>#N/A</v>
      </c>
      <c r="BW94" s="505" t="s">
        <v>594</v>
      </c>
      <c r="CD94" s="565"/>
      <c r="CE94" s="516"/>
    </row>
    <row r="95" spans="1:83" ht="11.25" customHeight="1" thickBot="1">
      <c r="A95" s="571"/>
      <c r="B95" s="614"/>
      <c r="C95" s="634" t="s">
        <v>439</v>
      </c>
      <c r="D95" s="634"/>
      <c r="E95" s="634"/>
      <c r="F95" s="634"/>
      <c r="G95" s="680" t="str">
        <f ca="1">IF(ISERROR(BS108),"",BW83)</f>
        <v/>
      </c>
      <c r="H95" s="632" t="str">
        <f ca="1">IF(ISERROR(BS108),$AC$17,IF(G95&gt;=G91,$AC$15,$AC$16))</f>
        <v>Data</v>
      </c>
      <c r="I95" s="501"/>
      <c r="J95" s="501"/>
      <c r="K95" s="501"/>
      <c r="L95" s="525" t="s">
        <v>492</v>
      </c>
      <c r="M95" s="770" t="str">
        <f>IF(M89="","",IF(OR(Zone=6,OR($B$16=$BI$88,BI40&gt;0)),$AC$55,IF(M89=AC17,AC17,IF(M89=AC16,AC16,IF(AV92/AV97&gt;=2,AC19,AC18)))))</f>
        <v/>
      </c>
      <c r="N95" s="771"/>
      <c r="O95" s="772"/>
      <c r="P95" s="512" t="s">
        <v>496</v>
      </c>
      <c r="Q95" s="787" t="str">
        <f>IF(M95="","",IF(OR(Zone=6,OR($B$16=$BI$88,BI40&gt;0)),AC55,IF(M95=AC17,AC17,IF(M95=AC16,AC16,IF(M95=AC55,AC55,IF(AV92/AV97=1,AC18,IF(AV92/AV97&gt;2,"",AV92/AV97)))))))</f>
        <v/>
      </c>
      <c r="R95" s="788"/>
      <c r="S95" s="789"/>
      <c r="T95" s="501"/>
      <c r="U95" s="501"/>
      <c r="V95" s="501"/>
      <c r="W95" s="501"/>
      <c r="X95" s="501"/>
      <c r="Y95" s="571"/>
      <c r="Z95" s="572"/>
      <c r="AA95" s="572"/>
      <c r="AB95" s="516"/>
      <c r="AU95" s="532" t="s">
        <v>424</v>
      </c>
      <c r="AV95" s="566" t="e">
        <f t="shared" ref="AV95:BG95" si="78">INDEX(BC_AirMove,MATCH(Zone,BC_WAZones,0),1)</f>
        <v>#N/A</v>
      </c>
      <c r="AW95" s="566" t="e">
        <f t="shared" si="78"/>
        <v>#N/A</v>
      </c>
      <c r="AX95" s="566" t="e">
        <f t="shared" si="78"/>
        <v>#N/A</v>
      </c>
      <c r="AY95" s="566" t="e">
        <f t="shared" si="78"/>
        <v>#N/A</v>
      </c>
      <c r="AZ95" s="566" t="e">
        <f t="shared" si="78"/>
        <v>#N/A</v>
      </c>
      <c r="BA95" s="566" t="e">
        <f t="shared" si="78"/>
        <v>#N/A</v>
      </c>
      <c r="BB95" s="566" t="e">
        <f t="shared" si="78"/>
        <v>#N/A</v>
      </c>
      <c r="BC95" s="566" t="e">
        <f t="shared" si="78"/>
        <v>#N/A</v>
      </c>
      <c r="BD95" s="566" t="e">
        <f t="shared" si="78"/>
        <v>#N/A</v>
      </c>
      <c r="BE95" s="566" t="e">
        <f t="shared" si="78"/>
        <v>#N/A</v>
      </c>
      <c r="BF95" s="566" t="e">
        <f t="shared" si="78"/>
        <v>#N/A</v>
      </c>
      <c r="BG95" s="566" t="e">
        <f t="shared" si="78"/>
        <v>#N/A</v>
      </c>
      <c r="CD95" s="526"/>
      <c r="CE95" s="516"/>
    </row>
    <row r="96" spans="1:83" ht="11.25" customHeight="1" thickBot="1">
      <c r="A96" s="571"/>
      <c r="B96" s="614"/>
      <c r="C96" s="634" t="s">
        <v>509</v>
      </c>
      <c r="D96" s="634"/>
      <c r="E96" s="634"/>
      <c r="F96" s="634"/>
      <c r="G96" s="680" t="str">
        <f ca="1">IF(ISERROR(BS109),"",BX83)</f>
        <v/>
      </c>
      <c r="H96" s="632" t="str">
        <f ca="1">IF(ISERROR(BS109),$AC$17,IF(G96&gt;=G92,$AC$15,$AC$16))</f>
        <v>Data</v>
      </c>
      <c r="I96" s="501"/>
      <c r="J96" s="501"/>
      <c r="K96" s="501"/>
      <c r="L96" s="501"/>
      <c r="M96" s="501"/>
      <c r="N96" s="501"/>
      <c r="O96" s="501"/>
      <c r="P96" s="501"/>
      <c r="Q96" s="501"/>
      <c r="R96" s="501"/>
      <c r="S96" s="501"/>
      <c r="T96" s="501"/>
      <c r="U96" s="501"/>
      <c r="V96" s="501"/>
      <c r="W96" s="501"/>
      <c r="X96" s="501"/>
      <c r="Y96" s="571"/>
      <c r="Z96" s="572"/>
      <c r="AA96" s="572"/>
      <c r="AB96" s="516"/>
      <c r="AU96" s="532" t="s">
        <v>425</v>
      </c>
      <c r="AV96" s="497" t="e">
        <f t="shared" ref="AV96:BG96" si="79">AV95*M23</f>
        <v>#N/A</v>
      </c>
      <c r="AW96" s="497" t="e">
        <f t="shared" si="79"/>
        <v>#N/A</v>
      </c>
      <c r="AX96" s="497" t="e">
        <f t="shared" si="79"/>
        <v>#N/A</v>
      </c>
      <c r="AY96" s="497" t="e">
        <f t="shared" si="79"/>
        <v>#N/A</v>
      </c>
      <c r="AZ96" s="497" t="e">
        <f t="shared" si="79"/>
        <v>#N/A</v>
      </c>
      <c r="BA96" s="497" t="e">
        <f t="shared" si="79"/>
        <v>#N/A</v>
      </c>
      <c r="BB96" s="497" t="e">
        <f t="shared" si="79"/>
        <v>#N/A</v>
      </c>
      <c r="BC96" s="497" t="e">
        <f t="shared" si="79"/>
        <v>#N/A</v>
      </c>
      <c r="BD96" s="497" t="e">
        <f t="shared" si="79"/>
        <v>#N/A</v>
      </c>
      <c r="BE96" s="497" t="e">
        <f t="shared" si="79"/>
        <v>#N/A</v>
      </c>
      <c r="BF96" s="497" t="e">
        <f t="shared" si="79"/>
        <v>#N/A</v>
      </c>
      <c r="BG96" s="497" t="e">
        <f t="shared" si="79"/>
        <v>#N/A</v>
      </c>
      <c r="CD96" s="526"/>
      <c r="CE96" s="516"/>
    </row>
    <row r="97" spans="1:83" ht="11.25" customHeight="1">
      <c r="A97" s="571"/>
      <c r="B97" s="623"/>
      <c r="C97" s="623"/>
      <c r="D97" s="623"/>
      <c r="E97" s="623"/>
      <c r="F97" s="623"/>
      <c r="G97" s="623"/>
      <c r="H97" s="623"/>
      <c r="I97" s="502"/>
      <c r="J97" s="502"/>
      <c r="K97" s="502"/>
      <c r="L97" s="502"/>
      <c r="M97" s="502"/>
      <c r="N97" s="502"/>
      <c r="O97" s="502"/>
      <c r="P97" s="502"/>
      <c r="Q97" s="502"/>
      <c r="R97" s="502"/>
      <c r="S97" s="502"/>
      <c r="T97" s="502"/>
      <c r="U97" s="502"/>
      <c r="V97" s="502"/>
      <c r="W97" s="502"/>
      <c r="X97" s="502"/>
      <c r="Y97" s="571"/>
      <c r="Z97" s="572"/>
      <c r="AA97" s="572"/>
      <c r="AB97" s="516"/>
      <c r="AU97" s="563" t="s">
        <v>431</v>
      </c>
      <c r="AV97" s="564" t="e">
        <f>SUM(AV96:BG96)</f>
        <v>#N/A</v>
      </c>
      <c r="BT97" s="498" t="s">
        <v>595</v>
      </c>
      <c r="CE97" s="516"/>
    </row>
    <row r="98" spans="1:83" ht="11.25" customHeight="1">
      <c r="A98" s="571"/>
      <c r="B98" s="541" t="s">
        <v>605</v>
      </c>
      <c r="C98" s="508"/>
      <c r="D98" s="508" t="s">
        <v>606</v>
      </c>
      <c r="E98" s="508"/>
      <c r="F98" s="508"/>
      <c r="G98" s="508"/>
      <c r="H98" s="508"/>
      <c r="I98" s="548"/>
      <c r="J98" s="548"/>
      <c r="K98" s="548"/>
      <c r="L98" s="548"/>
      <c r="M98" s="548"/>
      <c r="N98" s="548"/>
      <c r="O98" s="548"/>
      <c r="P98" s="548"/>
      <c r="Q98" s="548"/>
      <c r="R98" s="548"/>
      <c r="S98" s="548"/>
      <c r="T98" s="548"/>
      <c r="U98" s="548"/>
      <c r="V98" s="548"/>
      <c r="W98" s="548"/>
      <c r="X98" s="548"/>
      <c r="Y98" s="571"/>
      <c r="Z98" s="572"/>
      <c r="AA98" s="572"/>
      <c r="AB98" s="516"/>
      <c r="BR98" s="498" t="s">
        <v>596</v>
      </c>
      <c r="BT98" s="514" t="s">
        <v>597</v>
      </c>
      <c r="CE98" s="516"/>
    </row>
    <row r="99" spans="1:83" ht="11.25" customHeight="1">
      <c r="A99" s="571"/>
      <c r="B99" s="541" t="s">
        <v>604</v>
      </c>
      <c r="C99" s="508"/>
      <c r="D99" s="508" t="s">
        <v>607</v>
      </c>
      <c r="E99" s="508"/>
      <c r="F99" s="508"/>
      <c r="G99" s="508"/>
      <c r="H99" s="508"/>
      <c r="I99" s="508"/>
      <c r="J99" s="508"/>
      <c r="K99" s="508"/>
      <c r="L99" s="508"/>
      <c r="M99" s="508"/>
      <c r="N99" s="508"/>
      <c r="O99" s="508"/>
      <c r="P99" s="508"/>
      <c r="Q99" s="508"/>
      <c r="R99" s="508"/>
      <c r="S99" s="508"/>
      <c r="T99" s="508"/>
      <c r="U99" s="508"/>
      <c r="V99" s="508"/>
      <c r="W99" s="508"/>
      <c r="X99" s="508"/>
      <c r="Y99" s="571"/>
      <c r="AB99" s="516"/>
      <c r="BR99" s="505" t="s">
        <v>598</v>
      </c>
      <c r="BT99" s="514" t="s">
        <v>599</v>
      </c>
      <c r="CE99" s="516"/>
    </row>
    <row r="100" spans="1:83" ht="11.25" customHeight="1">
      <c r="A100" s="571"/>
      <c r="B100" s="541" t="s">
        <v>610</v>
      </c>
      <c r="C100" s="508"/>
      <c r="D100" s="508"/>
      <c r="E100" s="508"/>
      <c r="F100" s="508"/>
      <c r="G100" s="508"/>
      <c r="H100" s="508"/>
      <c r="I100" s="773"/>
      <c r="J100" s="773"/>
      <c r="K100" s="773"/>
      <c r="L100" s="773"/>
      <c r="M100" s="773"/>
      <c r="N100" s="773"/>
      <c r="O100" s="773"/>
      <c r="P100" s="773"/>
      <c r="Q100" s="773"/>
      <c r="R100" s="773"/>
      <c r="S100" s="773"/>
      <c r="T100" s="773"/>
      <c r="U100" s="773"/>
      <c r="V100" s="773"/>
      <c r="W100" s="773"/>
      <c r="X100" s="773"/>
      <c r="Y100" s="571"/>
      <c r="AB100" s="516"/>
      <c r="AU100" s="532" t="s">
        <v>432</v>
      </c>
      <c r="AV100" s="567" t="e">
        <f>AV91-AV96</f>
        <v>#N/A</v>
      </c>
      <c r="AW100" s="567" t="e">
        <f t="shared" ref="AW100:BG100" si="80">AW91-AW96</f>
        <v>#N/A</v>
      </c>
      <c r="AX100" s="567" t="e">
        <f t="shared" si="80"/>
        <v>#N/A</v>
      </c>
      <c r="AY100" s="567" t="e">
        <f t="shared" si="80"/>
        <v>#N/A</v>
      </c>
      <c r="AZ100" s="567" t="e">
        <f t="shared" si="80"/>
        <v>#N/A</v>
      </c>
      <c r="BA100" s="567" t="e">
        <f t="shared" si="80"/>
        <v>#N/A</v>
      </c>
      <c r="BB100" s="567" t="e">
        <f t="shared" si="80"/>
        <v>#N/A</v>
      </c>
      <c r="BC100" s="567" t="e">
        <f t="shared" si="80"/>
        <v>#N/A</v>
      </c>
      <c r="BD100" s="567" t="e">
        <f t="shared" si="80"/>
        <v>#N/A</v>
      </c>
      <c r="BE100" s="567" t="e">
        <f t="shared" si="80"/>
        <v>#N/A</v>
      </c>
      <c r="BF100" s="567" t="e">
        <f t="shared" si="80"/>
        <v>#N/A</v>
      </c>
      <c r="BG100" s="567" t="e">
        <f t="shared" si="80"/>
        <v>#N/A</v>
      </c>
      <c r="BS100" s="677" t="s">
        <v>600</v>
      </c>
      <c r="BT100" s="500">
        <v>1</v>
      </c>
      <c r="BU100" s="678">
        <v>2</v>
      </c>
      <c r="BV100" s="500">
        <v>3</v>
      </c>
      <c r="BW100" s="500">
        <v>4</v>
      </c>
      <c r="BX100" s="500">
        <v>5</v>
      </c>
      <c r="BY100" s="500">
        <v>6</v>
      </c>
      <c r="BZ100" s="678">
        <v>7</v>
      </c>
      <c r="CA100" s="678">
        <v>8</v>
      </c>
      <c r="CE100" s="516"/>
    </row>
    <row r="101" spans="1:83" ht="11.25" customHeight="1">
      <c r="A101" s="571"/>
      <c r="B101" s="773"/>
      <c r="C101" s="773"/>
      <c r="D101" s="773"/>
      <c r="E101" s="773"/>
      <c r="F101" s="773"/>
      <c r="G101" s="773"/>
      <c r="H101" s="773"/>
      <c r="I101" s="773"/>
      <c r="J101" s="773"/>
      <c r="K101" s="773"/>
      <c r="L101" s="773"/>
      <c r="M101" s="773"/>
      <c r="N101" s="773"/>
      <c r="O101" s="773"/>
      <c r="P101" s="773"/>
      <c r="Q101" s="773"/>
      <c r="R101" s="773"/>
      <c r="S101" s="773"/>
      <c r="T101" s="773"/>
      <c r="U101" s="773"/>
      <c r="V101" s="773"/>
      <c r="W101" s="773"/>
      <c r="X101" s="773"/>
      <c r="Y101" s="571"/>
      <c r="AB101" s="516"/>
      <c r="BS101" s="679" t="s">
        <v>570</v>
      </c>
      <c r="BT101" s="500">
        <v>6.3E-2</v>
      </c>
      <c r="BU101" s="678">
        <v>7.3999999999999996E-2</v>
      </c>
      <c r="BV101" s="500">
        <v>6.2E-2</v>
      </c>
      <c r="BW101" s="500">
        <v>9.7000000000000003E-2</v>
      </c>
      <c r="BX101" s="500">
        <v>0.122</v>
      </c>
      <c r="BY101" s="500">
        <v>0.153</v>
      </c>
      <c r="BZ101" s="678">
        <v>0.189</v>
      </c>
      <c r="CA101" s="678">
        <v>0.23400000000000001</v>
      </c>
      <c r="CE101" s="516"/>
    </row>
    <row r="102" spans="1:83" ht="11.25" customHeight="1" thickBot="1">
      <c r="A102" s="571"/>
      <c r="B102" s="773"/>
      <c r="C102" s="773"/>
      <c r="D102" s="773"/>
      <c r="E102" s="773"/>
      <c r="F102" s="773"/>
      <c r="G102" s="773"/>
      <c r="H102" s="773"/>
      <c r="I102" s="773"/>
      <c r="J102" s="773"/>
      <c r="K102" s="773"/>
      <c r="L102" s="773"/>
      <c r="M102" s="773"/>
      <c r="N102" s="773"/>
      <c r="O102" s="773"/>
      <c r="P102" s="773"/>
      <c r="Q102" s="773"/>
      <c r="R102" s="773"/>
      <c r="S102" s="773"/>
      <c r="T102" s="773"/>
      <c r="U102" s="773"/>
      <c r="V102" s="773"/>
      <c r="W102" s="773"/>
      <c r="X102" s="773"/>
      <c r="Y102" s="571"/>
      <c r="AB102" s="516"/>
      <c r="AU102" s="563" t="s">
        <v>433</v>
      </c>
      <c r="AV102" s="556" t="e">
        <f>AV92-AV97</f>
        <v>#N/A</v>
      </c>
      <c r="AY102" s="560" t="s">
        <v>495</v>
      </c>
      <c r="AZ102" s="499" t="e">
        <f>AV92/AV97</f>
        <v>#N/A</v>
      </c>
      <c r="BS102" s="679" t="s">
        <v>571</v>
      </c>
      <c r="BT102" s="500">
        <v>6.9000000000000006E-2</v>
      </c>
      <c r="BU102" s="678">
        <v>8.1000000000000003E-2</v>
      </c>
      <c r="BV102" s="500">
        <v>6.8000000000000005E-2</v>
      </c>
      <c r="BW102" s="500">
        <v>0.107</v>
      </c>
      <c r="BX102" s="500">
        <v>0.13400000000000001</v>
      </c>
      <c r="BY102" s="500">
        <v>0.16800000000000001</v>
      </c>
      <c r="BZ102" s="678">
        <v>0.20799999999999999</v>
      </c>
      <c r="CA102" s="678">
        <v>0.25700000000000001</v>
      </c>
      <c r="CE102" s="516"/>
    </row>
    <row r="103" spans="1:83" ht="11.25" customHeight="1">
      <c r="A103" s="516"/>
      <c r="B103" s="516"/>
      <c r="C103" s="516"/>
      <c r="D103" s="516"/>
      <c r="E103" s="516"/>
      <c r="F103" s="516"/>
      <c r="G103" s="516"/>
      <c r="H103" s="516"/>
      <c r="I103" s="516"/>
      <c r="J103" s="516"/>
      <c r="K103" s="516"/>
      <c r="L103" s="516"/>
      <c r="M103" s="516"/>
      <c r="N103" s="516"/>
      <c r="O103" s="516"/>
      <c r="P103" s="516"/>
      <c r="Q103" s="516"/>
      <c r="R103" s="516"/>
      <c r="S103" s="516"/>
      <c r="T103" s="516"/>
      <c r="U103" s="516"/>
      <c r="V103" s="516"/>
      <c r="W103" s="516"/>
      <c r="X103" s="516"/>
      <c r="Y103" s="516"/>
      <c r="AB103" s="516"/>
      <c r="BS103" s="679" t="s">
        <v>572</v>
      </c>
      <c r="BT103" s="500">
        <v>5.7000000000000002E-2</v>
      </c>
      <c r="BU103" s="678">
        <v>6.7000000000000004E-2</v>
      </c>
      <c r="BV103" s="500">
        <v>5.6000000000000001E-2</v>
      </c>
      <c r="BW103" s="500">
        <v>8.6999999999999994E-2</v>
      </c>
      <c r="BX103" s="500">
        <v>0.11</v>
      </c>
      <c r="BY103" s="500">
        <v>0.13800000000000001</v>
      </c>
      <c r="BZ103" s="678">
        <v>0.17</v>
      </c>
      <c r="CA103" s="678">
        <v>0.21099999999999999</v>
      </c>
      <c r="CE103" s="516"/>
    </row>
    <row r="104" spans="1:83" ht="11.25" customHeight="1" thickBot="1">
      <c r="A104" s="585"/>
      <c r="B104" s="586"/>
      <c r="C104" s="586"/>
      <c r="D104" s="587" t="s">
        <v>527</v>
      </c>
      <c r="E104" s="587"/>
      <c r="F104" s="587"/>
      <c r="G104" s="587"/>
      <c r="H104" s="586"/>
      <c r="I104" s="586"/>
      <c r="J104" s="587"/>
      <c r="K104" s="587"/>
      <c r="L104" s="587"/>
      <c r="M104" s="587"/>
      <c r="N104" s="587"/>
      <c r="O104" s="587"/>
      <c r="P104" s="587"/>
      <c r="Q104" s="587"/>
      <c r="R104" s="587"/>
      <c r="S104" s="587"/>
      <c r="T104" s="587"/>
      <c r="U104" s="587"/>
      <c r="V104" s="587"/>
      <c r="W104" s="587"/>
      <c r="X104" s="587"/>
      <c r="Y104" s="516"/>
      <c r="AB104" s="516"/>
      <c r="AV104" s="568" t="s">
        <v>428</v>
      </c>
      <c r="BS104" s="679" t="s">
        <v>573</v>
      </c>
      <c r="BT104" s="500">
        <v>6.3E-2</v>
      </c>
      <c r="BU104" s="678">
        <v>7.3999999999999996E-2</v>
      </c>
      <c r="BV104" s="500">
        <v>6.2E-2</v>
      </c>
      <c r="BW104" s="500">
        <v>9.6000000000000002E-2</v>
      </c>
      <c r="BX104" s="500">
        <v>0.121</v>
      </c>
      <c r="BY104" s="500">
        <v>0.152</v>
      </c>
      <c r="BZ104" s="678">
        <v>0.187</v>
      </c>
      <c r="CA104" s="678">
        <v>0.23200000000000001</v>
      </c>
      <c r="CE104" s="516"/>
    </row>
    <row r="105" spans="1:83" ht="11.25" customHeight="1">
      <c r="A105" s="585"/>
      <c r="B105" s="588" t="s">
        <v>380</v>
      </c>
      <c r="C105" s="589"/>
      <c r="D105" s="606" t="s">
        <v>548</v>
      </c>
      <c r="E105" s="589"/>
      <c r="F105" s="589"/>
      <c r="G105" s="589"/>
      <c r="H105" s="589"/>
      <c r="I105" s="589"/>
      <c r="J105" s="590"/>
      <c r="K105" s="590"/>
      <c r="L105" s="590"/>
      <c r="M105" s="591"/>
      <c r="N105" s="592"/>
      <c r="O105" s="592"/>
      <c r="P105" s="592"/>
      <c r="Q105" s="592"/>
      <c r="R105" s="592"/>
      <c r="S105" s="592"/>
      <c r="T105" s="592"/>
      <c r="U105" s="592"/>
      <c r="V105" s="592"/>
      <c r="W105" s="592"/>
      <c r="X105" s="592"/>
      <c r="Y105" s="516"/>
      <c r="AU105" s="532" t="s">
        <v>434</v>
      </c>
      <c r="AV105" s="497">
        <f>COUNTIF(M25:X25,BJ26)</f>
        <v>0</v>
      </c>
      <c r="CE105" s="516"/>
    </row>
    <row r="106" spans="1:83" ht="11.25" customHeight="1">
      <c r="A106" s="585"/>
      <c r="B106" s="593" t="s">
        <v>381</v>
      </c>
      <c r="C106" s="592"/>
      <c r="D106" s="594" t="s">
        <v>382</v>
      </c>
      <c r="E106" s="592"/>
      <c r="F106" s="594" t="s">
        <v>383</v>
      </c>
      <c r="G106" s="592"/>
      <c r="H106" s="592"/>
      <c r="I106" s="592"/>
      <c r="J106" s="592"/>
      <c r="K106" s="592"/>
      <c r="L106" s="592"/>
      <c r="M106" s="592"/>
      <c r="N106" s="592"/>
      <c r="O106" s="592"/>
      <c r="P106" s="592"/>
      <c r="Q106" s="592"/>
      <c r="R106" s="592"/>
      <c r="S106" s="592"/>
      <c r="T106" s="592"/>
      <c r="U106" s="592"/>
      <c r="V106" s="592"/>
      <c r="W106" s="592"/>
      <c r="X106" s="592"/>
      <c r="Y106" s="516"/>
      <c r="AU106" s="532" t="s">
        <v>429</v>
      </c>
      <c r="AV106" s="497">
        <f>COUNTIF(M25:X25,BL26)</f>
        <v>0</v>
      </c>
      <c r="BS106" s="497" t="s">
        <v>602</v>
      </c>
      <c r="CE106" s="516"/>
    </row>
    <row r="107" spans="1:83" ht="11.25" customHeight="1">
      <c r="A107" s="585"/>
      <c r="B107" s="593">
        <v>1</v>
      </c>
      <c r="C107" s="592"/>
      <c r="D107" s="682" t="s">
        <v>611</v>
      </c>
      <c r="E107" s="683"/>
      <c r="F107" s="594" t="s">
        <v>612</v>
      </c>
      <c r="G107" s="592"/>
      <c r="H107" s="592"/>
      <c r="I107" s="592"/>
      <c r="J107" s="592"/>
      <c r="K107" s="592"/>
      <c r="L107" s="592"/>
      <c r="M107" s="592"/>
      <c r="N107" s="592"/>
      <c r="O107" s="592"/>
      <c r="P107" s="592"/>
      <c r="Q107" s="592"/>
      <c r="R107" s="592"/>
      <c r="S107" s="592"/>
      <c r="T107" s="592"/>
      <c r="U107" s="592"/>
      <c r="V107" s="592"/>
      <c r="W107" s="592"/>
      <c r="X107" s="592"/>
      <c r="Y107" s="516"/>
      <c r="AU107" s="532" t="s">
        <v>525</v>
      </c>
      <c r="AV107" s="497" t="e">
        <f>IF(AV92-AV97&lt;0,1,0)</f>
        <v>#N/A</v>
      </c>
      <c r="BR107" s="505" t="s">
        <v>511</v>
      </c>
      <c r="CE107" s="516"/>
    </row>
    <row r="108" spans="1:83" ht="11.25" customHeight="1">
      <c r="A108" s="585"/>
      <c r="B108" s="595"/>
      <c r="C108" s="596"/>
      <c r="D108" s="684"/>
      <c r="E108" s="685"/>
      <c r="F108" s="597"/>
      <c r="G108" s="596"/>
      <c r="H108" s="596"/>
      <c r="I108" s="596"/>
      <c r="J108" s="596"/>
      <c r="K108" s="596"/>
      <c r="L108" s="596"/>
      <c r="M108" s="596"/>
      <c r="N108" s="596"/>
      <c r="O108" s="596"/>
      <c r="P108" s="596"/>
      <c r="Q108" s="596"/>
      <c r="R108" s="596"/>
      <c r="S108" s="596"/>
      <c r="T108" s="596"/>
      <c r="U108" s="596"/>
      <c r="V108" s="596"/>
      <c r="W108" s="596"/>
      <c r="X108" s="596"/>
      <c r="Y108" s="516"/>
      <c r="BR108" s="497" t="s">
        <v>499</v>
      </c>
      <c r="BS108" s="506" t="e">
        <f ca="1">VALUE(MID(Calculator!R37,FIND(" ",Calculator!R37,FIND(" ",Calculator!R37)+1)+1,4))</f>
        <v>#VALUE!</v>
      </c>
      <c r="CE108" s="516"/>
    </row>
    <row r="109" spans="1:83" ht="11.25" customHeight="1">
      <c r="A109" s="585"/>
      <c r="B109" s="598"/>
      <c r="C109" s="599"/>
      <c r="D109" s="686"/>
      <c r="E109" s="687"/>
      <c r="F109" s="600"/>
      <c r="G109" s="599"/>
      <c r="H109" s="599"/>
      <c r="I109" s="599"/>
      <c r="J109" s="599"/>
      <c r="K109" s="599"/>
      <c r="L109" s="599"/>
      <c r="M109" s="599"/>
      <c r="N109" s="599"/>
      <c r="O109" s="599"/>
      <c r="P109" s="599"/>
      <c r="Q109" s="599"/>
      <c r="R109" s="599"/>
      <c r="S109" s="599"/>
      <c r="T109" s="599"/>
      <c r="U109" s="599"/>
      <c r="V109" s="599"/>
      <c r="W109" s="599"/>
      <c r="X109" s="599"/>
      <c r="Y109" s="516"/>
      <c r="BR109" s="497" t="s">
        <v>512</v>
      </c>
      <c r="BS109" s="506" t="e">
        <f ca="1">VALUE(MID(Calculator!T37,FIND(" ",Calculator!T37,FIND(" ",Calculator!T37)+1)+1,4))</f>
        <v>#VALUE!</v>
      </c>
      <c r="CE109" s="516"/>
    </row>
    <row r="110" spans="1:83" ht="11.25" customHeight="1">
      <c r="A110" s="516"/>
      <c r="B110" s="598"/>
      <c r="C110" s="599"/>
      <c r="D110" s="686"/>
      <c r="E110" s="687"/>
      <c r="F110" s="600"/>
      <c r="G110" s="599"/>
      <c r="H110" s="599"/>
      <c r="I110" s="599"/>
      <c r="J110" s="599"/>
      <c r="K110" s="599"/>
      <c r="L110" s="599"/>
      <c r="M110" s="599"/>
      <c r="N110" s="596"/>
      <c r="O110" s="596"/>
      <c r="P110" s="596"/>
      <c r="Q110" s="596"/>
      <c r="R110" s="596"/>
      <c r="S110" s="596"/>
      <c r="T110" s="596"/>
      <c r="U110" s="596"/>
      <c r="V110" s="596"/>
      <c r="W110" s="596"/>
      <c r="X110" s="596"/>
      <c r="Y110" s="516"/>
      <c r="CE110" s="516"/>
    </row>
    <row r="111" spans="1:83" ht="11.25" customHeight="1">
      <c r="A111" s="516"/>
      <c r="B111" s="601" t="s">
        <v>545</v>
      </c>
      <c r="C111" s="516"/>
      <c r="D111" s="607" t="s">
        <v>611</v>
      </c>
      <c r="E111" s="516"/>
      <c r="F111" s="516"/>
      <c r="G111" s="516"/>
      <c r="H111" s="516"/>
      <c r="I111" s="516"/>
      <c r="J111" s="516"/>
      <c r="K111" s="516"/>
      <c r="L111" s="516"/>
      <c r="M111" s="516"/>
      <c r="N111" s="602"/>
      <c r="O111" s="603"/>
      <c r="P111" s="603"/>
      <c r="Q111" s="603"/>
      <c r="R111" s="603"/>
      <c r="S111" s="603"/>
      <c r="T111" s="601"/>
      <c r="U111" s="601"/>
      <c r="V111" s="601"/>
      <c r="W111" s="601"/>
      <c r="X111" s="601"/>
      <c r="Y111" s="516"/>
      <c r="BR111" s="505" t="s">
        <v>513</v>
      </c>
      <c r="CE111" s="516"/>
    </row>
    <row r="112" spans="1:83" ht="11.25" customHeight="1">
      <c r="A112" s="516"/>
      <c r="B112" s="516"/>
      <c r="C112" s="516"/>
      <c r="D112" s="516"/>
      <c r="E112" s="516"/>
      <c r="F112" s="516"/>
      <c r="G112" s="516"/>
      <c r="H112" s="516"/>
      <c r="I112" s="516"/>
      <c r="J112" s="516"/>
      <c r="K112" s="516"/>
      <c r="L112" s="516"/>
      <c r="M112" s="516"/>
      <c r="N112" s="516"/>
      <c r="O112" s="516"/>
      <c r="P112" s="516"/>
      <c r="Q112" s="516"/>
      <c r="R112" s="516"/>
      <c r="S112" s="516"/>
      <c r="T112" s="516"/>
      <c r="U112" s="516"/>
      <c r="V112" s="516"/>
      <c r="W112" s="516"/>
      <c r="X112" s="516"/>
      <c r="Y112" s="516"/>
      <c r="BS112" s="506" t="str">
        <f ca="1">IF(ISERROR(BS108),"",BS108)</f>
        <v/>
      </c>
      <c r="CE112" s="516"/>
    </row>
    <row r="113" spans="1:83" ht="11.25" customHeight="1">
      <c r="A113" s="585"/>
      <c r="B113" s="723" t="s">
        <v>552</v>
      </c>
      <c r="C113" s="723"/>
      <c r="D113" s="723"/>
      <c r="E113" s="723"/>
      <c r="F113" s="723"/>
      <c r="G113" s="723"/>
      <c r="H113" s="723"/>
      <c r="I113" s="723"/>
      <c r="J113" s="723"/>
      <c r="K113" s="723"/>
      <c r="L113" s="723"/>
      <c r="M113" s="723"/>
      <c r="N113" s="723"/>
      <c r="O113" s="723"/>
      <c r="P113" s="723"/>
      <c r="Q113" s="723"/>
      <c r="R113" s="723"/>
      <c r="S113" s="723"/>
      <c r="T113" s="723"/>
      <c r="U113" s="723"/>
      <c r="V113" s="723"/>
      <c r="W113" s="723"/>
      <c r="X113" s="516"/>
      <c r="Y113" s="516"/>
      <c r="BS113" s="506" t="str">
        <f ca="1">IF(ISERROR(BS109),"",BS109)</f>
        <v/>
      </c>
      <c r="CE113" s="516"/>
    </row>
    <row r="114" spans="1:83" ht="11.25" customHeight="1">
      <c r="A114" s="585"/>
      <c r="B114" s="723"/>
      <c r="C114" s="723"/>
      <c r="D114" s="723"/>
      <c r="E114" s="723"/>
      <c r="F114" s="723"/>
      <c r="G114" s="723"/>
      <c r="H114" s="723"/>
      <c r="I114" s="723"/>
      <c r="J114" s="723"/>
      <c r="K114" s="723"/>
      <c r="L114" s="723"/>
      <c r="M114" s="723"/>
      <c r="N114" s="723"/>
      <c r="O114" s="723"/>
      <c r="P114" s="723"/>
      <c r="Q114" s="723"/>
      <c r="R114" s="723"/>
      <c r="S114" s="723"/>
      <c r="T114" s="723"/>
      <c r="U114" s="723"/>
      <c r="V114" s="723"/>
      <c r="W114" s="723"/>
      <c r="X114" s="516"/>
      <c r="Y114" s="516"/>
      <c r="CE114" s="516"/>
    </row>
    <row r="115" spans="1:83" ht="11.25" customHeight="1">
      <c r="A115" s="585"/>
      <c r="B115" s="724" t="s">
        <v>553</v>
      </c>
      <c r="C115" s="724"/>
      <c r="D115" s="724"/>
      <c r="E115" s="724"/>
      <c r="F115" s="724"/>
      <c r="G115" s="724"/>
      <c r="H115" s="724"/>
      <c r="I115" s="724"/>
      <c r="J115" s="724"/>
      <c r="K115" s="724"/>
      <c r="L115" s="724"/>
      <c r="M115" s="724"/>
      <c r="N115" s="724"/>
      <c r="O115" s="724"/>
      <c r="P115" s="724"/>
      <c r="Q115" s="724"/>
      <c r="R115" s="724"/>
      <c r="S115" s="724"/>
      <c r="T115" s="724"/>
      <c r="U115" s="724"/>
      <c r="V115" s="724"/>
      <c r="W115" s="724"/>
      <c r="X115" s="724"/>
      <c r="Y115" s="516"/>
      <c r="CE115" s="516"/>
    </row>
    <row r="116" spans="1:83" ht="11.25" customHeight="1">
      <c r="A116" s="585"/>
      <c r="B116" s="724"/>
      <c r="C116" s="724"/>
      <c r="D116" s="724"/>
      <c r="E116" s="724"/>
      <c r="F116" s="724"/>
      <c r="G116" s="724"/>
      <c r="H116" s="724"/>
      <c r="I116" s="724"/>
      <c r="J116" s="724"/>
      <c r="K116" s="724"/>
      <c r="L116" s="724"/>
      <c r="M116" s="724"/>
      <c r="N116" s="724"/>
      <c r="O116" s="724"/>
      <c r="P116" s="724"/>
      <c r="Q116" s="724"/>
      <c r="R116" s="724"/>
      <c r="S116" s="724"/>
      <c r="T116" s="724"/>
      <c r="U116" s="724"/>
      <c r="V116" s="724"/>
      <c r="W116" s="724"/>
      <c r="X116" s="724"/>
      <c r="Y116" s="516"/>
      <c r="CE116" s="516"/>
    </row>
    <row r="117" spans="1:83" ht="11.25" customHeight="1">
      <c r="A117" s="585"/>
      <c r="B117" s="724"/>
      <c r="C117" s="724"/>
      <c r="D117" s="724"/>
      <c r="E117" s="724"/>
      <c r="F117" s="724"/>
      <c r="G117" s="724"/>
      <c r="H117" s="724"/>
      <c r="I117" s="724"/>
      <c r="J117" s="724"/>
      <c r="K117" s="724"/>
      <c r="L117" s="724"/>
      <c r="M117" s="724"/>
      <c r="N117" s="724"/>
      <c r="O117" s="724"/>
      <c r="P117" s="724"/>
      <c r="Q117" s="724"/>
      <c r="R117" s="724"/>
      <c r="S117" s="724"/>
      <c r="T117" s="724"/>
      <c r="U117" s="724"/>
      <c r="V117" s="724"/>
      <c r="W117" s="724"/>
      <c r="X117" s="724"/>
      <c r="Y117" s="516"/>
      <c r="CE117" s="516"/>
    </row>
    <row r="118" spans="1:83" ht="12.75">
      <c r="A118" s="585"/>
      <c r="B118" s="724"/>
      <c r="C118" s="724"/>
      <c r="D118" s="724"/>
      <c r="E118" s="724"/>
      <c r="F118" s="724"/>
      <c r="G118" s="724"/>
      <c r="H118" s="724"/>
      <c r="I118" s="724"/>
      <c r="J118" s="724"/>
      <c r="K118" s="724"/>
      <c r="L118" s="724"/>
      <c r="M118" s="724"/>
      <c r="N118" s="724"/>
      <c r="O118" s="724"/>
      <c r="P118" s="724"/>
      <c r="Q118" s="724"/>
      <c r="R118" s="724"/>
      <c r="S118" s="724"/>
      <c r="T118" s="724"/>
      <c r="U118" s="724"/>
      <c r="V118" s="724"/>
      <c r="W118" s="724"/>
      <c r="X118" s="724"/>
      <c r="Y118" s="516"/>
      <c r="CE118" s="516"/>
    </row>
    <row r="119" spans="1:83" ht="12.75">
      <c r="A119" s="585"/>
      <c r="B119" s="724"/>
      <c r="C119" s="724"/>
      <c r="D119" s="724"/>
      <c r="E119" s="724"/>
      <c r="F119" s="724"/>
      <c r="G119" s="724"/>
      <c r="H119" s="724"/>
      <c r="I119" s="724"/>
      <c r="J119" s="724"/>
      <c r="K119" s="724"/>
      <c r="L119" s="724"/>
      <c r="M119" s="724"/>
      <c r="N119" s="724"/>
      <c r="O119" s="724"/>
      <c r="P119" s="724"/>
      <c r="Q119" s="724"/>
      <c r="R119" s="724"/>
      <c r="S119" s="724"/>
      <c r="T119" s="724"/>
      <c r="U119" s="724"/>
      <c r="V119" s="724"/>
      <c r="W119" s="724"/>
      <c r="X119" s="724"/>
      <c r="Y119" s="516"/>
      <c r="CE119" s="516"/>
    </row>
    <row r="120" spans="1:83" ht="12.75">
      <c r="A120" s="585"/>
      <c r="B120" s="585"/>
      <c r="C120" s="585"/>
      <c r="D120" s="585"/>
      <c r="E120" s="585"/>
      <c r="F120" s="585"/>
      <c r="G120" s="585"/>
      <c r="H120" s="585"/>
      <c r="I120" s="585"/>
      <c r="J120" s="585"/>
      <c r="K120" s="585"/>
      <c r="L120" s="585"/>
      <c r="M120" s="585"/>
      <c r="N120" s="585"/>
      <c r="O120" s="585"/>
      <c r="P120" s="585"/>
      <c r="Q120" s="585"/>
      <c r="R120" s="585"/>
      <c r="S120" s="585"/>
      <c r="T120" s="585"/>
      <c r="U120" s="585"/>
      <c r="V120" s="585"/>
      <c r="W120" s="585"/>
      <c r="X120" s="585"/>
      <c r="Y120" s="585"/>
      <c r="CE120" s="516"/>
    </row>
    <row r="121" spans="1:83" ht="11.25" customHeight="1">
      <c r="CE121" s="516"/>
    </row>
    <row r="122" spans="1:83" ht="11.25" customHeight="1">
      <c r="CE122" s="516"/>
    </row>
    <row r="123" spans="1:83">
      <c r="CE123" s="516"/>
    </row>
    <row r="124" spans="1:83" ht="11.25" customHeight="1">
      <c r="CE124" s="516"/>
    </row>
    <row r="125" spans="1:83" ht="11.25" customHeight="1">
      <c r="CE125" s="516"/>
    </row>
    <row r="126" spans="1:83">
      <c r="CE126" s="516"/>
    </row>
    <row r="127" spans="1:83" ht="11.25" customHeight="1">
      <c r="CE127" s="516"/>
    </row>
    <row r="128" spans="1:83">
      <c r="CE128" s="516"/>
    </row>
    <row r="133" ht="11.25" customHeight="1"/>
    <row r="136" ht="11.25" customHeight="1"/>
    <row r="137" ht="11.25" customHeight="1"/>
    <row r="138" ht="11.25" customHeight="1"/>
    <row r="140" ht="11.25" customHeight="1"/>
    <row r="142" ht="11.25" customHeight="1"/>
    <row r="143" ht="11.25" customHeight="1"/>
    <row r="145" ht="11.25" customHeight="1"/>
    <row r="146" ht="11.25" customHeight="1"/>
    <row r="151" ht="11.25" customHeight="1"/>
    <row r="152" ht="11.25" customHeight="1"/>
    <row r="162" ht="11.25" customHeight="1"/>
    <row r="169" ht="11.25" customHeight="1"/>
    <row r="171" ht="11.25" customHeight="1"/>
    <row r="175" ht="11.25" customHeight="1"/>
    <row r="178" ht="11.25" customHeight="1"/>
    <row r="184" ht="11.25" customHeight="1"/>
    <row r="185" ht="11.25" customHeight="1"/>
    <row r="188" ht="11.25" customHeight="1"/>
    <row r="190" ht="11.25" customHeight="1"/>
    <row r="193" ht="11.25" customHeight="1"/>
    <row r="194" ht="11.25" customHeight="1"/>
    <row r="197" ht="11.25" customHeight="1"/>
    <row r="204" ht="11.25" customHeight="1"/>
    <row r="207" ht="11.25" customHeight="1"/>
    <row r="209" ht="11.25" customHeight="1"/>
    <row r="215" ht="11.25" customHeight="1"/>
    <row r="218" ht="11.25" customHeight="1"/>
    <row r="222" ht="11.25" customHeight="1"/>
    <row r="224" ht="11.25" customHeight="1"/>
  </sheetData>
  <sheetProtection password="9573" sheet="1" objects="1" scenarios="1" selectLockedCells="1"/>
  <mergeCells count="95">
    <mergeCell ref="B101:X101"/>
    <mergeCell ref="B102:X102"/>
    <mergeCell ref="I100:X100"/>
    <mergeCell ref="AP26:AP28"/>
    <mergeCell ref="AI26:AK28"/>
    <mergeCell ref="AE23:AE28"/>
    <mergeCell ref="AL26:AO28"/>
    <mergeCell ref="AF23:AH28"/>
    <mergeCell ref="Q95:S95"/>
    <mergeCell ref="M91:O91"/>
    <mergeCell ref="M89:O89"/>
    <mergeCell ref="C35:D35"/>
    <mergeCell ref="C36:D36"/>
    <mergeCell ref="C37:D37"/>
    <mergeCell ref="C38:D38"/>
    <mergeCell ref="C39:D39"/>
    <mergeCell ref="M95:O95"/>
    <mergeCell ref="C43:D43"/>
    <mergeCell ref="C44:D44"/>
    <mergeCell ref="C45:D45"/>
    <mergeCell ref="C46:D46"/>
    <mergeCell ref="C78:D78"/>
    <mergeCell ref="C79:D79"/>
    <mergeCell ref="C80:D80"/>
    <mergeCell ref="C73:D73"/>
    <mergeCell ref="C77:D77"/>
    <mergeCell ref="C76:D76"/>
    <mergeCell ref="C75:D75"/>
    <mergeCell ref="C63:D63"/>
    <mergeCell ref="C74:D74"/>
    <mergeCell ref="C57:D57"/>
    <mergeCell ref="C58:D58"/>
    <mergeCell ref="B12:X13"/>
    <mergeCell ref="C29:D29"/>
    <mergeCell ref="C30:D30"/>
    <mergeCell ref="C31:D31"/>
    <mergeCell ref="C32:D32"/>
    <mergeCell ref="M17:X17"/>
    <mergeCell ref="L26:L28"/>
    <mergeCell ref="J26:J28"/>
    <mergeCell ref="K26:K28"/>
    <mergeCell ref="O18:O21"/>
    <mergeCell ref="P18:P21"/>
    <mergeCell ref="Q18:Q21"/>
    <mergeCell ref="M18:M21"/>
    <mergeCell ref="X18:X21"/>
    <mergeCell ref="R18:R21"/>
    <mergeCell ref="S18:S21"/>
    <mergeCell ref="C59:D59"/>
    <mergeCell ref="C61:D61"/>
    <mergeCell ref="C62:D62"/>
    <mergeCell ref="C64:D64"/>
    <mergeCell ref="C60:D60"/>
    <mergeCell ref="C67:D67"/>
    <mergeCell ref="C68:D68"/>
    <mergeCell ref="C71:D71"/>
    <mergeCell ref="C72:D72"/>
    <mergeCell ref="M16:X16"/>
    <mergeCell ref="C47:D47"/>
    <mergeCell ref="C48:D48"/>
    <mergeCell ref="M28:X28"/>
    <mergeCell ref="M26:X26"/>
    <mergeCell ref="J18:K21"/>
    <mergeCell ref="N18:N21"/>
    <mergeCell ref="B16:H19"/>
    <mergeCell ref="M24:X24"/>
    <mergeCell ref="M22:X22"/>
    <mergeCell ref="T18:T21"/>
    <mergeCell ref="U18:U21"/>
    <mergeCell ref="V18:V21"/>
    <mergeCell ref="W18:W21"/>
    <mergeCell ref="C40:D40"/>
    <mergeCell ref="C41:D41"/>
    <mergeCell ref="C52:D52"/>
    <mergeCell ref="C53:D53"/>
    <mergeCell ref="C54:D54"/>
    <mergeCell ref="C56:D56"/>
    <mergeCell ref="B22:F23"/>
    <mergeCell ref="C42:D42"/>
    <mergeCell ref="P10:S10"/>
    <mergeCell ref="B113:W114"/>
    <mergeCell ref="B115:X119"/>
    <mergeCell ref="B11:E11"/>
    <mergeCell ref="C33:D33"/>
    <mergeCell ref="C34:D34"/>
    <mergeCell ref="B26:E27"/>
    <mergeCell ref="G22:H22"/>
    <mergeCell ref="G23:G28"/>
    <mergeCell ref="H23:H28"/>
    <mergeCell ref="C65:D65"/>
    <mergeCell ref="C66:D66"/>
    <mergeCell ref="C49:D49"/>
    <mergeCell ref="C50:D50"/>
    <mergeCell ref="C51:D51"/>
    <mergeCell ref="C55:D55"/>
  </mergeCells>
  <phoneticPr fontId="2" type="noConversion"/>
  <conditionalFormatting sqref="M29:X29">
    <cfRule type="cellIs" dxfId="93" priority="1438" operator="equal">
      <formula>$AC$14</formula>
    </cfRule>
  </conditionalFormatting>
  <conditionalFormatting sqref="M18:X20">
    <cfRule type="expression" dxfId="92" priority="662">
      <formula>AND(ISBLANK(M18),OR(AV22=0,AV23=0))</formula>
    </cfRule>
  </conditionalFormatting>
  <conditionalFormatting sqref="M23">
    <cfRule type="expression" dxfId="91" priority="661">
      <formula>AND(ISBLANK(M23),OR(AV21=0,AV23=0))</formula>
    </cfRule>
  </conditionalFormatting>
  <conditionalFormatting sqref="M25">
    <cfRule type="expression" dxfId="90" priority="660">
      <formula>AND(ISBLANK(M25),OR(AV21=0,AV22=0))</formula>
    </cfRule>
  </conditionalFormatting>
  <conditionalFormatting sqref="N23:X23">
    <cfRule type="expression" dxfId="89" priority="658">
      <formula>AND(ISBLANK(N23),OR(AW21=0,AW23=0))</formula>
    </cfRule>
  </conditionalFormatting>
  <conditionalFormatting sqref="N25:X25">
    <cfRule type="expression" dxfId="88" priority="657">
      <formula>AND(ISBLANK(N25),OR(AW21=0,AW22=0))</formula>
    </cfRule>
  </conditionalFormatting>
  <conditionalFormatting sqref="G29:G68">
    <cfRule type="expression" dxfId="87" priority="649">
      <formula>AE29=TRUE()</formula>
    </cfRule>
  </conditionalFormatting>
  <conditionalFormatting sqref="G71:G80">
    <cfRule type="expression" dxfId="86" priority="648">
      <formula>AND(E71*F71=0,G71=$AC$13)</formula>
    </cfRule>
  </conditionalFormatting>
  <conditionalFormatting sqref="E71:E80">
    <cfRule type="expression" dxfId="85" priority="647">
      <formula>AND(ISNUMBER(F71),ISBLANK(E71))</formula>
    </cfRule>
  </conditionalFormatting>
  <conditionalFormatting sqref="F71:F80">
    <cfRule type="expression" dxfId="84" priority="646">
      <formula>AND(ISNUMBER(E71),ISBLANK(F71))</formula>
    </cfRule>
  </conditionalFormatting>
  <conditionalFormatting sqref="M29:X29 M33:X68 M71:X80">
    <cfRule type="expression" dxfId="83" priority="1370">
      <formula>AND(M29=$AC$14,$AP29=TRUE())</formula>
    </cfRule>
  </conditionalFormatting>
  <conditionalFormatting sqref="H29:H68 H71:H80">
    <cfRule type="expression" dxfId="82" priority="6">
      <formula>$AH$29=TRUE()</formula>
    </cfRule>
    <cfRule type="expression" dxfId="81" priority="1518">
      <formula>AF29=TRUE()</formula>
    </cfRule>
    <cfRule type="expression" dxfId="80" priority="1519">
      <formula>AG29=TRUE()</formula>
    </cfRule>
  </conditionalFormatting>
  <conditionalFormatting sqref="J29:J68 J71:J80">
    <cfRule type="expression" dxfId="79" priority="1532">
      <formula>AI29=TRUE()</formula>
    </cfRule>
    <cfRule type="expression" dxfId="78" priority="1533">
      <formula>AJ29=TRUE()</formula>
    </cfRule>
    <cfRule type="expression" dxfId="77" priority="1534">
      <formula>AK29=TRUE()</formula>
    </cfRule>
  </conditionalFormatting>
  <conditionalFormatting sqref="K29:K68 K71:K80">
    <cfRule type="expression" dxfId="76" priority="401">
      <formula>AO29=TRUE()</formula>
    </cfRule>
    <cfRule type="expression" dxfId="75" priority="403">
      <formula>AN29=TRUE()</formula>
    </cfRule>
    <cfRule type="expression" dxfId="74" priority="1538">
      <formula>AL29=TRUE()</formula>
    </cfRule>
    <cfRule type="expression" dxfId="73" priority="1539">
      <formula>AM29=TRUE()</formula>
    </cfRule>
  </conditionalFormatting>
  <conditionalFormatting sqref="M73:X73">
    <cfRule type="cellIs" dxfId="72" priority="422" operator="equal">
      <formula>$AC$14</formula>
    </cfRule>
  </conditionalFormatting>
  <conditionalFormatting sqref="M30:X30">
    <cfRule type="cellIs" dxfId="71" priority="504" operator="equal">
      <formula>$AC$14</formula>
    </cfRule>
  </conditionalFormatting>
  <conditionalFormatting sqref="M30:X30">
    <cfRule type="expression" dxfId="70" priority="503">
      <formula>AND(M30=$AC$14,$AP30=TRUE())</formula>
    </cfRule>
  </conditionalFormatting>
  <conditionalFormatting sqref="M31:X31">
    <cfRule type="cellIs" dxfId="69" priority="502" operator="equal">
      <formula>$AC$14</formula>
    </cfRule>
  </conditionalFormatting>
  <conditionalFormatting sqref="M31:X31">
    <cfRule type="expression" dxfId="68" priority="501">
      <formula>AND(M31=$AC$14,$AP31=TRUE())</formula>
    </cfRule>
  </conditionalFormatting>
  <conditionalFormatting sqref="M32:X32">
    <cfRule type="cellIs" dxfId="67" priority="500" operator="equal">
      <formula>$AC$14</formula>
    </cfRule>
  </conditionalFormatting>
  <conditionalFormatting sqref="M32:X32">
    <cfRule type="expression" dxfId="66" priority="499">
      <formula>AND(M32=$AC$14,$AP32=TRUE())</formula>
    </cfRule>
  </conditionalFormatting>
  <conditionalFormatting sqref="M33:X33">
    <cfRule type="cellIs" dxfId="65" priority="498" operator="equal">
      <formula>$AC$14</formula>
    </cfRule>
  </conditionalFormatting>
  <conditionalFormatting sqref="M34:X34">
    <cfRule type="cellIs" dxfId="64" priority="496" operator="equal">
      <formula>$AC$14</formula>
    </cfRule>
  </conditionalFormatting>
  <conditionalFormatting sqref="M35:X35">
    <cfRule type="cellIs" dxfId="63" priority="494" operator="equal">
      <formula>$AC$14</formula>
    </cfRule>
  </conditionalFormatting>
  <conditionalFormatting sqref="M36:X36">
    <cfRule type="cellIs" dxfId="62" priority="492" operator="equal">
      <formula>$AC$14</formula>
    </cfRule>
  </conditionalFormatting>
  <conditionalFormatting sqref="M37:X37">
    <cfRule type="cellIs" dxfId="61" priority="490" operator="equal">
      <formula>$AC$14</formula>
    </cfRule>
  </conditionalFormatting>
  <conditionalFormatting sqref="M38:X38">
    <cfRule type="cellIs" dxfId="60" priority="488" operator="equal">
      <formula>$AC$14</formula>
    </cfRule>
  </conditionalFormatting>
  <conditionalFormatting sqref="M39:X39">
    <cfRule type="cellIs" dxfId="59" priority="486" operator="equal">
      <formula>$AC$14</formula>
    </cfRule>
  </conditionalFormatting>
  <conditionalFormatting sqref="M40:X40">
    <cfRule type="cellIs" dxfId="58" priority="484" operator="equal">
      <formula>$AC$14</formula>
    </cfRule>
  </conditionalFormatting>
  <conditionalFormatting sqref="M41:X41">
    <cfRule type="cellIs" dxfId="57" priority="482" operator="equal">
      <formula>$AC$14</formula>
    </cfRule>
  </conditionalFormatting>
  <conditionalFormatting sqref="M42:X42">
    <cfRule type="cellIs" dxfId="56" priority="480" operator="equal">
      <formula>$AC$14</formula>
    </cfRule>
  </conditionalFormatting>
  <conditionalFormatting sqref="M43:X43">
    <cfRule type="cellIs" dxfId="55" priority="478" operator="equal">
      <formula>$AC$14</formula>
    </cfRule>
  </conditionalFormatting>
  <conditionalFormatting sqref="M44:X44">
    <cfRule type="cellIs" dxfId="54" priority="476" operator="equal">
      <formula>$AC$14</formula>
    </cfRule>
  </conditionalFormatting>
  <conditionalFormatting sqref="M45:X45">
    <cfRule type="cellIs" dxfId="53" priority="474" operator="equal">
      <formula>$AC$14</formula>
    </cfRule>
  </conditionalFormatting>
  <conditionalFormatting sqref="M46:X46">
    <cfRule type="cellIs" dxfId="52" priority="472" operator="equal">
      <formula>$AC$14</formula>
    </cfRule>
  </conditionalFormatting>
  <conditionalFormatting sqref="M47:X47">
    <cfRule type="cellIs" dxfId="51" priority="470" operator="equal">
      <formula>$AC$14</formula>
    </cfRule>
  </conditionalFormatting>
  <conditionalFormatting sqref="M48:X48">
    <cfRule type="cellIs" dxfId="50" priority="468" operator="equal">
      <formula>$AC$14</formula>
    </cfRule>
  </conditionalFormatting>
  <conditionalFormatting sqref="M49:X49">
    <cfRule type="cellIs" dxfId="49" priority="466" operator="equal">
      <formula>$AC$14</formula>
    </cfRule>
  </conditionalFormatting>
  <conditionalFormatting sqref="M50:X50">
    <cfRule type="cellIs" dxfId="48" priority="464" operator="equal">
      <formula>$AC$14</formula>
    </cfRule>
  </conditionalFormatting>
  <conditionalFormatting sqref="M51:X51">
    <cfRule type="cellIs" dxfId="47" priority="462" operator="equal">
      <formula>$AC$14</formula>
    </cfRule>
  </conditionalFormatting>
  <conditionalFormatting sqref="M52:X52">
    <cfRule type="cellIs" dxfId="46" priority="460" operator="equal">
      <formula>$AC$14</formula>
    </cfRule>
  </conditionalFormatting>
  <conditionalFormatting sqref="M53:X53">
    <cfRule type="cellIs" dxfId="45" priority="458" operator="equal">
      <formula>$AC$14</formula>
    </cfRule>
  </conditionalFormatting>
  <conditionalFormatting sqref="M54:X54">
    <cfRule type="cellIs" dxfId="44" priority="456" operator="equal">
      <formula>$AC$14</formula>
    </cfRule>
  </conditionalFormatting>
  <conditionalFormatting sqref="M55:X55">
    <cfRule type="cellIs" dxfId="43" priority="454" operator="equal">
      <formula>$AC$14</formula>
    </cfRule>
  </conditionalFormatting>
  <conditionalFormatting sqref="M56:X56">
    <cfRule type="cellIs" dxfId="42" priority="452" operator="equal">
      <formula>$AC$14</formula>
    </cfRule>
  </conditionalFormatting>
  <conditionalFormatting sqref="M57:X57">
    <cfRule type="cellIs" dxfId="41" priority="450" operator="equal">
      <formula>$AC$14</formula>
    </cfRule>
  </conditionalFormatting>
  <conditionalFormatting sqref="M58:X58">
    <cfRule type="cellIs" dxfId="40" priority="448" operator="equal">
      <formula>$AC$14</formula>
    </cfRule>
  </conditionalFormatting>
  <conditionalFormatting sqref="M59:X59">
    <cfRule type="cellIs" dxfId="39" priority="446" operator="equal">
      <formula>$AC$14</formula>
    </cfRule>
  </conditionalFormatting>
  <conditionalFormatting sqref="M60:X60">
    <cfRule type="cellIs" dxfId="38" priority="444" operator="equal">
      <formula>$AC$14</formula>
    </cfRule>
  </conditionalFormatting>
  <conditionalFormatting sqref="M61:X61">
    <cfRule type="cellIs" dxfId="37" priority="442" operator="equal">
      <formula>$AC$14</formula>
    </cfRule>
  </conditionalFormatting>
  <conditionalFormatting sqref="M62:X62">
    <cfRule type="cellIs" dxfId="36" priority="440" operator="equal">
      <formula>$AC$14</formula>
    </cfRule>
  </conditionalFormatting>
  <conditionalFormatting sqref="M63:X63">
    <cfRule type="cellIs" dxfId="35" priority="438" operator="equal">
      <formula>$AC$14</formula>
    </cfRule>
  </conditionalFormatting>
  <conditionalFormatting sqref="M64:X64">
    <cfRule type="cellIs" dxfId="34" priority="436" operator="equal">
      <formula>$AC$14</formula>
    </cfRule>
  </conditionalFormatting>
  <conditionalFormatting sqref="M65:X65">
    <cfRule type="cellIs" dxfId="33" priority="434" operator="equal">
      <formula>$AC$14</formula>
    </cfRule>
  </conditionalFormatting>
  <conditionalFormatting sqref="M66:X66">
    <cfRule type="cellIs" dxfId="32" priority="432" operator="equal">
      <formula>$AC$14</formula>
    </cfRule>
  </conditionalFormatting>
  <conditionalFormatting sqref="M67:X67">
    <cfRule type="cellIs" dxfId="31" priority="430" operator="equal">
      <formula>$AC$14</formula>
    </cfRule>
  </conditionalFormatting>
  <conditionalFormatting sqref="M68:X68">
    <cfRule type="cellIs" dxfId="30" priority="428" operator="equal">
      <formula>$AC$14</formula>
    </cfRule>
  </conditionalFormatting>
  <conditionalFormatting sqref="M71:X71">
    <cfRule type="cellIs" dxfId="29" priority="426" operator="equal">
      <formula>$AC$14</formula>
    </cfRule>
  </conditionalFormatting>
  <conditionalFormatting sqref="M72:X72">
    <cfRule type="cellIs" dxfId="28" priority="424" operator="equal">
      <formula>$AC$14</formula>
    </cfRule>
  </conditionalFormatting>
  <conditionalFormatting sqref="M74:X74">
    <cfRule type="cellIs" dxfId="27" priority="420" operator="equal">
      <formula>$AC$14</formula>
    </cfRule>
  </conditionalFormatting>
  <conditionalFormatting sqref="M75:X75">
    <cfRule type="cellIs" dxfId="26" priority="418" operator="equal">
      <formula>$AC$14</formula>
    </cfRule>
  </conditionalFormatting>
  <conditionalFormatting sqref="M76:X76">
    <cfRule type="cellIs" dxfId="25" priority="416" operator="equal">
      <formula>$AC$14</formula>
    </cfRule>
  </conditionalFormatting>
  <conditionalFormatting sqref="M77:X77">
    <cfRule type="cellIs" dxfId="24" priority="414" operator="equal">
      <formula>$AC$14</formula>
    </cfRule>
  </conditionalFormatting>
  <conditionalFormatting sqref="M78:X78">
    <cfRule type="cellIs" dxfId="23" priority="412" operator="equal">
      <formula>$AC$14</formula>
    </cfRule>
  </conditionalFormatting>
  <conditionalFormatting sqref="M79:X79">
    <cfRule type="cellIs" dxfId="22" priority="410" operator="equal">
      <formula>$AC$14</formula>
    </cfRule>
  </conditionalFormatting>
  <conditionalFormatting sqref="M80:X80">
    <cfRule type="cellIs" dxfId="21" priority="408" operator="equal">
      <formula>$AC$14</formula>
    </cfRule>
  </conditionalFormatting>
  <conditionalFormatting sqref="M21:X21">
    <cfRule type="expression" dxfId="20" priority="1577">
      <formula>AND(ISBLANK(M21),OR(AV25=0,AV27=0))</formula>
    </cfRule>
  </conditionalFormatting>
  <conditionalFormatting sqref="H95:H96">
    <cfRule type="expression" dxfId="19" priority="397">
      <formula>OR(H95=$AC$16,H95=$AC$17)</formula>
    </cfRule>
  </conditionalFormatting>
  <conditionalFormatting sqref="B16:H19">
    <cfRule type="expression" dxfId="18" priority="4">
      <formula>OR($B$16=$BI$87,OR($B$16=$BI$88,$B$16=$BI$89))</formula>
    </cfRule>
    <cfRule type="expression" dxfId="17" priority="12">
      <formula>AND(AND(Zone&gt;3,Zone&lt;6),OR($B$16=$BI$87,$B$16=$BI$88))</formula>
    </cfRule>
    <cfRule type="expression" dxfId="16" priority="13">
      <formula>AND(AND(Zone&gt;=1,Zone&lt;4),$B$16=$BI$87)</formula>
    </cfRule>
    <cfRule type="expression" dxfId="15" priority="3092">
      <formula>AND(Zone=6,B$16&lt;&gt;$BI$87)</formula>
    </cfRule>
    <cfRule type="containsBlanks" dxfId="14" priority="3173">
      <formula>LEN(TRIM(B16))=0</formula>
    </cfRule>
  </conditionalFormatting>
  <conditionalFormatting sqref="E29:F68 B29:C68 E71:F80 B71:C80">
    <cfRule type="expression" dxfId="13" priority="3127">
      <formula>$G29=$AC$13</formula>
    </cfRule>
  </conditionalFormatting>
  <conditionalFormatting sqref="K71:K80">
    <cfRule type="expression" dxfId="12" priority="3131">
      <formula>AND(ISNUMBER(F71),AND(H71=$AC$50,K71=""))</formula>
    </cfRule>
    <cfRule type="expression" dxfId="11" priority="3132">
      <formula>AND(ISNUMBER(K71),OR($H$29=$AC$51,F71=""))</formula>
    </cfRule>
  </conditionalFormatting>
  <conditionalFormatting sqref="B11:E11">
    <cfRule type="cellIs" dxfId="10" priority="9" operator="equal">
      <formula>"Climate zone: Data"</formula>
    </cfRule>
    <cfRule type="cellIs" dxfId="9" priority="10" operator="equal">
      <formula>"Climate zone: Not applicable"</formula>
    </cfRule>
  </conditionalFormatting>
  <conditionalFormatting sqref="M10 P10">
    <cfRule type="containsBlanks" dxfId="8" priority="8">
      <formula>LEN(TRIM(M10))=0</formula>
    </cfRule>
  </conditionalFormatting>
  <conditionalFormatting sqref="M84:X84">
    <cfRule type="expression" dxfId="7" priority="3183">
      <formula>AND(AV24&gt;0,COUNTIF(M29:M68,$AC$14)+COUNTIF(M71:M80,$AC$14)&gt;0)</formula>
    </cfRule>
    <cfRule type="expression" dxfId="6" priority="3184">
      <formula>AND(AV24=3,COUNTIF(M29:M68,$AC$14)+COUNTIF(M71:M80,$AC$14)&gt;0)</formula>
    </cfRule>
  </conditionalFormatting>
  <conditionalFormatting sqref="M83:X83">
    <cfRule type="expression" dxfId="5" priority="3185">
      <formula>AND(AV24&gt;0,COUNTIF(M29:M68,$AC$14)+COUNTIF(M71:M80,$AC$14)&gt;0)</formula>
    </cfRule>
    <cfRule type="expression" dxfId="4" priority="3186">
      <formula>AND(AV24=3,COUNTIF(M29:M68,$AC$14)+COUNTIF(M71:M80,$AC$14)&gt;0)</formula>
    </cfRule>
  </conditionalFormatting>
  <conditionalFormatting sqref="M27:X27">
    <cfRule type="expression" dxfId="3" priority="5">
      <formula>OR($B$16=$BI$87,OR($B$16=$BI$88,$B$16=$BI$89))</formula>
    </cfRule>
  </conditionalFormatting>
  <conditionalFormatting sqref="G88">
    <cfRule type="cellIs" dxfId="2" priority="3" operator="equal">
      <formula>$AC$17</formula>
    </cfRule>
  </conditionalFormatting>
  <conditionalFormatting sqref="BU94">
    <cfRule type="cellIs" dxfId="1" priority="2" operator="notEqual">
      <formula>BU93</formula>
    </cfRule>
  </conditionalFormatting>
  <conditionalFormatting sqref="BV94">
    <cfRule type="cellIs" dxfId="0" priority="1" operator="notEqual">
      <formula>BV93</formula>
    </cfRule>
  </conditionalFormatting>
  <dataValidations count="9">
    <dataValidation type="list" allowBlank="1" showErrorMessage="1" errorTitle="Invalid input" error="Only Yes or No can be selected" sqref="H71:H80">
      <formula1>BC_YN</formula1>
    </dataValidation>
    <dataValidation type="list" allowBlank="1" showErrorMessage="1" errorTitle="Invalid input" error="Only &quot;None&quot; (without a fan or evaporative cooler), &quot;Fan&quot;(with a fan), or &quot;Evap&quot; (with an evaporative cooler) can be used" sqref="M25:X25">
      <formula1>BC_FanEvap</formula1>
    </dataValidation>
    <dataValidation type="list" allowBlank="1" showErrorMessage="1" errorTitle="Invalid input" error="Only nominate if glazing is existing, all other glazing presumed as new." sqref="G29:G68 G71:G80">
      <formula1>$AC$13</formula1>
    </dataValidation>
    <dataValidation type="list" allowBlank="1" showErrorMessage="1" errorTitle="Invalid input" error="Only a &quot;Dot&quot; can be used." sqref="M29:X68 M71:X80">
      <formula1>$AC$14</formula1>
    </dataValidation>
    <dataValidation type="list" allowBlank="1" showErrorMessage="1" errorTitle="Invalid input" error="Only Yes or No can be selected" sqref="H29:H68">
      <formula1>IF(G29=$AC$13,BC_YN,"")</formula1>
    </dataValidation>
    <dataValidation type="list" allowBlank="1" showErrorMessage="1" errorTitle="Invalid input" error="Select from drop-down menu." sqref="B16:H19">
      <formula1>IF(Zone=6,BC_AirMoveSelect_6,BC_AirMoveSelect)</formula1>
    </dataValidation>
    <dataValidation type="decimal" operator="greaterThan" allowBlank="1" showErrorMessage="1" errorTitle="Invalid input" error="Enter a number greater than zero." sqref="M23:X23">
      <formula1>0</formula1>
    </dataValidation>
    <dataValidation type="decimal" operator="lessThanOrEqual" allowBlank="1" showErrorMessage="1" errorTitle="Invalid input" error="Opening width percentage cannot exceed 100%." sqref="K29:K68">
      <formula1>1</formula1>
    </dataValidation>
    <dataValidation type="decimal" operator="lessThanOrEqual" allowBlank="1" showErrorMessage="1" errorTitle="Invalid input" error="Opening percentage cannot exceed 100%." sqref="K71:K80">
      <formula1>1</formula1>
    </dataValidation>
  </dataValidations>
  <printOptions horizontalCentered="1"/>
  <pageMargins left="0.19685039370078741" right="0.19685039370078741" top="0.39370078740157483" bottom="0.39370078740157483" header="0.51181102362204722" footer="0.51181102362204722"/>
  <pageSetup paperSize="9" scale="76"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D93"/>
  <sheetViews>
    <sheetView workbookViewId="0"/>
  </sheetViews>
  <sheetFormatPr defaultRowHeight="12.75"/>
  <cols>
    <col min="1" max="1" width="1.7109375" customWidth="1"/>
    <col min="2" max="2" width="9" customWidth="1"/>
    <col min="3" max="11" width="5.7109375" customWidth="1"/>
    <col min="12" max="12" width="1.7109375" customWidth="1"/>
    <col min="13" max="21" width="5.7109375" customWidth="1"/>
    <col min="22" max="22" width="1.7109375" customWidth="1"/>
    <col min="23" max="31" width="5.7109375" customWidth="1"/>
    <col min="32" max="32" width="1.7109375" customWidth="1"/>
    <col min="33" max="41" width="5.7109375" customWidth="1"/>
    <col min="42" max="42" width="1.7109375" customWidth="1"/>
    <col min="43" max="51" width="5.7109375" customWidth="1"/>
    <col min="52" max="52" width="1.7109375" customWidth="1"/>
    <col min="53" max="61" width="5.7109375" customWidth="1"/>
    <col min="62" max="62" width="1.7109375" customWidth="1"/>
    <col min="63" max="71" width="5.7109375" customWidth="1"/>
    <col min="72" max="72" width="1.7109375" customWidth="1"/>
    <col min="73" max="81" width="5.7109375" customWidth="1"/>
  </cols>
  <sheetData>
    <row r="1" spans="1:81">
      <c r="A1" s="117"/>
      <c r="B1" s="118" t="s">
        <v>0</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c r="BM1" s="117"/>
      <c r="BN1" s="117"/>
      <c r="BO1" s="117"/>
      <c r="BP1" s="117"/>
      <c r="BQ1" s="117"/>
      <c r="BR1" s="117"/>
      <c r="BS1" s="117"/>
      <c r="BT1" s="117"/>
      <c r="BU1" s="117"/>
      <c r="BV1" s="117"/>
      <c r="BW1" s="117"/>
      <c r="BX1" s="117"/>
      <c r="BY1" s="117"/>
      <c r="BZ1" s="117"/>
      <c r="CA1" s="117"/>
      <c r="CB1" s="117"/>
      <c r="CC1" s="117"/>
    </row>
    <row r="2" spans="1:81">
      <c r="A2" s="117"/>
      <c r="B2" s="119" t="s">
        <v>194</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117"/>
      <c r="BE2" s="117"/>
      <c r="BF2" s="117"/>
      <c r="BG2" s="117"/>
      <c r="BH2" s="117"/>
      <c r="BI2" s="117"/>
      <c r="BJ2" s="117"/>
      <c r="BK2" s="117"/>
      <c r="BL2" s="117"/>
      <c r="BM2" s="117"/>
      <c r="BN2" s="117"/>
      <c r="BO2" s="117"/>
      <c r="BP2" s="117"/>
      <c r="BQ2" s="117"/>
      <c r="BR2" s="117"/>
      <c r="BS2" s="117"/>
      <c r="BT2" s="117"/>
      <c r="BU2" s="117"/>
      <c r="BV2" s="117"/>
      <c r="BW2" s="117"/>
      <c r="BX2" s="117"/>
      <c r="BY2" s="117"/>
      <c r="BZ2" s="117"/>
      <c r="CA2" s="117"/>
      <c r="CB2" s="117"/>
      <c r="CC2" s="117"/>
    </row>
    <row r="3" spans="1:81">
      <c r="A3" s="117"/>
      <c r="B3" s="119" t="s">
        <v>195</v>
      </c>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c r="AM3" s="117"/>
      <c r="AN3" s="117"/>
      <c r="AO3" s="117"/>
      <c r="AP3" s="117"/>
      <c r="AQ3" s="117"/>
      <c r="AR3" s="117"/>
      <c r="AS3" s="117"/>
      <c r="AT3" s="117"/>
      <c r="AU3" s="117"/>
      <c r="AV3" s="117"/>
      <c r="AW3" s="117"/>
      <c r="AX3" s="117"/>
      <c r="AY3" s="117"/>
      <c r="AZ3" s="117"/>
      <c r="BA3" s="117"/>
      <c r="BB3" s="117"/>
      <c r="BC3" s="117"/>
      <c r="BD3" s="117"/>
      <c r="BE3" s="117"/>
      <c r="BF3" s="117"/>
      <c r="BG3" s="117"/>
      <c r="BH3" s="117"/>
      <c r="BI3" s="117"/>
      <c r="BJ3" s="117"/>
      <c r="BK3" s="117"/>
      <c r="BL3" s="117"/>
      <c r="BM3" s="117"/>
      <c r="BN3" s="117"/>
      <c r="BO3" s="117"/>
      <c r="BP3" s="117"/>
      <c r="BQ3" s="117"/>
      <c r="BR3" s="117"/>
      <c r="BS3" s="117"/>
      <c r="BT3" s="117"/>
      <c r="BU3" s="117"/>
      <c r="BV3" s="117"/>
      <c r="BW3" s="117"/>
      <c r="BX3" s="117"/>
      <c r="BY3" s="117"/>
      <c r="BZ3" s="117"/>
      <c r="CA3" s="117"/>
      <c r="CB3" s="117"/>
      <c r="CC3" s="117"/>
    </row>
    <row r="4" spans="1:81">
      <c r="A4" s="117"/>
      <c r="B4" s="119" t="s">
        <v>196</v>
      </c>
      <c r="C4" s="117"/>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17"/>
      <c r="AY4" s="117"/>
      <c r="AZ4" s="117"/>
      <c r="BA4" s="117"/>
      <c r="BB4" s="117"/>
      <c r="BC4" s="117"/>
      <c r="BD4" s="117"/>
      <c r="BE4" s="117"/>
      <c r="BF4" s="117"/>
      <c r="BG4" s="117"/>
      <c r="BH4" s="117"/>
      <c r="BI4" s="117"/>
      <c r="BJ4" s="117"/>
      <c r="BK4" s="117"/>
      <c r="BL4" s="117"/>
      <c r="BM4" s="117"/>
      <c r="BN4" s="117"/>
      <c r="BO4" s="117"/>
      <c r="BP4" s="117"/>
      <c r="BQ4" s="117"/>
      <c r="BR4" s="117"/>
      <c r="BS4" s="117"/>
      <c r="BT4" s="117"/>
      <c r="BU4" s="117"/>
      <c r="BV4" s="117"/>
      <c r="BW4" s="117"/>
      <c r="BX4" s="117"/>
      <c r="BY4" s="117"/>
      <c r="BZ4" s="117"/>
      <c r="CA4" s="117"/>
      <c r="CB4" s="117"/>
      <c r="CC4" s="117"/>
    </row>
    <row r="5" spans="1:81">
      <c r="A5" s="117"/>
      <c r="B5" s="119" t="s">
        <v>204</v>
      </c>
      <c r="C5" s="117"/>
      <c r="D5" s="117"/>
      <c r="E5" s="117"/>
      <c r="F5" s="117"/>
      <c r="G5" s="117"/>
      <c r="H5" s="117"/>
      <c r="I5" s="117"/>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c r="AS5" s="117"/>
      <c r="AT5" s="117"/>
      <c r="AU5" s="117"/>
      <c r="AV5" s="117"/>
      <c r="AW5" s="117"/>
      <c r="AX5" s="117"/>
      <c r="AY5" s="117"/>
      <c r="AZ5" s="117"/>
      <c r="BA5" s="117"/>
      <c r="BB5" s="117"/>
      <c r="BC5" s="117"/>
      <c r="BD5" s="117"/>
      <c r="BE5" s="117"/>
      <c r="BF5" s="117"/>
      <c r="BG5" s="117"/>
      <c r="BH5" s="117"/>
      <c r="BI5" s="117"/>
      <c r="BJ5" s="117"/>
      <c r="BK5" s="117"/>
      <c r="BL5" s="117"/>
      <c r="BM5" s="117"/>
      <c r="BN5" s="117"/>
      <c r="BO5" s="117"/>
      <c r="BP5" s="117"/>
      <c r="BQ5" s="117"/>
      <c r="BR5" s="117"/>
      <c r="BS5" s="117"/>
      <c r="BT5" s="117"/>
      <c r="BU5" s="117"/>
      <c r="BV5" s="117"/>
      <c r="BW5" s="117"/>
      <c r="BX5" s="117"/>
      <c r="BY5" s="117"/>
      <c r="BZ5" s="117"/>
      <c r="CA5" s="117"/>
      <c r="CB5" s="117"/>
      <c r="CC5" s="117"/>
    </row>
    <row r="6" spans="1:81">
      <c r="A6" s="117"/>
      <c r="B6" s="117"/>
      <c r="C6" s="117"/>
      <c r="D6" s="117"/>
      <c r="E6" s="117"/>
      <c r="F6" s="117"/>
      <c r="G6" s="117"/>
      <c r="H6" s="117"/>
      <c r="I6" s="117"/>
      <c r="J6" s="117"/>
      <c r="K6" s="117"/>
      <c r="L6" s="117"/>
      <c r="M6" s="117"/>
      <c r="N6" s="117"/>
      <c r="O6" s="117"/>
      <c r="P6" s="117"/>
      <c r="Q6" s="117"/>
      <c r="R6" s="117"/>
      <c r="S6" s="117"/>
      <c r="T6" s="117"/>
      <c r="U6" s="117"/>
      <c r="V6" s="117"/>
      <c r="W6" s="117"/>
      <c r="X6" s="117"/>
      <c r="Y6" s="117"/>
      <c r="Z6" s="117"/>
      <c r="AA6" s="117"/>
      <c r="AB6" s="117"/>
      <c r="AC6" s="117"/>
      <c r="AD6" s="117"/>
      <c r="AE6" s="117"/>
      <c r="AF6" s="117"/>
      <c r="AG6" s="117"/>
      <c r="AH6" s="117"/>
      <c r="AI6" s="117"/>
      <c r="AJ6" s="117"/>
      <c r="AK6" s="117"/>
      <c r="AL6" s="117"/>
      <c r="AM6" s="117"/>
      <c r="AN6" s="117"/>
      <c r="AO6" s="117"/>
      <c r="AP6" s="117"/>
      <c r="AQ6" s="117"/>
      <c r="AR6" s="117"/>
      <c r="AS6" s="117"/>
      <c r="AT6" s="117"/>
      <c r="AU6" s="117"/>
      <c r="AV6" s="117"/>
      <c r="AW6" s="117"/>
      <c r="AX6" s="117"/>
      <c r="AY6" s="117"/>
      <c r="AZ6" s="117"/>
      <c r="BA6" s="117"/>
      <c r="BB6" s="117"/>
      <c r="BC6" s="117"/>
      <c r="BD6" s="117"/>
      <c r="BE6" s="117"/>
      <c r="BF6" s="117"/>
      <c r="BG6" s="117"/>
      <c r="BH6" s="117"/>
      <c r="BI6" s="117"/>
      <c r="BJ6" s="117"/>
      <c r="BK6" s="117"/>
      <c r="BL6" s="117"/>
      <c r="BM6" s="117"/>
      <c r="BN6" s="117"/>
      <c r="BO6" s="117"/>
      <c r="BP6" s="117"/>
      <c r="BQ6" s="117"/>
      <c r="BR6" s="117"/>
      <c r="BS6" s="117"/>
      <c r="BT6" s="117"/>
      <c r="BU6" s="117"/>
      <c r="BV6" s="117"/>
      <c r="BW6" s="117"/>
      <c r="BX6" s="117"/>
      <c r="BY6" s="117"/>
      <c r="BZ6" s="117"/>
      <c r="CA6" s="117"/>
      <c r="CB6" s="117"/>
      <c r="CC6" s="117"/>
    </row>
    <row r="7" spans="1:81">
      <c r="A7" s="117"/>
      <c r="B7" s="117"/>
      <c r="C7" s="117"/>
      <c r="D7" s="117"/>
      <c r="E7" s="117"/>
      <c r="F7" s="117"/>
      <c r="G7" s="117"/>
      <c r="H7" s="117"/>
      <c r="I7" s="117"/>
      <c r="J7" s="117"/>
      <c r="K7" s="117"/>
      <c r="L7" s="117"/>
      <c r="M7" s="117"/>
      <c r="N7" s="117"/>
      <c r="O7" s="117"/>
      <c r="P7" s="117"/>
      <c r="Q7" s="117"/>
      <c r="R7" s="117"/>
      <c r="S7" s="117"/>
      <c r="T7" s="117"/>
      <c r="U7" s="117"/>
      <c r="V7" s="117"/>
      <c r="W7" s="117"/>
      <c r="X7" s="117"/>
      <c r="Y7" s="117"/>
      <c r="Z7" s="117"/>
      <c r="AA7" s="117"/>
      <c r="AB7" s="117"/>
      <c r="AC7" s="117"/>
      <c r="AD7" s="117"/>
      <c r="AE7" s="117"/>
      <c r="AF7" s="117"/>
      <c r="AG7" s="117"/>
      <c r="AH7" s="117"/>
      <c r="AI7" s="117"/>
      <c r="AJ7" s="117"/>
      <c r="AK7" s="117"/>
      <c r="AL7" s="117"/>
      <c r="AM7" s="117"/>
      <c r="AN7" s="117"/>
      <c r="AO7" s="117"/>
      <c r="AP7" s="117"/>
      <c r="AQ7" s="117"/>
      <c r="AR7" s="117"/>
      <c r="AS7" s="117"/>
      <c r="AT7" s="117"/>
      <c r="AU7" s="117"/>
      <c r="AV7" s="117"/>
      <c r="AW7" s="117"/>
      <c r="AX7" s="117"/>
      <c r="AY7" s="117"/>
      <c r="AZ7" s="117"/>
      <c r="BA7" s="117"/>
      <c r="BB7" s="117"/>
      <c r="BC7" s="117"/>
      <c r="BD7" s="117"/>
      <c r="BE7" s="117"/>
      <c r="BF7" s="117"/>
      <c r="BG7" s="117"/>
      <c r="BH7" s="117"/>
      <c r="BI7" s="117"/>
      <c r="BJ7" s="117"/>
      <c r="BK7" s="117"/>
      <c r="BL7" s="117"/>
      <c r="BM7" s="117"/>
      <c r="BN7" s="117"/>
      <c r="BO7" s="117"/>
      <c r="BP7" s="117"/>
      <c r="BQ7" s="117"/>
      <c r="BR7" s="117"/>
      <c r="BS7" s="117"/>
      <c r="BT7" s="117"/>
      <c r="BU7" s="117"/>
      <c r="BV7" s="117"/>
      <c r="BW7" s="117"/>
      <c r="BX7" s="117"/>
      <c r="BY7" s="117"/>
      <c r="BZ7" s="117"/>
      <c r="CA7" s="117"/>
      <c r="CB7" s="117"/>
      <c r="CC7" s="117"/>
    </row>
    <row r="8" spans="1:81">
      <c r="A8" s="117"/>
      <c r="B8" s="117"/>
      <c r="C8" s="117"/>
      <c r="D8" s="117"/>
      <c r="E8" s="117"/>
      <c r="F8" s="117"/>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17"/>
      <c r="AU8" s="117"/>
      <c r="AV8" s="117"/>
      <c r="AW8" s="117"/>
      <c r="AX8" s="117"/>
      <c r="AY8" s="117"/>
      <c r="AZ8" s="117"/>
      <c r="BA8" s="117"/>
      <c r="BB8" s="117"/>
      <c r="BC8" s="117"/>
      <c r="BD8" s="117"/>
      <c r="BE8" s="117"/>
      <c r="BF8" s="117"/>
      <c r="BG8" s="117"/>
      <c r="BH8" s="117"/>
      <c r="BI8" s="117"/>
      <c r="BJ8" s="117"/>
      <c r="BK8" s="117"/>
      <c r="BL8" s="117"/>
      <c r="BM8" s="117"/>
      <c r="BN8" s="117"/>
      <c r="BO8" s="117"/>
      <c r="BP8" s="117"/>
      <c r="BQ8" s="117"/>
      <c r="BR8" s="117"/>
      <c r="BS8" s="117"/>
      <c r="BT8" s="117"/>
      <c r="BU8" s="117"/>
      <c r="BV8" s="117"/>
      <c r="BW8" s="117"/>
      <c r="BX8" s="117"/>
      <c r="BY8" s="117"/>
      <c r="BZ8" s="117"/>
      <c r="CA8" s="117"/>
      <c r="CB8" s="117"/>
      <c r="CC8" s="117"/>
    </row>
    <row r="9" spans="1:81">
      <c r="A9" s="117"/>
      <c r="B9" s="117"/>
      <c r="C9" s="117"/>
      <c r="D9" s="117"/>
      <c r="E9" s="117"/>
      <c r="F9" s="117"/>
      <c r="G9" s="117"/>
      <c r="H9" s="117"/>
      <c r="I9" s="117"/>
      <c r="J9" s="117"/>
      <c r="K9" s="117"/>
      <c r="L9" s="117"/>
      <c r="M9" s="117"/>
      <c r="N9" s="117"/>
      <c r="O9" s="117"/>
      <c r="P9" s="117"/>
      <c r="Q9" s="117"/>
      <c r="R9" s="117"/>
      <c r="S9" s="117"/>
      <c r="T9" s="117"/>
      <c r="U9" s="117"/>
      <c r="V9" s="117"/>
      <c r="W9" s="117"/>
      <c r="X9" s="117"/>
      <c r="Y9" s="117"/>
      <c r="Z9" s="117"/>
      <c r="AA9" s="117"/>
      <c r="AB9" s="117"/>
      <c r="AC9" s="117"/>
      <c r="AD9" s="117"/>
      <c r="AE9" s="117"/>
      <c r="AF9" s="117"/>
      <c r="AG9" s="117"/>
      <c r="AH9" s="117"/>
      <c r="AI9" s="117"/>
      <c r="AJ9" s="117"/>
      <c r="AK9" s="117"/>
      <c r="AL9" s="117"/>
      <c r="AM9" s="117"/>
      <c r="AN9" s="117"/>
      <c r="AO9" s="117"/>
      <c r="AP9" s="117"/>
      <c r="AQ9" s="117"/>
      <c r="AR9" s="117"/>
      <c r="AS9" s="117"/>
      <c r="AT9" s="117"/>
      <c r="AU9" s="117"/>
      <c r="AV9" s="117"/>
      <c r="AW9" s="117"/>
      <c r="AX9" s="117"/>
      <c r="AY9" s="117"/>
      <c r="AZ9" s="117"/>
      <c r="BA9" s="117"/>
      <c r="BB9" s="117"/>
      <c r="BC9" s="117"/>
      <c r="BD9" s="117"/>
      <c r="BE9" s="117"/>
      <c r="BF9" s="117"/>
      <c r="BG9" s="117"/>
      <c r="BH9" s="117"/>
      <c r="BI9" s="117"/>
      <c r="BJ9" s="117"/>
      <c r="BK9" s="117"/>
      <c r="BL9" s="117"/>
      <c r="BM9" s="117"/>
      <c r="BN9" s="117"/>
      <c r="BO9" s="117"/>
      <c r="BP9" s="117"/>
      <c r="BQ9" s="117"/>
      <c r="BR9" s="117"/>
      <c r="BS9" s="117"/>
      <c r="BT9" s="117"/>
      <c r="BU9" s="117"/>
      <c r="BV9" s="117"/>
      <c r="BW9" s="117"/>
      <c r="BX9" s="117"/>
      <c r="BY9" s="117"/>
      <c r="BZ9" s="117"/>
      <c r="CA9" s="117"/>
      <c r="CB9" s="117"/>
      <c r="CC9" s="117"/>
    </row>
    <row r="10" spans="1:81">
      <c r="A10" s="117"/>
      <c r="B10" s="193" t="s">
        <v>57</v>
      </c>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5"/>
      <c r="AU10" s="125"/>
      <c r="AV10" s="125"/>
      <c r="AW10" s="125"/>
      <c r="AX10" s="125"/>
      <c r="AY10" s="125"/>
      <c r="AZ10" s="125"/>
      <c r="BA10" s="125"/>
      <c r="BB10" s="125"/>
      <c r="BC10" s="125"/>
      <c r="BD10" s="125"/>
      <c r="BE10" s="125"/>
      <c r="BF10" s="125"/>
      <c r="BG10" s="125"/>
      <c r="BH10" s="125"/>
      <c r="BI10" s="125"/>
      <c r="BJ10" s="125"/>
      <c r="BK10" s="125"/>
      <c r="BL10" s="125"/>
      <c r="BM10" s="125"/>
      <c r="BN10" s="125"/>
      <c r="BO10" s="125"/>
      <c r="BP10" s="125"/>
      <c r="BQ10" s="125"/>
      <c r="BR10" s="125"/>
      <c r="BS10" s="125"/>
      <c r="BT10" s="125"/>
      <c r="BU10" s="125"/>
      <c r="BV10" s="125"/>
      <c r="BW10" s="125"/>
      <c r="BX10" s="125"/>
      <c r="BY10" s="125"/>
      <c r="BZ10" s="125"/>
      <c r="CA10" s="125"/>
      <c r="CB10" s="125"/>
      <c r="CC10" s="125"/>
    </row>
    <row r="11" spans="1:81">
      <c r="A11" s="117"/>
      <c r="B11" s="128" t="s">
        <v>54</v>
      </c>
      <c r="C11" s="117"/>
      <c r="D11" s="117"/>
      <c r="E11" s="117"/>
      <c r="F11" s="117"/>
      <c r="G11" s="117"/>
      <c r="H11" s="117"/>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117"/>
      <c r="BK11" s="117"/>
      <c r="BL11" s="117"/>
      <c r="BM11" s="117"/>
      <c r="BN11" s="117"/>
      <c r="BO11" s="117"/>
      <c r="BP11" s="117"/>
      <c r="BQ11" s="117"/>
      <c r="BR11" s="117"/>
      <c r="BS11" s="117"/>
      <c r="BT11" s="117"/>
      <c r="BU11" s="117"/>
      <c r="BV11" s="117"/>
      <c r="BW11" s="117"/>
      <c r="BX11" s="117"/>
      <c r="BY11" s="117"/>
      <c r="BZ11" s="117"/>
      <c r="CA11" s="117"/>
      <c r="CB11" s="117"/>
      <c r="CC11" s="117"/>
    </row>
    <row r="12" spans="1:81">
      <c r="A12" s="117"/>
      <c r="B12" s="119" t="s">
        <v>205</v>
      </c>
      <c r="C12" s="117"/>
      <c r="D12" s="117"/>
      <c r="E12" s="117"/>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7"/>
      <c r="AI12" s="117"/>
      <c r="AJ12" s="117"/>
      <c r="AK12" s="117"/>
      <c r="AL12" s="117"/>
      <c r="AM12" s="117"/>
      <c r="AN12" s="117"/>
      <c r="AO12" s="117"/>
      <c r="AP12" s="117"/>
      <c r="AQ12" s="117"/>
      <c r="AR12" s="117"/>
      <c r="AS12" s="117"/>
      <c r="AT12" s="117"/>
      <c r="AU12" s="117"/>
      <c r="AV12" s="117"/>
      <c r="AW12" s="117"/>
      <c r="AX12" s="117"/>
      <c r="AY12" s="117"/>
      <c r="AZ12" s="117"/>
      <c r="BA12" s="117"/>
      <c r="BB12" s="117"/>
      <c r="BC12" s="117"/>
      <c r="BD12" s="117"/>
      <c r="BE12" s="117"/>
      <c r="BF12" s="117"/>
      <c r="BG12" s="117"/>
      <c r="BH12" s="117"/>
      <c r="BI12" s="117"/>
      <c r="BJ12" s="117"/>
      <c r="BK12" s="117"/>
      <c r="BL12" s="117"/>
      <c r="BM12" s="117"/>
      <c r="BN12" s="117"/>
      <c r="BO12" s="117"/>
      <c r="BP12" s="117"/>
      <c r="BQ12" s="117"/>
      <c r="BR12" s="117"/>
      <c r="BS12" s="117"/>
      <c r="BT12" s="117"/>
      <c r="BU12" s="117"/>
      <c r="BV12" s="117"/>
      <c r="BW12" s="117"/>
      <c r="BX12" s="117"/>
      <c r="BY12" s="117"/>
      <c r="BZ12" s="117"/>
      <c r="CA12" s="117"/>
      <c r="CB12" s="117"/>
      <c r="CC12" s="117"/>
    </row>
    <row r="13" spans="1:81">
      <c r="A13" s="117"/>
      <c r="B13" s="119" t="s">
        <v>206</v>
      </c>
      <c r="C13" s="117"/>
      <c r="D13" s="117"/>
      <c r="E13" s="117"/>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c r="AN13" s="117"/>
      <c r="AO13" s="117"/>
      <c r="AP13" s="117"/>
      <c r="AQ13" s="117"/>
      <c r="AR13" s="117"/>
      <c r="AS13" s="117"/>
      <c r="AT13" s="117"/>
      <c r="AU13" s="117"/>
      <c r="AV13" s="117"/>
      <c r="AW13" s="117"/>
      <c r="AX13" s="117"/>
      <c r="AY13" s="117"/>
      <c r="AZ13" s="117"/>
      <c r="BA13" s="117"/>
      <c r="BB13" s="117"/>
      <c r="BC13" s="117"/>
      <c r="BD13" s="117"/>
      <c r="BE13" s="117"/>
      <c r="BF13" s="117"/>
      <c r="BG13" s="117"/>
      <c r="BH13" s="117"/>
      <c r="BI13" s="117"/>
      <c r="BJ13" s="117"/>
      <c r="BK13" s="117"/>
      <c r="BL13" s="117"/>
      <c r="BM13" s="117"/>
      <c r="BN13" s="117"/>
      <c r="BO13" s="117"/>
      <c r="BP13" s="117"/>
      <c r="BQ13" s="117"/>
      <c r="BR13" s="117"/>
      <c r="BS13" s="117"/>
      <c r="BT13" s="117"/>
      <c r="BU13" s="117"/>
      <c r="BV13" s="117"/>
      <c r="BW13" s="117"/>
      <c r="BX13" s="117"/>
      <c r="BY13" s="117"/>
      <c r="BZ13" s="117"/>
      <c r="CA13" s="117"/>
      <c r="CB13" s="117"/>
      <c r="CC13" s="117"/>
    </row>
    <row r="14" spans="1:81">
      <c r="A14" s="117"/>
      <c r="B14" s="117"/>
      <c r="C14" s="117"/>
      <c r="D14" s="117"/>
      <c r="E14" s="117"/>
      <c r="F14" s="117"/>
      <c r="G14" s="117"/>
      <c r="H14" s="11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17"/>
      <c r="AU14" s="117"/>
      <c r="AV14" s="117"/>
      <c r="AW14" s="117"/>
      <c r="AX14" s="117"/>
      <c r="AY14" s="117"/>
      <c r="AZ14" s="117"/>
      <c r="BA14" s="117"/>
      <c r="BB14" s="117"/>
      <c r="BC14" s="117"/>
      <c r="BD14" s="117"/>
      <c r="BE14" s="117"/>
      <c r="BF14" s="117"/>
      <c r="BG14" s="117"/>
      <c r="BH14" s="117"/>
      <c r="BI14" s="117"/>
      <c r="BJ14" s="117"/>
      <c r="BK14" s="117"/>
      <c r="BL14" s="117"/>
      <c r="BM14" s="117"/>
      <c r="BN14" s="117"/>
      <c r="BO14" s="117"/>
      <c r="BP14" s="117"/>
      <c r="BQ14" s="117"/>
      <c r="BR14" s="117"/>
      <c r="BS14" s="117"/>
      <c r="BT14" s="117"/>
      <c r="BU14" s="117"/>
      <c r="BV14" s="117"/>
      <c r="BW14" s="117"/>
      <c r="BX14" s="117"/>
      <c r="BY14" s="117"/>
      <c r="BZ14" s="117"/>
      <c r="CA14" s="117"/>
      <c r="CB14" s="117"/>
      <c r="CC14" s="117"/>
    </row>
    <row r="15" spans="1:81">
      <c r="A15" s="117"/>
      <c r="B15" s="128" t="s">
        <v>58</v>
      </c>
      <c r="C15" s="117"/>
      <c r="D15" s="117"/>
      <c r="E15" s="117"/>
      <c r="F15" s="117"/>
      <c r="G15" s="117"/>
      <c r="H15" s="117"/>
      <c r="I15" s="117"/>
      <c r="J15" s="117"/>
      <c r="K15" s="117"/>
      <c r="L15" s="117"/>
      <c r="M15" s="117"/>
      <c r="N15" s="117"/>
      <c r="O15" s="117"/>
      <c r="P15" s="117"/>
      <c r="Q15" s="117"/>
      <c r="R15" s="117"/>
      <c r="S15" s="117"/>
      <c r="T15" s="117"/>
      <c r="U15" s="117"/>
      <c r="V15" s="117"/>
      <c r="W15" s="117"/>
      <c r="X15" s="117"/>
      <c r="Y15" s="117"/>
      <c r="Z15" s="117"/>
      <c r="AA15" s="117"/>
      <c r="AB15" s="117"/>
      <c r="AC15" s="117"/>
      <c r="AD15" s="117"/>
      <c r="AE15" s="117"/>
      <c r="AF15" s="117"/>
      <c r="AG15" s="117"/>
      <c r="AH15" s="117"/>
      <c r="AI15" s="117"/>
      <c r="AJ15" s="117"/>
      <c r="AK15" s="117"/>
      <c r="AL15" s="117"/>
      <c r="AM15" s="117"/>
      <c r="AN15" s="117"/>
      <c r="AO15" s="117"/>
      <c r="AP15" s="117"/>
      <c r="AR15" s="117"/>
      <c r="AS15" s="117"/>
      <c r="AT15" s="117"/>
      <c r="AU15" s="117"/>
      <c r="AV15" s="117"/>
      <c r="AW15" s="117"/>
      <c r="AX15" s="117"/>
      <c r="AY15" s="117"/>
      <c r="AZ15" s="117"/>
      <c r="BA15" s="117"/>
      <c r="BB15" s="117"/>
      <c r="BC15" s="117"/>
      <c r="BD15" s="117"/>
      <c r="BE15" s="117"/>
      <c r="BF15" s="117"/>
      <c r="BG15" s="117"/>
      <c r="BH15" s="117"/>
      <c r="BI15" s="117"/>
      <c r="BJ15" s="117"/>
      <c r="BK15" s="117"/>
      <c r="BL15" s="117"/>
      <c r="BM15" s="117"/>
      <c r="BN15" s="117"/>
      <c r="BO15" s="117"/>
      <c r="BP15" s="117"/>
      <c r="BQ15" s="117"/>
      <c r="BR15" s="117"/>
      <c r="BS15" s="117"/>
      <c r="BT15" s="117"/>
      <c r="BU15" s="117"/>
      <c r="BV15" s="117"/>
      <c r="BW15" s="117"/>
      <c r="BX15" s="117"/>
      <c r="BY15" s="117"/>
      <c r="BZ15" s="117"/>
      <c r="CA15" s="117"/>
      <c r="CB15" s="117"/>
      <c r="CC15" s="117"/>
    </row>
    <row r="16" spans="1:81">
      <c r="A16" s="117"/>
      <c r="B16" s="117"/>
      <c r="C16" s="129" t="s">
        <v>62</v>
      </c>
      <c r="D16" s="130">
        <v>1</v>
      </c>
      <c r="E16" s="130">
        <v>2</v>
      </c>
      <c r="F16" s="130">
        <v>3</v>
      </c>
      <c r="G16" s="130">
        <v>4</v>
      </c>
      <c r="H16" s="130">
        <v>5</v>
      </c>
      <c r="I16" s="130">
        <v>6</v>
      </c>
      <c r="J16" s="130">
        <v>7</v>
      </c>
      <c r="K16" s="130">
        <v>8</v>
      </c>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7"/>
      <c r="AI16" s="117"/>
      <c r="AJ16" s="117"/>
      <c r="AK16" s="117"/>
      <c r="AL16" s="117"/>
      <c r="AM16" s="117"/>
      <c r="AN16" s="117"/>
      <c r="AO16" s="117"/>
      <c r="AP16" s="117"/>
      <c r="AR16" s="117"/>
      <c r="AS16" s="117"/>
      <c r="AT16" s="117"/>
      <c r="AU16" s="117"/>
      <c r="AV16" s="117"/>
      <c r="AW16" s="117"/>
      <c r="AX16" s="117"/>
      <c r="AY16" s="117"/>
      <c r="AZ16" s="117"/>
      <c r="BA16" s="117"/>
      <c r="BB16" s="117"/>
      <c r="BC16" s="117"/>
      <c r="BD16" s="117"/>
      <c r="BE16" s="117"/>
      <c r="BF16" s="117"/>
      <c r="BG16" s="117"/>
      <c r="BH16" s="117"/>
      <c r="BI16" s="117"/>
      <c r="BJ16" s="117"/>
      <c r="BK16" s="117"/>
      <c r="BL16" s="117"/>
      <c r="BM16" s="117"/>
      <c r="BN16" s="117"/>
      <c r="BO16" s="117"/>
      <c r="BP16" s="117"/>
      <c r="BQ16" s="117"/>
      <c r="BR16" s="117"/>
      <c r="BS16" s="117"/>
      <c r="BT16" s="117"/>
      <c r="BU16" s="117"/>
      <c r="BV16" s="117"/>
      <c r="BW16" s="117"/>
      <c r="BX16" s="117"/>
      <c r="BY16" s="117"/>
      <c r="BZ16" s="117"/>
      <c r="CA16" s="117"/>
      <c r="CB16" s="117"/>
      <c r="CC16" s="117"/>
    </row>
    <row r="17" spans="1:81" ht="15.75">
      <c r="A17" s="117"/>
      <c r="B17" s="131" t="s">
        <v>59</v>
      </c>
      <c r="C17" s="132" t="s">
        <v>55</v>
      </c>
      <c r="D17" s="338">
        <v>1.65</v>
      </c>
      <c r="E17" s="339">
        <v>18.387</v>
      </c>
      <c r="F17" s="339">
        <v>14.641</v>
      </c>
      <c r="G17" s="339">
        <v>7.9290000000000003</v>
      </c>
      <c r="H17" s="339">
        <v>13.464</v>
      </c>
      <c r="I17" s="339">
        <v>6.4180000000000001</v>
      </c>
      <c r="J17" s="339">
        <v>5.4859999999999998</v>
      </c>
      <c r="K17" s="340">
        <v>3.9870000000000001</v>
      </c>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R17" s="117"/>
      <c r="AS17" s="117"/>
      <c r="AT17" s="117"/>
      <c r="AU17" s="117"/>
      <c r="AV17" s="117"/>
      <c r="AW17" s="117"/>
      <c r="AX17" s="117"/>
      <c r="AY17" s="117"/>
      <c r="AZ17" s="117"/>
      <c r="BA17" s="117"/>
      <c r="BB17" s="117"/>
      <c r="BC17" s="117"/>
      <c r="BD17" s="117"/>
      <c r="BE17" s="117"/>
      <c r="BF17" s="117"/>
      <c r="BG17" s="117"/>
      <c r="BH17" s="117"/>
      <c r="BI17" s="117"/>
      <c r="BJ17" s="117"/>
      <c r="BK17" s="117"/>
      <c r="BL17" s="117"/>
      <c r="BM17" s="117"/>
      <c r="BN17" s="117"/>
      <c r="BO17" s="117"/>
      <c r="BP17" s="117"/>
      <c r="BQ17" s="117"/>
      <c r="BR17" s="117"/>
      <c r="BS17" s="117"/>
      <c r="BT17" s="117"/>
      <c r="BU17" s="117"/>
      <c r="BV17" s="117"/>
      <c r="BW17" s="117"/>
      <c r="BX17" s="117"/>
      <c r="BY17" s="117"/>
      <c r="BZ17" s="117"/>
      <c r="CA17" s="117"/>
      <c r="CB17" s="117"/>
      <c r="CC17" s="117"/>
    </row>
    <row r="18" spans="1:81" ht="15.75">
      <c r="A18" s="117"/>
      <c r="B18" s="133"/>
      <c r="C18" s="134" t="s">
        <v>56</v>
      </c>
      <c r="D18" s="341">
        <v>6.3E-2</v>
      </c>
      <c r="E18" s="342">
        <v>7.3999999999999996E-2</v>
      </c>
      <c r="F18" s="342">
        <v>6.2E-2</v>
      </c>
      <c r="G18" s="342">
        <v>9.7000000000000003E-2</v>
      </c>
      <c r="H18" s="342">
        <v>0.122</v>
      </c>
      <c r="I18" s="342">
        <v>0.153</v>
      </c>
      <c r="J18" s="342">
        <v>0.189</v>
      </c>
      <c r="K18" s="343">
        <v>0.23400000000000001</v>
      </c>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R18" s="117"/>
      <c r="AS18" s="117"/>
      <c r="AT18" s="117"/>
      <c r="AU18" s="117"/>
      <c r="AV18" s="117"/>
      <c r="AW18" s="117"/>
      <c r="AX18" s="117"/>
      <c r="AY18" s="117"/>
      <c r="AZ18" s="117"/>
      <c r="BA18" s="117"/>
      <c r="BB18" s="117"/>
      <c r="BC18" s="117"/>
      <c r="BD18" s="117"/>
      <c r="BE18" s="117"/>
      <c r="BF18" s="117"/>
      <c r="BG18" s="117"/>
      <c r="BH18" s="117"/>
      <c r="BI18" s="117"/>
      <c r="BJ18" s="117"/>
      <c r="BK18" s="117"/>
      <c r="BL18" s="117"/>
      <c r="BM18" s="117"/>
      <c r="BN18" s="117"/>
      <c r="BO18" s="117"/>
      <c r="BP18" s="117"/>
      <c r="BQ18" s="117"/>
      <c r="BR18" s="117"/>
      <c r="BS18" s="117"/>
      <c r="BT18" s="117"/>
      <c r="BU18" s="117"/>
      <c r="BV18" s="117"/>
      <c r="BW18" s="117"/>
      <c r="BX18" s="117"/>
      <c r="BY18" s="117"/>
      <c r="BZ18" s="117"/>
      <c r="CA18" s="117"/>
      <c r="CB18" s="117"/>
      <c r="CC18" s="117"/>
    </row>
    <row r="19" spans="1:81" ht="15.75">
      <c r="A19" s="117"/>
      <c r="B19" s="135" t="s">
        <v>60</v>
      </c>
      <c r="C19" s="136" t="s">
        <v>55</v>
      </c>
      <c r="D19" s="344">
        <v>1.65</v>
      </c>
      <c r="E19" s="345">
        <v>18.387</v>
      </c>
      <c r="F19" s="345">
        <v>14.641</v>
      </c>
      <c r="G19" s="345">
        <v>7.9290000000000003</v>
      </c>
      <c r="H19" s="345">
        <v>13.464</v>
      </c>
      <c r="I19" s="345">
        <v>6.4180000000000001</v>
      </c>
      <c r="J19" s="345">
        <v>5.4859999999999998</v>
      </c>
      <c r="K19" s="346">
        <v>3.9870000000000001</v>
      </c>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c r="BC19" s="117"/>
      <c r="BD19" s="117"/>
      <c r="BE19" s="117"/>
      <c r="BF19" s="117"/>
      <c r="BG19" s="117"/>
      <c r="BH19" s="117"/>
      <c r="BI19" s="117"/>
      <c r="BJ19" s="117"/>
      <c r="BK19" s="117"/>
      <c r="BL19" s="117"/>
      <c r="BM19" s="117"/>
      <c r="BN19" s="117"/>
      <c r="BO19" s="117"/>
      <c r="BP19" s="117"/>
      <c r="BQ19" s="117"/>
      <c r="BR19" s="117"/>
      <c r="BS19" s="117"/>
      <c r="BT19" s="117"/>
      <c r="BU19" s="117"/>
      <c r="BV19" s="117"/>
      <c r="BW19" s="117"/>
      <c r="BX19" s="117"/>
      <c r="BY19" s="117"/>
      <c r="BZ19" s="117"/>
      <c r="CA19" s="117"/>
      <c r="CB19" s="117"/>
      <c r="CC19" s="117"/>
    </row>
    <row r="20" spans="1:81" ht="15.75">
      <c r="A20" s="117"/>
      <c r="B20" s="133"/>
      <c r="C20" s="134" t="s">
        <v>56</v>
      </c>
      <c r="D20" s="347">
        <v>6.9000000000000006E-2</v>
      </c>
      <c r="E20" s="348">
        <v>8.1000000000000003E-2</v>
      </c>
      <c r="F20" s="348">
        <v>6.8000000000000005E-2</v>
      </c>
      <c r="G20" s="348">
        <v>0.107</v>
      </c>
      <c r="H20" s="348">
        <v>0.13400000000000001</v>
      </c>
      <c r="I20" s="348">
        <v>0.16800000000000001</v>
      </c>
      <c r="J20" s="348">
        <v>0.20799999999999999</v>
      </c>
      <c r="K20" s="349">
        <v>0.25700000000000001</v>
      </c>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c r="AI20" s="117"/>
      <c r="AJ20" s="117"/>
      <c r="AK20" s="117"/>
      <c r="AL20" s="117"/>
      <c r="AM20" s="117"/>
      <c r="AN20" s="117"/>
      <c r="AO20" s="117"/>
      <c r="AP20" s="117"/>
      <c r="AQ20" s="117"/>
      <c r="AR20" s="117"/>
      <c r="AS20" s="117"/>
      <c r="AT20" s="117"/>
      <c r="AU20" s="117"/>
      <c r="AV20" s="117"/>
      <c r="AW20" s="117"/>
      <c r="AX20" s="117"/>
      <c r="AY20" s="117"/>
      <c r="AZ20" s="117"/>
      <c r="BA20" s="117"/>
      <c r="BB20" s="117"/>
      <c r="BC20" s="117"/>
      <c r="BD20" s="117"/>
      <c r="BE20" s="117"/>
      <c r="BF20" s="117"/>
      <c r="BG20" s="117"/>
      <c r="BH20" s="117"/>
      <c r="BI20" s="117"/>
      <c r="BJ20" s="117"/>
      <c r="BK20" s="117"/>
      <c r="BL20" s="117"/>
      <c r="BM20" s="117"/>
      <c r="BN20" s="117"/>
      <c r="BO20" s="117"/>
      <c r="BP20" s="117"/>
      <c r="BQ20" s="117"/>
      <c r="BR20" s="117"/>
      <c r="BS20" s="117"/>
      <c r="BT20" s="117"/>
      <c r="BU20" s="117"/>
      <c r="BV20" s="117"/>
      <c r="BW20" s="117"/>
      <c r="BX20" s="117"/>
      <c r="BY20" s="117"/>
      <c r="BZ20" s="117"/>
      <c r="CA20" s="117"/>
      <c r="CB20" s="117"/>
      <c r="CC20" s="117"/>
    </row>
    <row r="21" spans="1:81">
      <c r="A21" s="117"/>
      <c r="B21" s="126"/>
      <c r="C21" s="126"/>
      <c r="D21" s="137" t="s">
        <v>108</v>
      </c>
      <c r="E21" s="126"/>
      <c r="F21" s="126"/>
      <c r="G21" s="126"/>
      <c r="H21" s="126"/>
      <c r="I21" s="126"/>
      <c r="J21" s="126"/>
      <c r="K21" s="126"/>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117"/>
      <c r="AS21" s="117"/>
      <c r="AT21" s="117"/>
      <c r="AU21" s="117"/>
      <c r="AV21" s="117"/>
      <c r="AW21" s="117"/>
      <c r="AX21" s="117"/>
      <c r="AY21" s="117"/>
      <c r="AZ21" s="117"/>
      <c r="BA21" s="117"/>
      <c r="BB21" s="117"/>
      <c r="BC21" s="117"/>
      <c r="BD21" s="117"/>
      <c r="BE21" s="117"/>
      <c r="BF21" s="117"/>
      <c r="BG21" s="117"/>
      <c r="BH21" s="117"/>
      <c r="BI21" s="117"/>
      <c r="BJ21" s="117"/>
      <c r="BK21" s="117"/>
      <c r="BL21" s="117"/>
      <c r="BM21" s="117"/>
      <c r="BN21" s="117"/>
      <c r="BO21" s="117"/>
      <c r="BP21" s="117"/>
      <c r="BQ21" s="117"/>
      <c r="BR21" s="117"/>
      <c r="BS21" s="117"/>
      <c r="BT21" s="117"/>
      <c r="BU21" s="117"/>
      <c r="BV21" s="117"/>
      <c r="BW21" s="117"/>
      <c r="BX21" s="117"/>
      <c r="BY21" s="117"/>
      <c r="BZ21" s="117"/>
      <c r="CA21" s="117"/>
      <c r="CB21" s="117"/>
      <c r="CC21" s="117"/>
    </row>
    <row r="22" spans="1:81">
      <c r="A22" s="117"/>
      <c r="B22" s="126"/>
      <c r="C22" s="126"/>
      <c r="D22" s="126"/>
      <c r="E22" s="126"/>
      <c r="F22" s="126"/>
      <c r="G22" s="126"/>
      <c r="H22" s="126"/>
      <c r="I22" s="126"/>
      <c r="J22" s="126"/>
      <c r="K22" s="126"/>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7"/>
      <c r="BA22" s="117"/>
      <c r="BB22" s="117"/>
      <c r="BC22" s="117"/>
      <c r="BD22" s="117"/>
      <c r="BE22" s="117"/>
      <c r="BF22" s="117"/>
      <c r="BG22" s="117"/>
      <c r="BH22" s="117"/>
      <c r="BI22" s="117"/>
      <c r="BJ22" s="117"/>
      <c r="BK22" s="117"/>
      <c r="BL22" s="117"/>
      <c r="BM22" s="117"/>
      <c r="BN22" s="117"/>
      <c r="BO22" s="117"/>
      <c r="BP22" s="117"/>
      <c r="BQ22" s="117"/>
      <c r="BR22" s="117"/>
      <c r="BS22" s="117"/>
      <c r="BT22" s="117"/>
      <c r="BU22" s="117"/>
      <c r="BV22" s="117"/>
      <c r="BW22" s="117"/>
      <c r="BX22" s="117"/>
      <c r="BY22" s="117"/>
      <c r="BZ22" s="117"/>
      <c r="CA22" s="117"/>
      <c r="CB22" s="117"/>
      <c r="CC22" s="117"/>
    </row>
    <row r="23" spans="1:81">
      <c r="A23" s="117"/>
      <c r="B23" s="128" t="s">
        <v>61</v>
      </c>
      <c r="C23" s="126"/>
      <c r="D23" s="126"/>
      <c r="E23" s="126"/>
      <c r="F23" s="126"/>
      <c r="G23" s="126"/>
      <c r="H23" s="126"/>
      <c r="I23" s="126"/>
      <c r="J23" s="126"/>
      <c r="K23" s="126"/>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7"/>
      <c r="BB23" s="117"/>
      <c r="BC23" s="117"/>
      <c r="BD23" s="117"/>
      <c r="BE23" s="117"/>
      <c r="BF23" s="117"/>
      <c r="BG23" s="117"/>
      <c r="BH23" s="117"/>
      <c r="BI23" s="117"/>
      <c r="BJ23" s="117"/>
      <c r="BK23" s="117"/>
      <c r="BL23" s="117"/>
      <c r="BM23" s="117"/>
      <c r="BN23" s="117"/>
      <c r="BO23" s="117"/>
      <c r="BP23" s="117"/>
      <c r="BQ23" s="117"/>
      <c r="BR23" s="117"/>
      <c r="BS23" s="117"/>
      <c r="BT23" s="117"/>
      <c r="BU23" s="117"/>
      <c r="BV23" s="117"/>
      <c r="BW23" s="117"/>
      <c r="BX23" s="117"/>
      <c r="BY23" s="117"/>
      <c r="BZ23" s="117"/>
      <c r="CA23" s="117"/>
      <c r="CB23" s="117"/>
      <c r="CC23" s="117"/>
    </row>
    <row r="24" spans="1:81">
      <c r="A24" s="117"/>
      <c r="B24" s="117"/>
      <c r="C24" s="129" t="s">
        <v>62</v>
      </c>
      <c r="D24" s="130">
        <v>1</v>
      </c>
      <c r="E24" s="130">
        <v>2</v>
      </c>
      <c r="F24" s="130">
        <v>3</v>
      </c>
      <c r="G24" s="130">
        <v>4</v>
      </c>
      <c r="H24" s="130">
        <v>5</v>
      </c>
      <c r="I24" s="130">
        <v>6</v>
      </c>
      <c r="J24" s="130">
        <v>7</v>
      </c>
      <c r="K24" s="130">
        <v>8</v>
      </c>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7"/>
      <c r="AI24" s="117"/>
      <c r="AJ24" s="117"/>
      <c r="AK24" s="117"/>
      <c r="AL24" s="117"/>
      <c r="AM24" s="117"/>
      <c r="AN24" s="117"/>
      <c r="AO24" s="117"/>
      <c r="AP24" s="117"/>
      <c r="AQ24" s="117"/>
      <c r="AR24" s="117"/>
      <c r="AS24" s="117"/>
      <c r="AT24" s="117"/>
      <c r="AU24" s="117"/>
      <c r="AV24" s="117"/>
      <c r="AW24" s="117"/>
      <c r="AX24" s="117"/>
      <c r="AY24" s="117"/>
      <c r="AZ24" s="117"/>
      <c r="BA24" s="117"/>
      <c r="BB24" s="117"/>
      <c r="BC24" s="117"/>
      <c r="BD24" s="117"/>
      <c r="BE24" s="117"/>
      <c r="BF24" s="117"/>
      <c r="BG24" s="117"/>
      <c r="BH24" s="117"/>
      <c r="BI24" s="117"/>
      <c r="BJ24" s="117"/>
      <c r="BK24" s="117"/>
      <c r="BL24" s="117"/>
      <c r="BM24" s="117"/>
      <c r="BN24" s="117"/>
      <c r="BO24" s="117"/>
      <c r="BP24" s="117"/>
      <c r="BQ24" s="117"/>
      <c r="BR24" s="117"/>
      <c r="BS24" s="117"/>
      <c r="BT24" s="117"/>
      <c r="BU24" s="117"/>
      <c r="BV24" s="117"/>
      <c r="BW24" s="117"/>
      <c r="BX24" s="117"/>
      <c r="BY24" s="117"/>
      <c r="BZ24" s="117"/>
      <c r="CA24" s="117"/>
      <c r="CB24" s="117"/>
      <c r="CC24" s="117"/>
    </row>
    <row r="25" spans="1:81" ht="15.75">
      <c r="A25" s="117"/>
      <c r="B25" s="131" t="s">
        <v>59</v>
      </c>
      <c r="C25" s="132" t="s">
        <v>55</v>
      </c>
      <c r="D25" s="350">
        <v>1.4850000000000001</v>
      </c>
      <c r="E25" s="351">
        <v>16.547999999999998</v>
      </c>
      <c r="F25" s="351">
        <v>13.177</v>
      </c>
      <c r="G25" s="351">
        <v>7.1360000000000001</v>
      </c>
      <c r="H25" s="351">
        <v>12.118</v>
      </c>
      <c r="I25" s="351">
        <v>5.7759999999999998</v>
      </c>
      <c r="J25" s="351">
        <v>4.9370000000000003</v>
      </c>
      <c r="K25" s="352">
        <v>3.5880000000000001</v>
      </c>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c r="BK25" s="117"/>
      <c r="BL25" s="117"/>
      <c r="BM25" s="117"/>
      <c r="BN25" s="117"/>
      <c r="BO25" s="117"/>
      <c r="BP25" s="117"/>
      <c r="BQ25" s="117"/>
      <c r="BR25" s="117"/>
      <c r="BS25" s="117"/>
      <c r="BT25" s="117"/>
      <c r="BU25" s="117"/>
      <c r="BV25" s="117"/>
      <c r="BW25" s="117"/>
      <c r="BX25" s="117"/>
      <c r="BY25" s="117"/>
      <c r="BZ25" s="117"/>
      <c r="CA25" s="117"/>
      <c r="CB25" s="117"/>
      <c r="CC25" s="117"/>
    </row>
    <row r="26" spans="1:81" ht="15.75">
      <c r="A26" s="117"/>
      <c r="B26" s="133"/>
      <c r="C26" s="134" t="s">
        <v>56</v>
      </c>
      <c r="D26" s="353">
        <v>5.7000000000000002E-2</v>
      </c>
      <c r="E26" s="354">
        <v>6.7000000000000004E-2</v>
      </c>
      <c r="F26" s="354">
        <v>5.6000000000000001E-2</v>
      </c>
      <c r="G26" s="354">
        <v>8.6999999999999994E-2</v>
      </c>
      <c r="H26" s="354">
        <v>0.11</v>
      </c>
      <c r="I26" s="354">
        <v>0.13800000000000001</v>
      </c>
      <c r="J26" s="354">
        <v>0.17</v>
      </c>
      <c r="K26" s="355">
        <v>0.21099999999999999</v>
      </c>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7"/>
      <c r="AM26" s="117"/>
      <c r="AN26" s="117"/>
      <c r="AO26" s="117"/>
      <c r="AP26" s="117"/>
      <c r="AQ26" s="117"/>
      <c r="AR26" s="117"/>
      <c r="AS26" s="117"/>
      <c r="AT26" s="117"/>
      <c r="AU26" s="117"/>
      <c r="AV26" s="117"/>
      <c r="AW26" s="117"/>
      <c r="AX26" s="117"/>
      <c r="AY26" s="117"/>
      <c r="AZ26" s="117"/>
      <c r="BA26" s="117"/>
      <c r="BB26" s="117"/>
      <c r="BC26" s="117"/>
      <c r="BD26" s="117"/>
      <c r="BE26" s="117"/>
      <c r="BF26" s="117"/>
      <c r="BG26" s="117"/>
      <c r="BH26" s="117"/>
      <c r="BI26" s="117"/>
      <c r="BJ26" s="117"/>
      <c r="BK26" s="117"/>
      <c r="BL26" s="117"/>
      <c r="BM26" s="117"/>
      <c r="BN26" s="117"/>
      <c r="BO26" s="117"/>
      <c r="BP26" s="117"/>
      <c r="BQ26" s="117"/>
      <c r="BR26" s="117"/>
      <c r="BS26" s="117"/>
      <c r="BT26" s="117"/>
      <c r="BU26" s="117"/>
      <c r="BV26" s="117"/>
      <c r="BW26" s="117"/>
      <c r="BX26" s="117"/>
      <c r="BY26" s="117"/>
      <c r="BZ26" s="117"/>
      <c r="CA26" s="117"/>
      <c r="CB26" s="117"/>
      <c r="CC26" s="117"/>
    </row>
    <row r="27" spans="1:81" ht="15.75">
      <c r="A27" s="117"/>
      <c r="B27" s="135" t="s">
        <v>60</v>
      </c>
      <c r="C27" s="136" t="s">
        <v>55</v>
      </c>
      <c r="D27" s="356">
        <v>1.4850000000000001</v>
      </c>
      <c r="E27" s="357">
        <v>16.547999999999998</v>
      </c>
      <c r="F27" s="357">
        <v>13.177</v>
      </c>
      <c r="G27" s="357">
        <v>7.1360000000000001</v>
      </c>
      <c r="H27" s="357">
        <v>12.118</v>
      </c>
      <c r="I27" s="357">
        <v>5.7759999999999998</v>
      </c>
      <c r="J27" s="357">
        <v>4.9370000000000003</v>
      </c>
      <c r="K27" s="358">
        <v>3.5880000000000001</v>
      </c>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c r="BE27" s="117"/>
      <c r="BF27" s="117"/>
      <c r="BG27" s="117"/>
      <c r="BH27" s="117"/>
      <c r="BI27" s="117"/>
      <c r="BJ27" s="117"/>
      <c r="BK27" s="117"/>
      <c r="BL27" s="117"/>
      <c r="BM27" s="117"/>
      <c r="BN27" s="117"/>
      <c r="BO27" s="117"/>
      <c r="BP27" s="117"/>
      <c r="BQ27" s="117"/>
      <c r="BR27" s="117"/>
      <c r="BS27" s="117"/>
      <c r="BT27" s="117"/>
      <c r="BU27" s="117"/>
      <c r="BV27" s="117"/>
      <c r="BW27" s="117"/>
      <c r="BX27" s="117"/>
      <c r="BY27" s="117"/>
      <c r="BZ27" s="117"/>
      <c r="CA27" s="117"/>
      <c r="CB27" s="117"/>
      <c r="CC27" s="117"/>
    </row>
    <row r="28" spans="1:81" ht="15.75">
      <c r="A28" s="117"/>
      <c r="B28" s="133"/>
      <c r="C28" s="134" t="s">
        <v>56</v>
      </c>
      <c r="D28" s="359">
        <v>6.3E-2</v>
      </c>
      <c r="E28" s="360">
        <v>7.3999999999999996E-2</v>
      </c>
      <c r="F28" s="360">
        <v>6.2E-2</v>
      </c>
      <c r="G28" s="360">
        <v>9.6000000000000002E-2</v>
      </c>
      <c r="H28" s="360">
        <v>0.121</v>
      </c>
      <c r="I28" s="360">
        <v>0.152</v>
      </c>
      <c r="J28" s="360">
        <v>0.187</v>
      </c>
      <c r="K28" s="361">
        <v>0.23200000000000001</v>
      </c>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17"/>
      <c r="AU28" s="117"/>
      <c r="AV28" s="117"/>
      <c r="AW28" s="117"/>
      <c r="AX28" s="117"/>
      <c r="AY28" s="117"/>
      <c r="AZ28" s="117"/>
      <c r="BA28" s="117"/>
      <c r="BB28" s="117"/>
      <c r="BC28" s="117"/>
      <c r="BD28" s="117"/>
      <c r="BE28" s="117"/>
      <c r="BF28" s="117"/>
      <c r="BG28" s="117"/>
      <c r="BH28" s="117"/>
      <c r="BI28" s="117"/>
      <c r="BJ28" s="117"/>
      <c r="BK28" s="117"/>
      <c r="BL28" s="117"/>
      <c r="BM28" s="117"/>
      <c r="BN28" s="117"/>
      <c r="BO28" s="117"/>
      <c r="BP28" s="117"/>
      <c r="BQ28" s="117"/>
      <c r="BR28" s="117"/>
      <c r="BS28" s="117"/>
      <c r="BT28" s="117"/>
      <c r="BU28" s="117"/>
      <c r="BV28" s="117"/>
      <c r="BW28" s="117"/>
      <c r="BX28" s="117"/>
      <c r="BY28" s="117"/>
      <c r="BZ28" s="117"/>
      <c r="CA28" s="117"/>
      <c r="CB28" s="117"/>
      <c r="CC28" s="117"/>
    </row>
    <row r="29" spans="1:81">
      <c r="A29" s="117"/>
      <c r="B29" s="117"/>
      <c r="C29" s="117"/>
      <c r="D29" s="137" t="s">
        <v>109</v>
      </c>
      <c r="E29" s="117"/>
      <c r="F29" s="117"/>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17"/>
      <c r="AU29" s="117"/>
      <c r="AV29" s="117"/>
      <c r="AW29" s="117"/>
      <c r="AX29" s="117"/>
      <c r="AY29" s="117"/>
      <c r="AZ29" s="117"/>
      <c r="BA29" s="117"/>
      <c r="BB29" s="117"/>
      <c r="BC29" s="117"/>
      <c r="BD29" s="117"/>
      <c r="BE29" s="117"/>
      <c r="BF29" s="117"/>
      <c r="BG29" s="117"/>
      <c r="BH29" s="117"/>
      <c r="BI29" s="117"/>
      <c r="BJ29" s="117"/>
      <c r="BK29" s="117"/>
      <c r="BL29" s="117"/>
      <c r="BM29" s="117"/>
      <c r="BN29" s="117"/>
      <c r="BO29" s="117"/>
      <c r="BP29" s="117"/>
      <c r="BQ29" s="117"/>
      <c r="BR29" s="117"/>
      <c r="BS29" s="117"/>
      <c r="BT29" s="117"/>
      <c r="BU29" s="117"/>
      <c r="BV29" s="117"/>
      <c r="BW29" s="117"/>
      <c r="BX29" s="117"/>
      <c r="BY29" s="117"/>
      <c r="BZ29" s="117"/>
      <c r="CA29" s="117"/>
      <c r="CB29" s="117"/>
      <c r="CC29" s="117"/>
    </row>
    <row r="30" spans="1:81">
      <c r="A30" s="117"/>
      <c r="B30" s="117"/>
      <c r="C30" s="117"/>
      <c r="D30" s="117"/>
      <c r="E30" s="117"/>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17"/>
      <c r="AU30" s="117"/>
      <c r="AV30" s="117"/>
      <c r="AW30" s="117"/>
      <c r="AX30" s="117"/>
      <c r="AY30" s="117"/>
      <c r="AZ30" s="117"/>
      <c r="BA30" s="117"/>
      <c r="BB30" s="117"/>
      <c r="BC30" s="117"/>
      <c r="BD30" s="117"/>
      <c r="BE30" s="117"/>
      <c r="BF30" s="117"/>
      <c r="BG30" s="117"/>
      <c r="BH30" s="117"/>
      <c r="BI30" s="117"/>
      <c r="BJ30" s="117"/>
      <c r="BK30" s="117"/>
      <c r="BL30" s="117"/>
      <c r="BM30" s="117"/>
      <c r="BN30" s="117"/>
      <c r="BO30" s="117"/>
      <c r="BP30" s="117"/>
      <c r="BQ30" s="117"/>
      <c r="BR30" s="117"/>
      <c r="BS30" s="117"/>
      <c r="BT30" s="117"/>
      <c r="BU30" s="117"/>
      <c r="BV30" s="117"/>
      <c r="BW30" s="117"/>
      <c r="BX30" s="117"/>
      <c r="BY30" s="117"/>
      <c r="BZ30" s="117"/>
      <c r="CA30" s="117"/>
      <c r="CB30" s="117"/>
      <c r="CC30" s="117"/>
    </row>
    <row r="31" spans="1:81">
      <c r="A31" s="117"/>
      <c r="B31" s="117"/>
      <c r="C31" s="117"/>
      <c r="D31" s="117"/>
      <c r="E31" s="117"/>
      <c r="F31" s="117"/>
      <c r="G31" s="117"/>
      <c r="H31" s="117"/>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c r="BK31" s="117"/>
      <c r="BL31" s="117"/>
      <c r="BM31" s="117"/>
      <c r="BN31" s="117"/>
      <c r="BO31" s="117"/>
      <c r="BP31" s="117"/>
      <c r="BQ31" s="117"/>
      <c r="BR31" s="117"/>
      <c r="BS31" s="117"/>
      <c r="BT31" s="117"/>
      <c r="BU31" s="117"/>
      <c r="BV31" s="117"/>
      <c r="BW31" s="117"/>
      <c r="BX31" s="117"/>
      <c r="BY31" s="117"/>
      <c r="BZ31" s="117"/>
      <c r="CA31" s="117"/>
      <c r="CB31" s="117"/>
      <c r="CC31" s="117"/>
    </row>
    <row r="32" spans="1:81">
      <c r="A32" s="117"/>
      <c r="B32" s="117"/>
      <c r="C32" s="117"/>
      <c r="D32" s="117"/>
      <c r="E32" s="117"/>
      <c r="F32" s="117"/>
      <c r="G32" s="117"/>
      <c r="H32" s="117"/>
      <c r="I32" s="117"/>
      <c r="J32" s="117"/>
      <c r="K32" s="117"/>
      <c r="L32" s="117"/>
      <c r="M32" s="117"/>
      <c r="N32" s="117"/>
      <c r="O32" s="117"/>
      <c r="P32" s="117"/>
      <c r="Q32" s="117"/>
      <c r="R32" s="117"/>
      <c r="S32" s="117"/>
      <c r="T32" s="117"/>
      <c r="U32" s="117"/>
      <c r="V32" s="117"/>
      <c r="W32" s="117"/>
      <c r="X32" s="117"/>
      <c r="Y32" s="117"/>
      <c r="Z32" s="117"/>
      <c r="AA32" s="117"/>
      <c r="AB32" s="117"/>
      <c r="AC32" s="117"/>
      <c r="AD32" s="117"/>
      <c r="AE32" s="117"/>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c r="BK32" s="117"/>
      <c r="BL32" s="117"/>
      <c r="BM32" s="117"/>
      <c r="BN32" s="117"/>
      <c r="BO32" s="117"/>
      <c r="BP32" s="117"/>
      <c r="BQ32" s="117"/>
      <c r="BR32" s="117"/>
      <c r="BS32" s="117"/>
      <c r="BT32" s="117"/>
      <c r="BU32" s="117"/>
      <c r="BV32" s="117"/>
      <c r="BW32" s="117"/>
      <c r="BX32" s="117"/>
      <c r="BY32" s="117"/>
      <c r="BZ32" s="117"/>
      <c r="CA32" s="117"/>
      <c r="CB32" s="117"/>
      <c r="CC32" s="117"/>
    </row>
    <row r="33" spans="1:82">
      <c r="A33" s="117"/>
      <c r="B33" s="193" t="s">
        <v>197</v>
      </c>
      <c r="C33" s="125"/>
      <c r="D33" s="125"/>
      <c r="E33" s="125"/>
      <c r="F33" s="125"/>
      <c r="G33" s="125"/>
      <c r="H33" s="125"/>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c r="AY33" s="125"/>
      <c r="AZ33" s="125"/>
      <c r="BA33" s="125"/>
      <c r="BB33" s="125"/>
      <c r="BC33" s="125"/>
      <c r="BD33" s="125"/>
      <c r="BE33" s="125"/>
      <c r="BF33" s="125"/>
      <c r="BG33" s="125"/>
      <c r="BH33" s="125"/>
      <c r="BI33" s="125"/>
      <c r="BJ33" s="125"/>
      <c r="BK33" s="125"/>
      <c r="BL33" s="125"/>
      <c r="BM33" s="125"/>
      <c r="BN33" s="125"/>
      <c r="BO33" s="125"/>
      <c r="BP33" s="125"/>
      <c r="BQ33" s="125"/>
      <c r="BR33" s="125"/>
      <c r="BS33" s="125"/>
      <c r="BT33" s="125"/>
      <c r="BU33" s="125"/>
      <c r="BV33" s="125"/>
      <c r="BW33" s="125"/>
      <c r="BX33" s="125"/>
      <c r="BY33" s="125"/>
      <c r="BZ33" s="125"/>
      <c r="CA33" s="125"/>
      <c r="CB33" s="125"/>
      <c r="CC33" s="125"/>
    </row>
    <row r="34" spans="1:82">
      <c r="A34" s="117"/>
      <c r="B34" s="191" t="s">
        <v>201</v>
      </c>
      <c r="C34" s="126"/>
      <c r="D34" s="126"/>
      <c r="E34" s="126"/>
      <c r="F34" s="126"/>
      <c r="G34" s="126"/>
      <c r="H34" s="126"/>
      <c r="I34" s="126"/>
      <c r="J34" s="126"/>
      <c r="K34" s="126"/>
      <c r="L34" s="126"/>
      <c r="M34" s="211" t="str">
        <f>"("&amp;IF(ConstantsSource=$AQ$17,$AQ$17,$AQ$18)&amp;" source selected)"</f>
        <v>( source selected)</v>
      </c>
      <c r="N34" s="126"/>
      <c r="O34" s="126"/>
      <c r="P34" s="126"/>
      <c r="Q34" s="126"/>
      <c r="R34" s="126"/>
      <c r="S34" s="126"/>
      <c r="T34" s="126"/>
      <c r="U34" s="126"/>
      <c r="V34" s="126"/>
      <c r="W34" s="126"/>
      <c r="X34" s="126"/>
      <c r="Y34" s="126"/>
      <c r="Z34" s="126"/>
      <c r="AA34" s="126"/>
      <c r="AB34" s="126"/>
      <c r="AC34" s="126"/>
      <c r="AD34" s="126"/>
      <c r="AE34" s="126"/>
      <c r="AF34" s="126"/>
      <c r="AG34" s="126"/>
      <c r="AH34" s="126"/>
      <c r="AI34" s="126"/>
      <c r="AJ34" s="126"/>
      <c r="AK34" s="126"/>
      <c r="AL34" s="126"/>
      <c r="AM34" s="126"/>
      <c r="AN34" s="126"/>
      <c r="AO34" s="126"/>
      <c r="AP34" s="126"/>
      <c r="AQ34" s="126"/>
      <c r="AR34" s="126"/>
      <c r="AS34" s="126"/>
      <c r="AT34" s="126"/>
      <c r="AU34" s="126"/>
      <c r="AV34" s="126"/>
      <c r="AW34" s="126"/>
      <c r="AX34" s="126"/>
      <c r="AY34" s="126"/>
      <c r="AZ34" s="126"/>
      <c r="BA34" s="126"/>
      <c r="BB34" s="126"/>
      <c r="BC34" s="126"/>
      <c r="BD34" s="126"/>
      <c r="BE34" s="126"/>
      <c r="BF34" s="126"/>
      <c r="BG34" s="126"/>
      <c r="BH34" s="126"/>
      <c r="BI34" s="126"/>
      <c r="BJ34" s="126"/>
      <c r="BK34" s="126"/>
      <c r="BL34" s="126"/>
      <c r="BM34" s="126"/>
      <c r="BN34" s="126"/>
      <c r="BO34" s="126"/>
      <c r="BP34" s="126"/>
      <c r="BQ34" s="126"/>
      <c r="BR34" s="126"/>
      <c r="BS34" s="126"/>
      <c r="BT34" s="126"/>
      <c r="BU34" s="126"/>
      <c r="BV34" s="126"/>
      <c r="BW34" s="126"/>
      <c r="BX34" s="126"/>
      <c r="BY34" s="126"/>
      <c r="BZ34" s="126"/>
      <c r="CA34" s="126"/>
      <c r="CB34" s="126"/>
      <c r="CC34" s="126"/>
    </row>
    <row r="35" spans="1:82">
      <c r="A35" s="117"/>
      <c r="B35" s="192" t="s">
        <v>202</v>
      </c>
      <c r="D35" s="117"/>
      <c r="E35" s="117"/>
      <c r="F35" s="117"/>
      <c r="G35" s="117"/>
      <c r="H35" s="117"/>
      <c r="I35" s="117"/>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17"/>
      <c r="AU35" s="117"/>
      <c r="AV35" s="117"/>
      <c r="AW35" s="117"/>
      <c r="AX35" s="117"/>
      <c r="AY35" s="117"/>
      <c r="AZ35" s="117"/>
      <c r="BA35" s="117"/>
      <c r="BB35" s="117"/>
      <c r="BC35" s="117"/>
      <c r="BD35" s="117"/>
      <c r="BE35" s="117"/>
      <c r="BF35" s="117"/>
      <c r="BG35" s="117"/>
      <c r="BH35" s="117"/>
      <c r="BI35" s="117"/>
      <c r="BJ35" s="117"/>
      <c r="BK35" s="117"/>
      <c r="BL35" s="117"/>
      <c r="BM35" s="117"/>
      <c r="BN35" s="117"/>
      <c r="BO35" s="117"/>
      <c r="BP35" s="117"/>
      <c r="BQ35" s="117"/>
      <c r="BR35" s="117"/>
      <c r="BS35" s="117"/>
      <c r="BT35" s="117"/>
      <c r="BU35" s="117"/>
      <c r="BV35" s="117"/>
      <c r="BW35" s="117"/>
      <c r="BX35" s="117"/>
      <c r="BY35" s="117"/>
      <c r="BZ35" s="117"/>
      <c r="CA35" s="117"/>
      <c r="CB35" s="117"/>
      <c r="CC35" s="117"/>
    </row>
    <row r="36" spans="1:82">
      <c r="A36" s="117"/>
      <c r="B36" s="117"/>
      <c r="D36" s="117"/>
      <c r="E36" s="117"/>
      <c r="F36" s="117"/>
      <c r="G36" s="117"/>
      <c r="H36" s="11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c r="BK36" s="117"/>
      <c r="BL36" s="117"/>
      <c r="BM36" s="117"/>
      <c r="BN36" s="117"/>
      <c r="BO36" s="117"/>
      <c r="BP36" s="117"/>
      <c r="BQ36" s="117"/>
      <c r="BR36" s="117"/>
      <c r="BS36" s="117"/>
      <c r="BT36" s="117"/>
      <c r="BU36" s="117"/>
      <c r="BV36" s="117"/>
      <c r="BW36" s="117"/>
      <c r="BX36" s="117"/>
      <c r="BY36" s="117"/>
      <c r="BZ36" s="117"/>
      <c r="CA36" s="117"/>
      <c r="CB36" s="117"/>
      <c r="CC36" s="117"/>
    </row>
    <row r="37" spans="1:82">
      <c r="A37" s="117"/>
      <c r="B37" s="117"/>
      <c r="D37" s="117"/>
      <c r="E37" s="117"/>
      <c r="F37" s="117"/>
      <c r="G37" s="117"/>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117"/>
      <c r="BB37" s="117"/>
      <c r="BC37" s="117"/>
      <c r="BD37" s="117"/>
      <c r="BE37" s="117"/>
      <c r="BF37" s="117"/>
      <c r="BG37" s="117"/>
      <c r="BH37" s="117"/>
      <c r="BI37" s="117"/>
      <c r="BJ37" s="117"/>
      <c r="BK37" s="117"/>
      <c r="BL37" s="117"/>
      <c r="BM37" s="117"/>
      <c r="BN37" s="117"/>
      <c r="BO37" s="117"/>
      <c r="BP37" s="117"/>
      <c r="BQ37" s="117"/>
      <c r="BR37" s="117"/>
      <c r="BS37" s="117"/>
      <c r="BT37" s="117"/>
      <c r="BU37" s="117"/>
      <c r="BV37" s="117"/>
      <c r="BW37" s="117"/>
      <c r="BX37" s="117"/>
      <c r="BY37" s="117"/>
      <c r="BZ37" s="117"/>
      <c r="CA37" s="117"/>
      <c r="CB37" s="117"/>
      <c r="CC37" s="117"/>
    </row>
    <row r="38" spans="1:82">
      <c r="A38" s="117"/>
      <c r="B38" s="117"/>
      <c r="D38" s="120" t="s">
        <v>9</v>
      </c>
      <c r="E38" s="121" t="s">
        <v>1</v>
      </c>
      <c r="F38" s="121" t="s">
        <v>10</v>
      </c>
      <c r="G38" s="121" t="s">
        <v>2</v>
      </c>
      <c r="H38" s="121" t="s">
        <v>11</v>
      </c>
      <c r="I38" s="121" t="s">
        <v>7</v>
      </c>
      <c r="J38" s="121" t="s">
        <v>8</v>
      </c>
      <c r="K38" s="122" t="s">
        <v>12</v>
      </c>
    </row>
    <row r="39" spans="1:82">
      <c r="A39" s="117"/>
      <c r="B39" s="117"/>
      <c r="D39" s="123" t="s">
        <v>107</v>
      </c>
    </row>
    <row r="40" spans="1:82">
      <c r="A40" s="117"/>
      <c r="B40" s="117"/>
      <c r="D40" s="192" t="s">
        <v>200</v>
      </c>
    </row>
    <row r="41" spans="1:82">
      <c r="A41" s="117"/>
      <c r="B41" s="117"/>
      <c r="D41" s="192"/>
    </row>
    <row r="42" spans="1:82">
      <c r="A42" s="117"/>
      <c r="B42" s="117"/>
      <c r="E42" s="117"/>
      <c r="F42" s="117"/>
      <c r="G42" s="117"/>
      <c r="H42" s="117"/>
      <c r="I42" s="117"/>
      <c r="J42" s="117"/>
      <c r="K42" s="117"/>
      <c r="L42" s="117"/>
      <c r="M42" s="117"/>
      <c r="N42" s="117"/>
      <c r="O42" s="117"/>
      <c r="P42" s="117"/>
      <c r="Q42" s="117"/>
      <c r="R42" s="117"/>
      <c r="S42" s="117"/>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117"/>
      <c r="AU42" s="117"/>
      <c r="AV42" s="117"/>
      <c r="AW42" s="117"/>
      <c r="AX42" s="117"/>
      <c r="AY42" s="117"/>
      <c r="AZ42" s="117"/>
      <c r="BA42" s="117"/>
      <c r="BB42" s="117"/>
      <c r="BC42" s="117"/>
      <c r="BD42" s="117"/>
      <c r="BE42" s="117"/>
      <c r="BF42" s="117"/>
      <c r="BG42" s="117"/>
      <c r="BH42" s="117"/>
      <c r="BI42" s="117"/>
      <c r="BJ42" s="117"/>
      <c r="BK42" s="117"/>
      <c r="BL42" s="117"/>
      <c r="BM42" s="117"/>
      <c r="BN42" s="117"/>
      <c r="BO42" s="117"/>
      <c r="BP42" s="117"/>
      <c r="BQ42" s="117"/>
      <c r="BR42" s="117"/>
      <c r="BS42" s="117"/>
      <c r="BT42" s="117"/>
      <c r="BU42" s="117"/>
      <c r="BV42" s="117"/>
      <c r="BW42" s="117"/>
      <c r="BX42" s="117"/>
      <c r="BY42" s="117"/>
      <c r="BZ42" s="117"/>
      <c r="CA42" s="117"/>
      <c r="CB42" s="117"/>
      <c r="CC42" s="117"/>
    </row>
    <row r="43" spans="1:82" ht="15.75">
      <c r="A43" s="117"/>
      <c r="B43" s="190" t="s">
        <v>199</v>
      </c>
      <c r="C43" s="124" t="s">
        <v>53</v>
      </c>
      <c r="D43" s="117"/>
      <c r="E43" s="117"/>
      <c r="F43" s="117"/>
      <c r="G43" s="117"/>
      <c r="H43" s="117"/>
      <c r="I43" s="117"/>
      <c r="J43" s="117"/>
      <c r="K43" s="117"/>
      <c r="L43" s="117"/>
      <c r="M43" s="117"/>
      <c r="N43" s="117"/>
      <c r="O43" s="117"/>
      <c r="P43" s="117"/>
      <c r="Q43" s="117"/>
      <c r="R43" s="117"/>
      <c r="S43" s="117"/>
      <c r="T43" s="117"/>
      <c r="U43" s="117"/>
      <c r="V43" s="117"/>
      <c r="W43" s="117"/>
      <c r="X43" s="117"/>
      <c r="Y43" s="117"/>
      <c r="Z43" s="117"/>
      <c r="AA43" s="117"/>
      <c r="AB43" s="117"/>
      <c r="AC43" s="117"/>
      <c r="AD43" s="117"/>
      <c r="AE43" s="117"/>
      <c r="AF43" s="117"/>
      <c r="AG43" s="117"/>
      <c r="AH43" s="117"/>
      <c r="AI43" s="117"/>
      <c r="AJ43" s="117"/>
      <c r="AK43" s="117"/>
      <c r="AL43" s="117"/>
      <c r="AM43" s="117"/>
      <c r="AN43" s="117"/>
      <c r="AO43" s="117"/>
      <c r="AP43" s="117"/>
      <c r="AQ43" s="117"/>
      <c r="AR43" s="117"/>
      <c r="AS43" s="117"/>
      <c r="AT43" s="117"/>
      <c r="AU43" s="117"/>
      <c r="AV43" s="117"/>
      <c r="AW43" s="117"/>
      <c r="AX43" s="117"/>
      <c r="AY43" s="117"/>
      <c r="AZ43" s="117"/>
      <c r="BA43" s="117"/>
      <c r="BB43" s="117"/>
      <c r="BC43" s="117"/>
      <c r="BD43" s="117"/>
      <c r="BE43" s="117"/>
      <c r="BF43" s="117"/>
      <c r="BG43" s="117"/>
      <c r="BH43" s="117"/>
      <c r="BI43" s="117"/>
      <c r="BJ43" s="117"/>
      <c r="BK43" s="117"/>
      <c r="BL43" s="117"/>
      <c r="BM43" s="117"/>
      <c r="BN43" s="117"/>
      <c r="BO43" s="117"/>
      <c r="BP43" s="117"/>
      <c r="BQ43" s="117"/>
      <c r="BR43" s="117"/>
      <c r="BS43" s="117"/>
      <c r="BT43" s="117"/>
      <c r="BU43" s="117"/>
      <c r="BV43" s="117"/>
      <c r="BW43" s="117"/>
      <c r="BX43" s="117"/>
      <c r="BY43" s="117"/>
      <c r="BZ43" s="117"/>
      <c r="CA43" s="117"/>
      <c r="CB43" s="117"/>
      <c r="CC43" s="117"/>
      <c r="CD43" s="117"/>
    </row>
    <row r="44" spans="1:82">
      <c r="A44" s="117"/>
      <c r="B44" s="117"/>
      <c r="C44" s="180" t="s">
        <v>193</v>
      </c>
      <c r="D44" s="117"/>
      <c r="E44" s="117"/>
      <c r="F44" s="117"/>
      <c r="G44" s="117"/>
      <c r="H44" s="117"/>
      <c r="I44" s="117"/>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c r="AP44" s="117"/>
      <c r="AQ44" s="117"/>
      <c r="AR44" s="117"/>
      <c r="AS44" s="117"/>
      <c r="AT44" s="117"/>
      <c r="AU44" s="117"/>
      <c r="AV44" s="117"/>
      <c r="AW44" s="117"/>
      <c r="AX44" s="117"/>
      <c r="AY44" s="117"/>
      <c r="AZ44" s="117"/>
      <c r="BA44" s="117"/>
      <c r="BB44" s="117"/>
      <c r="BC44" s="117"/>
      <c r="BD44" s="117"/>
      <c r="BE44" s="117"/>
      <c r="BF44" s="117"/>
      <c r="BG44" s="117"/>
      <c r="BH44" s="117"/>
      <c r="BI44" s="117"/>
      <c r="BJ44" s="117"/>
      <c r="BK44" s="117"/>
      <c r="BL44" s="117"/>
      <c r="BM44" s="117"/>
      <c r="BN44" s="117"/>
      <c r="BO44" s="117"/>
      <c r="BP44" s="117"/>
      <c r="BQ44" s="117"/>
      <c r="BR44" s="117"/>
      <c r="BS44" s="117"/>
      <c r="BT44" s="117"/>
      <c r="BU44" s="117"/>
      <c r="BV44" s="117"/>
      <c r="BW44" s="117"/>
      <c r="BX44" s="117"/>
      <c r="BY44" s="117"/>
      <c r="BZ44" s="117"/>
      <c r="CA44" s="117"/>
      <c r="CB44" s="117"/>
      <c r="CC44" s="117"/>
      <c r="CD44" s="117"/>
    </row>
    <row r="45" spans="1:82">
      <c r="A45" s="117"/>
      <c r="B45" s="117"/>
      <c r="C45" s="117"/>
      <c r="D45" s="117"/>
      <c r="E45" s="117"/>
      <c r="F45" s="117"/>
      <c r="G45" s="117"/>
      <c r="H45" s="117"/>
      <c r="I45" s="117"/>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17"/>
      <c r="AU45" s="117"/>
      <c r="AV45" s="117"/>
      <c r="AW45" s="117"/>
      <c r="AX45" s="117"/>
      <c r="AY45" s="117"/>
      <c r="AZ45" s="117"/>
      <c r="BA45" s="117"/>
      <c r="BB45" s="117"/>
      <c r="BC45" s="117"/>
      <c r="BD45" s="117"/>
      <c r="BE45" s="117"/>
      <c r="BF45" s="117"/>
      <c r="BG45" s="117"/>
      <c r="BH45" s="117"/>
      <c r="BI45" s="117"/>
      <c r="BJ45" s="117"/>
      <c r="BK45" s="117"/>
      <c r="BL45" s="117"/>
      <c r="BM45" s="117"/>
      <c r="BN45" s="117"/>
      <c r="BO45" s="117"/>
      <c r="BP45" s="117"/>
      <c r="BQ45" s="117"/>
      <c r="BR45" s="117"/>
      <c r="BS45" s="117"/>
      <c r="BT45" s="117"/>
      <c r="BU45" s="117"/>
      <c r="BV45" s="117"/>
      <c r="BW45" s="117"/>
      <c r="BX45" s="117"/>
      <c r="BY45" s="117"/>
      <c r="BZ45" s="117"/>
      <c r="CA45" s="117"/>
      <c r="CB45" s="117"/>
      <c r="CC45" s="117"/>
      <c r="CD45" s="117"/>
    </row>
    <row r="46" spans="1:82">
      <c r="A46" s="117"/>
      <c r="B46" s="117"/>
      <c r="C46" s="3" t="s">
        <v>173</v>
      </c>
      <c r="L46" s="117"/>
      <c r="M46" s="3" t="s">
        <v>174</v>
      </c>
      <c r="W46" s="3" t="s">
        <v>175</v>
      </c>
      <c r="AG46" s="3" t="s">
        <v>176</v>
      </c>
      <c r="AQ46" s="3" t="s">
        <v>177</v>
      </c>
      <c r="BA46" s="3" t="s">
        <v>178</v>
      </c>
      <c r="BK46" s="3" t="s">
        <v>179</v>
      </c>
      <c r="BU46" s="3" t="s">
        <v>180</v>
      </c>
      <c r="BV46" s="126"/>
      <c r="BW46" s="126"/>
      <c r="BX46" s="126"/>
      <c r="BY46" s="126"/>
      <c r="BZ46" s="126"/>
      <c r="CA46" s="126"/>
      <c r="CB46" s="126"/>
      <c r="CC46" s="126"/>
    </row>
    <row r="47" spans="1:82">
      <c r="A47" s="117"/>
      <c r="B47" s="117"/>
      <c r="C47" s="181" t="s">
        <v>181</v>
      </c>
      <c r="M47" s="181" t="s">
        <v>182</v>
      </c>
      <c r="W47" s="181" t="s">
        <v>183</v>
      </c>
      <c r="AG47" s="181" t="s">
        <v>184</v>
      </c>
      <c r="AQ47" s="181" t="s">
        <v>185</v>
      </c>
      <c r="BA47" s="181" t="s">
        <v>186</v>
      </c>
      <c r="BK47" s="181" t="s">
        <v>187</v>
      </c>
      <c r="BU47" s="181" t="s">
        <v>188</v>
      </c>
      <c r="BV47" s="126"/>
      <c r="BW47" s="126"/>
      <c r="BX47" s="126"/>
      <c r="BY47" s="126"/>
      <c r="BZ47" s="126"/>
      <c r="CA47" s="126"/>
      <c r="CB47" s="126"/>
      <c r="CC47" s="126"/>
    </row>
    <row r="48" spans="1:82">
      <c r="A48" s="117"/>
      <c r="B48" s="117"/>
      <c r="C48" s="155"/>
      <c r="D48" s="153" t="s">
        <v>9</v>
      </c>
      <c r="E48" s="148" t="s">
        <v>1</v>
      </c>
      <c r="F48" s="148" t="s">
        <v>10</v>
      </c>
      <c r="G48" s="148" t="s">
        <v>2</v>
      </c>
      <c r="H48" s="148" t="s">
        <v>11</v>
      </c>
      <c r="I48" s="148" t="s">
        <v>7</v>
      </c>
      <c r="J48" s="148" t="s">
        <v>8</v>
      </c>
      <c r="K48" s="149" t="s">
        <v>12</v>
      </c>
      <c r="L48" s="117"/>
      <c r="M48" s="155"/>
      <c r="N48" s="153" t="s">
        <v>9</v>
      </c>
      <c r="O48" s="148" t="s">
        <v>1</v>
      </c>
      <c r="P48" s="148" t="s">
        <v>10</v>
      </c>
      <c r="Q48" s="148" t="s">
        <v>2</v>
      </c>
      <c r="R48" s="148" t="s">
        <v>11</v>
      </c>
      <c r="S48" s="148" t="s">
        <v>7</v>
      </c>
      <c r="T48" s="148" t="s">
        <v>8</v>
      </c>
      <c r="U48" s="149" t="s">
        <v>12</v>
      </c>
      <c r="V48" s="117"/>
      <c r="W48" s="155"/>
      <c r="X48" s="153" t="s">
        <v>9</v>
      </c>
      <c r="Y48" s="148" t="s">
        <v>1</v>
      </c>
      <c r="Z48" s="148" t="s">
        <v>10</v>
      </c>
      <c r="AA48" s="148" t="s">
        <v>2</v>
      </c>
      <c r="AB48" s="148" t="s">
        <v>11</v>
      </c>
      <c r="AC48" s="148" t="s">
        <v>7</v>
      </c>
      <c r="AD48" s="148" t="s">
        <v>8</v>
      </c>
      <c r="AE48" s="149" t="s">
        <v>12</v>
      </c>
      <c r="AF48" s="117"/>
      <c r="AG48" s="155"/>
      <c r="AH48" s="153" t="s">
        <v>9</v>
      </c>
      <c r="AI48" s="148" t="s">
        <v>1</v>
      </c>
      <c r="AJ48" s="148" t="s">
        <v>10</v>
      </c>
      <c r="AK48" s="148" t="s">
        <v>2</v>
      </c>
      <c r="AL48" s="148" t="s">
        <v>11</v>
      </c>
      <c r="AM48" s="148" t="s">
        <v>7</v>
      </c>
      <c r="AN48" s="148" t="s">
        <v>8</v>
      </c>
      <c r="AO48" s="149" t="s">
        <v>12</v>
      </c>
      <c r="AP48" s="117"/>
      <c r="AQ48" s="155"/>
      <c r="AR48" s="153" t="s">
        <v>9</v>
      </c>
      <c r="AS48" s="148" t="s">
        <v>1</v>
      </c>
      <c r="AT48" s="148" t="s">
        <v>10</v>
      </c>
      <c r="AU48" s="148" t="s">
        <v>2</v>
      </c>
      <c r="AV48" s="148" t="s">
        <v>11</v>
      </c>
      <c r="AW48" s="148" t="s">
        <v>7</v>
      </c>
      <c r="AX48" s="148" t="s">
        <v>8</v>
      </c>
      <c r="AY48" s="149" t="s">
        <v>12</v>
      </c>
      <c r="AZ48" s="117"/>
      <c r="BA48" s="155"/>
      <c r="BB48" s="153" t="s">
        <v>9</v>
      </c>
      <c r="BC48" s="148" t="s">
        <v>1</v>
      </c>
      <c r="BD48" s="148" t="s">
        <v>10</v>
      </c>
      <c r="BE48" s="148" t="s">
        <v>2</v>
      </c>
      <c r="BF48" s="148" t="s">
        <v>11</v>
      </c>
      <c r="BG48" s="148" t="s">
        <v>7</v>
      </c>
      <c r="BH48" s="148" t="s">
        <v>8</v>
      </c>
      <c r="BI48" s="149" t="s">
        <v>12</v>
      </c>
      <c r="BJ48" s="117"/>
      <c r="BK48" s="155"/>
      <c r="BL48" s="153" t="s">
        <v>9</v>
      </c>
      <c r="BM48" s="148" t="s">
        <v>1</v>
      </c>
      <c r="BN48" s="148" t="s">
        <v>10</v>
      </c>
      <c r="BO48" s="148" t="s">
        <v>2</v>
      </c>
      <c r="BP48" s="148" t="s">
        <v>11</v>
      </c>
      <c r="BQ48" s="148" t="s">
        <v>7</v>
      </c>
      <c r="BR48" s="148" t="s">
        <v>8</v>
      </c>
      <c r="BS48" s="149" t="s">
        <v>12</v>
      </c>
      <c r="BT48" s="117"/>
      <c r="BU48" s="155"/>
      <c r="BV48" s="153" t="s">
        <v>9</v>
      </c>
      <c r="BW48" s="148" t="s">
        <v>1</v>
      </c>
      <c r="BX48" s="148" t="s">
        <v>10</v>
      </c>
      <c r="BY48" s="148" t="s">
        <v>2</v>
      </c>
      <c r="BZ48" s="148" t="s">
        <v>11</v>
      </c>
      <c r="CA48" s="148" t="s">
        <v>7</v>
      </c>
      <c r="CB48" s="148" t="s">
        <v>8</v>
      </c>
      <c r="CC48" s="149" t="s">
        <v>12</v>
      </c>
    </row>
    <row r="49" spans="1:81">
      <c r="A49" s="117"/>
      <c r="B49" s="127" t="s">
        <v>190</v>
      </c>
      <c r="C49" s="156" t="s">
        <v>3</v>
      </c>
      <c r="D49" s="154">
        <v>0</v>
      </c>
      <c r="E49" s="151">
        <v>45</v>
      </c>
      <c r="F49" s="150">
        <v>90</v>
      </c>
      <c r="G49" s="151">
        <v>135</v>
      </c>
      <c r="H49" s="150">
        <v>180</v>
      </c>
      <c r="I49" s="151">
        <v>225</v>
      </c>
      <c r="J49" s="150">
        <v>270</v>
      </c>
      <c r="K49" s="152">
        <v>315</v>
      </c>
      <c r="M49" s="156" t="s">
        <v>3</v>
      </c>
      <c r="N49" s="154">
        <v>0</v>
      </c>
      <c r="O49" s="151">
        <v>45</v>
      </c>
      <c r="P49" s="150">
        <v>90</v>
      </c>
      <c r="Q49" s="151">
        <v>135</v>
      </c>
      <c r="R49" s="150">
        <v>180</v>
      </c>
      <c r="S49" s="151">
        <v>225</v>
      </c>
      <c r="T49" s="150">
        <v>270</v>
      </c>
      <c r="U49" s="152">
        <v>315</v>
      </c>
      <c r="W49" s="156" t="s">
        <v>3</v>
      </c>
      <c r="X49" s="154">
        <v>0</v>
      </c>
      <c r="Y49" s="151">
        <v>45</v>
      </c>
      <c r="Z49" s="150">
        <v>90</v>
      </c>
      <c r="AA49" s="151">
        <v>135</v>
      </c>
      <c r="AB49" s="150">
        <v>180</v>
      </c>
      <c r="AC49" s="151">
        <v>225</v>
      </c>
      <c r="AD49" s="150">
        <v>270</v>
      </c>
      <c r="AE49" s="152">
        <v>315</v>
      </c>
      <c r="AG49" s="156" t="s">
        <v>3</v>
      </c>
      <c r="AH49" s="154">
        <v>0</v>
      </c>
      <c r="AI49" s="151">
        <v>45</v>
      </c>
      <c r="AJ49" s="150">
        <v>90</v>
      </c>
      <c r="AK49" s="151">
        <v>135</v>
      </c>
      <c r="AL49" s="150">
        <v>180</v>
      </c>
      <c r="AM49" s="151">
        <v>225</v>
      </c>
      <c r="AN49" s="150">
        <v>270</v>
      </c>
      <c r="AO49" s="152">
        <v>315</v>
      </c>
      <c r="AQ49" s="156" t="s">
        <v>3</v>
      </c>
      <c r="AR49" s="154">
        <v>0</v>
      </c>
      <c r="AS49" s="151">
        <v>45</v>
      </c>
      <c r="AT49" s="150">
        <v>90</v>
      </c>
      <c r="AU49" s="151">
        <v>135</v>
      </c>
      <c r="AV49" s="150">
        <v>180</v>
      </c>
      <c r="AW49" s="151">
        <v>225</v>
      </c>
      <c r="AX49" s="150">
        <v>270</v>
      </c>
      <c r="AY49" s="152">
        <v>315</v>
      </c>
      <c r="BA49" s="156" t="s">
        <v>3</v>
      </c>
      <c r="BB49" s="154">
        <v>0</v>
      </c>
      <c r="BC49" s="151">
        <v>45</v>
      </c>
      <c r="BD49" s="150">
        <v>90</v>
      </c>
      <c r="BE49" s="151">
        <v>135</v>
      </c>
      <c r="BF49" s="150">
        <v>180</v>
      </c>
      <c r="BG49" s="151">
        <v>225</v>
      </c>
      <c r="BH49" s="150">
        <v>270</v>
      </c>
      <c r="BI49" s="152">
        <v>315</v>
      </c>
      <c r="BK49" s="156" t="s">
        <v>3</v>
      </c>
      <c r="BL49" s="154">
        <v>0</v>
      </c>
      <c r="BM49" s="151">
        <v>45</v>
      </c>
      <c r="BN49" s="150">
        <v>90</v>
      </c>
      <c r="BO49" s="151">
        <v>135</v>
      </c>
      <c r="BP49" s="150">
        <v>180</v>
      </c>
      <c r="BQ49" s="151">
        <v>225</v>
      </c>
      <c r="BR49" s="150">
        <v>270</v>
      </c>
      <c r="BS49" s="152">
        <v>315</v>
      </c>
      <c r="BU49" s="156" t="s">
        <v>3</v>
      </c>
      <c r="BV49" s="154">
        <v>0</v>
      </c>
      <c r="BW49" s="151">
        <v>45</v>
      </c>
      <c r="BX49" s="150">
        <v>90</v>
      </c>
      <c r="BY49" s="151">
        <v>135</v>
      </c>
      <c r="BZ49" s="150">
        <v>180</v>
      </c>
      <c r="CA49" s="151">
        <v>225</v>
      </c>
      <c r="CB49" s="150">
        <v>270</v>
      </c>
      <c r="CC49" s="152">
        <v>315</v>
      </c>
    </row>
    <row r="50" spans="1:81">
      <c r="A50" s="117"/>
      <c r="B50" s="187">
        <f t="shared" ref="B50:B62" si="0">B$65*C50</f>
        <v>0</v>
      </c>
      <c r="C50" s="182">
        <v>0</v>
      </c>
      <c r="D50" s="160">
        <v>0.52</v>
      </c>
      <c r="E50" s="178">
        <v>0.84</v>
      </c>
      <c r="F50" s="161">
        <v>1.29</v>
      </c>
      <c r="G50" s="178">
        <v>1.24</v>
      </c>
      <c r="H50" s="161">
        <v>0.87</v>
      </c>
      <c r="I50" s="178">
        <v>1.27</v>
      </c>
      <c r="J50" s="161">
        <v>1.32</v>
      </c>
      <c r="K50" s="179">
        <v>0.85</v>
      </c>
      <c r="M50" s="170">
        <v>0</v>
      </c>
      <c r="N50" s="160">
        <v>0.72</v>
      </c>
      <c r="O50" s="178">
        <v>1.05</v>
      </c>
      <c r="P50" s="161">
        <v>1.22</v>
      </c>
      <c r="Q50" s="178">
        <v>1.04</v>
      </c>
      <c r="R50" s="161">
        <v>0.72</v>
      </c>
      <c r="S50" s="178">
        <v>1.1200000000000001</v>
      </c>
      <c r="T50" s="161">
        <v>1.34</v>
      </c>
      <c r="U50" s="179">
        <v>1.1100000000000001</v>
      </c>
      <c r="W50" s="170">
        <v>0</v>
      </c>
      <c r="X50" s="160">
        <v>0.56000000000000005</v>
      </c>
      <c r="Y50" s="178">
        <v>1.04</v>
      </c>
      <c r="Z50" s="161">
        <v>1.42</v>
      </c>
      <c r="AA50" s="178">
        <v>1.18</v>
      </c>
      <c r="AB50" s="161">
        <v>0.66</v>
      </c>
      <c r="AC50" s="178">
        <v>1.1599999999999999</v>
      </c>
      <c r="AD50" s="161">
        <v>1.36</v>
      </c>
      <c r="AE50" s="179">
        <v>1.01</v>
      </c>
      <c r="AG50" s="170">
        <v>0</v>
      </c>
      <c r="AH50" s="160">
        <v>0.72</v>
      </c>
      <c r="AI50" s="178">
        <v>1.19</v>
      </c>
      <c r="AJ50" s="161">
        <v>1.4</v>
      </c>
      <c r="AK50" s="178">
        <v>1.05</v>
      </c>
      <c r="AL50" s="161">
        <v>0.56999999999999995</v>
      </c>
      <c r="AM50" s="178">
        <v>0.99</v>
      </c>
      <c r="AN50" s="161">
        <v>1.31</v>
      </c>
      <c r="AO50" s="179">
        <v>1.1200000000000001</v>
      </c>
      <c r="AQ50" s="170">
        <v>0</v>
      </c>
      <c r="AR50" s="160">
        <v>0.82</v>
      </c>
      <c r="AS50" s="178">
        <v>1.0900000000000001</v>
      </c>
      <c r="AT50" s="161">
        <v>1.19</v>
      </c>
      <c r="AU50" s="178">
        <v>0.96</v>
      </c>
      <c r="AV50" s="161">
        <v>0.68</v>
      </c>
      <c r="AW50" s="178">
        <v>1.04</v>
      </c>
      <c r="AX50" s="161">
        <v>1.3</v>
      </c>
      <c r="AY50" s="179">
        <v>1.1599999999999999</v>
      </c>
      <c r="BA50" s="170">
        <v>0</v>
      </c>
      <c r="BB50" s="160">
        <v>0.84</v>
      </c>
      <c r="BC50" s="178">
        <v>1.08</v>
      </c>
      <c r="BD50" s="161">
        <v>1.1499999999999999</v>
      </c>
      <c r="BE50" s="178">
        <v>0.87</v>
      </c>
      <c r="BF50" s="161">
        <v>0.61</v>
      </c>
      <c r="BG50" s="178">
        <v>1.05</v>
      </c>
      <c r="BH50" s="161">
        <v>1.4</v>
      </c>
      <c r="BI50" s="179">
        <v>1.24</v>
      </c>
      <c r="BK50" s="170">
        <v>0</v>
      </c>
      <c r="BL50" s="160">
        <v>0.96</v>
      </c>
      <c r="BM50" s="178">
        <v>1.17</v>
      </c>
      <c r="BN50" s="161">
        <v>1.21</v>
      </c>
      <c r="BO50" s="178">
        <v>0.94</v>
      </c>
      <c r="BP50" s="161">
        <v>0.64</v>
      </c>
      <c r="BQ50" s="178">
        <v>0.91</v>
      </c>
      <c r="BR50" s="161">
        <v>1.19</v>
      </c>
      <c r="BS50" s="179">
        <v>1.18</v>
      </c>
      <c r="BU50" s="170">
        <v>0</v>
      </c>
      <c r="BV50" s="160">
        <v>0.85</v>
      </c>
      <c r="BW50" s="178">
        <v>1.1200000000000001</v>
      </c>
      <c r="BX50" s="161">
        <v>1.2</v>
      </c>
      <c r="BY50" s="178">
        <v>0.96</v>
      </c>
      <c r="BZ50" s="161">
        <v>0.68</v>
      </c>
      <c r="CA50" s="178">
        <v>1.01</v>
      </c>
      <c r="CB50" s="161">
        <v>1.27</v>
      </c>
      <c r="CC50" s="179">
        <v>1.1599999999999999</v>
      </c>
    </row>
    <row r="51" spans="1:81">
      <c r="A51" s="117"/>
      <c r="B51" s="187">
        <f t="shared" si="0"/>
        <v>105</v>
      </c>
      <c r="C51" s="183">
        <v>0.05</v>
      </c>
      <c r="D51" s="362">
        <v>0.44</v>
      </c>
      <c r="E51" s="363">
        <v>0.74</v>
      </c>
      <c r="F51" s="364">
        <v>1.19</v>
      </c>
      <c r="G51" s="363">
        <v>1.1299999999999999</v>
      </c>
      <c r="H51" s="364">
        <v>0.75</v>
      </c>
      <c r="I51" s="363">
        <v>1.17</v>
      </c>
      <c r="J51" s="364">
        <v>1.23</v>
      </c>
      <c r="K51" s="365">
        <v>0.75</v>
      </c>
      <c r="M51" s="171">
        <v>0.05</v>
      </c>
      <c r="N51" s="362">
        <v>0.6</v>
      </c>
      <c r="O51" s="363">
        <v>0.92</v>
      </c>
      <c r="P51" s="364">
        <v>1.1000000000000001</v>
      </c>
      <c r="Q51" s="363">
        <v>0.92</v>
      </c>
      <c r="R51" s="364">
        <v>0.6</v>
      </c>
      <c r="S51" s="363">
        <v>1.01</v>
      </c>
      <c r="T51" s="364">
        <v>1.23</v>
      </c>
      <c r="U51" s="365">
        <v>0.99</v>
      </c>
      <c r="W51" s="171">
        <v>0.05</v>
      </c>
      <c r="X51" s="362">
        <v>0.47</v>
      </c>
      <c r="Y51" s="363">
        <v>0.94</v>
      </c>
      <c r="Z51" s="364">
        <v>1.32</v>
      </c>
      <c r="AA51" s="363">
        <v>1.08</v>
      </c>
      <c r="AB51" s="364">
        <v>0.56999999999999995</v>
      </c>
      <c r="AC51" s="363">
        <v>1.05</v>
      </c>
      <c r="AD51" s="364">
        <v>1.26</v>
      </c>
      <c r="AE51" s="365">
        <v>0.9</v>
      </c>
      <c r="AG51" s="171">
        <v>0.05</v>
      </c>
      <c r="AH51" s="362">
        <v>0.61</v>
      </c>
      <c r="AI51" s="363">
        <v>1.1000000000000001</v>
      </c>
      <c r="AJ51" s="364">
        <v>1.31</v>
      </c>
      <c r="AK51" s="363">
        <v>0.97</v>
      </c>
      <c r="AL51" s="364">
        <v>0.49</v>
      </c>
      <c r="AM51" s="363">
        <v>0.91</v>
      </c>
      <c r="AN51" s="364">
        <v>1.22</v>
      </c>
      <c r="AO51" s="365">
        <v>1.02</v>
      </c>
      <c r="AQ51" s="171">
        <v>0.05</v>
      </c>
      <c r="AR51" s="362">
        <v>0.69</v>
      </c>
      <c r="AS51" s="363">
        <v>0.96</v>
      </c>
      <c r="AT51" s="364">
        <v>1.07</v>
      </c>
      <c r="AU51" s="363">
        <v>0.85</v>
      </c>
      <c r="AV51" s="364">
        <v>0.56999999999999995</v>
      </c>
      <c r="AW51" s="363">
        <v>0.92</v>
      </c>
      <c r="AX51" s="364">
        <v>1.19</v>
      </c>
      <c r="AY51" s="365">
        <v>1.04</v>
      </c>
      <c r="BA51" s="171">
        <v>0.05</v>
      </c>
      <c r="BB51" s="362">
        <v>0.71</v>
      </c>
      <c r="BC51" s="363">
        <v>0.97</v>
      </c>
      <c r="BD51" s="364">
        <v>1.05</v>
      </c>
      <c r="BE51" s="363">
        <v>0.78</v>
      </c>
      <c r="BF51" s="364">
        <v>0.52</v>
      </c>
      <c r="BG51" s="363">
        <v>0.96</v>
      </c>
      <c r="BH51" s="364">
        <v>1.3</v>
      </c>
      <c r="BI51" s="365">
        <v>1.1299999999999999</v>
      </c>
      <c r="BK51" s="171">
        <v>0.05</v>
      </c>
      <c r="BL51" s="362">
        <v>0.83</v>
      </c>
      <c r="BM51" s="363">
        <v>1.05</v>
      </c>
      <c r="BN51" s="364">
        <v>1.1000000000000001</v>
      </c>
      <c r="BO51" s="363">
        <v>0.83</v>
      </c>
      <c r="BP51" s="364">
        <v>0.54</v>
      </c>
      <c r="BQ51" s="363">
        <v>0.81</v>
      </c>
      <c r="BR51" s="364">
        <v>1.0900000000000001</v>
      </c>
      <c r="BS51" s="365">
        <v>1.07</v>
      </c>
      <c r="BU51" s="171">
        <v>0.05</v>
      </c>
      <c r="BV51" s="362">
        <v>0.71</v>
      </c>
      <c r="BW51" s="363">
        <v>0.99</v>
      </c>
      <c r="BX51" s="364">
        <v>1.0900000000000001</v>
      </c>
      <c r="BY51" s="363">
        <v>0.85</v>
      </c>
      <c r="BZ51" s="364">
        <v>0.56999999999999995</v>
      </c>
      <c r="CA51" s="363">
        <v>0.9</v>
      </c>
      <c r="CB51" s="364">
        <v>1.1599999999999999</v>
      </c>
      <c r="CC51" s="365">
        <v>1.04</v>
      </c>
    </row>
    <row r="52" spans="1:81">
      <c r="A52" s="117"/>
      <c r="B52" s="187">
        <f t="shared" si="0"/>
        <v>210</v>
      </c>
      <c r="C52" s="183">
        <v>0.1</v>
      </c>
      <c r="D52" s="362">
        <v>0.41</v>
      </c>
      <c r="E52" s="363">
        <v>0.68</v>
      </c>
      <c r="F52" s="364">
        <v>1.1100000000000001</v>
      </c>
      <c r="G52" s="363">
        <v>1.07</v>
      </c>
      <c r="H52" s="364">
        <v>0.68</v>
      </c>
      <c r="I52" s="363">
        <v>1.0900000000000001</v>
      </c>
      <c r="J52" s="364">
        <v>1.1499999999999999</v>
      </c>
      <c r="K52" s="365">
        <v>0.69</v>
      </c>
      <c r="M52" s="171">
        <v>0.1</v>
      </c>
      <c r="N52" s="362">
        <v>0.55000000000000004</v>
      </c>
      <c r="O52" s="363">
        <v>0.85</v>
      </c>
      <c r="P52" s="364">
        <v>1.04</v>
      </c>
      <c r="Q52" s="363">
        <v>0.86</v>
      </c>
      <c r="R52" s="364">
        <v>0.56999999999999995</v>
      </c>
      <c r="S52" s="363">
        <v>0.94</v>
      </c>
      <c r="T52" s="364">
        <v>1.1399999999999999</v>
      </c>
      <c r="U52" s="365">
        <v>0.9</v>
      </c>
      <c r="W52" s="171">
        <v>0.1</v>
      </c>
      <c r="X52" s="362">
        <v>0.44</v>
      </c>
      <c r="Y52" s="363">
        <v>0.85</v>
      </c>
      <c r="Z52" s="364">
        <v>1.25</v>
      </c>
      <c r="AA52" s="363">
        <v>1.02</v>
      </c>
      <c r="AB52" s="364">
        <v>0.54</v>
      </c>
      <c r="AC52" s="363">
        <v>0.99</v>
      </c>
      <c r="AD52" s="364">
        <v>1.19</v>
      </c>
      <c r="AE52" s="365">
        <v>0.83</v>
      </c>
      <c r="AG52" s="171">
        <v>0.1</v>
      </c>
      <c r="AH52" s="362">
        <v>0.56000000000000005</v>
      </c>
      <c r="AI52" s="363">
        <v>1</v>
      </c>
      <c r="AJ52" s="364">
        <v>1.24</v>
      </c>
      <c r="AK52" s="363">
        <v>0.91</v>
      </c>
      <c r="AL52" s="364">
        <v>0.46</v>
      </c>
      <c r="AM52" s="363">
        <v>0.85</v>
      </c>
      <c r="AN52" s="364">
        <v>1.17</v>
      </c>
      <c r="AO52" s="365">
        <v>0.94</v>
      </c>
      <c r="AQ52" s="171">
        <v>0.1</v>
      </c>
      <c r="AR52" s="362">
        <v>0.63</v>
      </c>
      <c r="AS52" s="363">
        <v>0.88</v>
      </c>
      <c r="AT52" s="364">
        <v>1.01</v>
      </c>
      <c r="AU52" s="363">
        <v>0.79</v>
      </c>
      <c r="AV52" s="364">
        <v>0.54</v>
      </c>
      <c r="AW52" s="363">
        <v>0.86</v>
      </c>
      <c r="AX52" s="364">
        <v>1.1100000000000001</v>
      </c>
      <c r="AY52" s="365">
        <v>0.94</v>
      </c>
      <c r="BA52" s="171">
        <v>0.1</v>
      </c>
      <c r="BB52" s="362">
        <v>0.65</v>
      </c>
      <c r="BC52" s="363">
        <v>0.9</v>
      </c>
      <c r="BD52" s="364">
        <v>0.99</v>
      </c>
      <c r="BE52" s="363">
        <v>0.74</v>
      </c>
      <c r="BF52" s="364">
        <v>0.49</v>
      </c>
      <c r="BG52" s="363">
        <v>0.91</v>
      </c>
      <c r="BH52" s="364">
        <v>1.25</v>
      </c>
      <c r="BI52" s="365">
        <v>1.04</v>
      </c>
      <c r="BK52" s="171">
        <v>0.1</v>
      </c>
      <c r="BL52" s="362">
        <v>0.76</v>
      </c>
      <c r="BM52" s="363">
        <v>0.97</v>
      </c>
      <c r="BN52" s="364">
        <v>1.04</v>
      </c>
      <c r="BO52" s="363">
        <v>0.8</v>
      </c>
      <c r="BP52" s="364">
        <v>0.51</v>
      </c>
      <c r="BQ52" s="363">
        <v>0.76</v>
      </c>
      <c r="BR52" s="364">
        <v>1.03</v>
      </c>
      <c r="BS52" s="365">
        <v>0.98</v>
      </c>
      <c r="BU52" s="171">
        <v>0.1</v>
      </c>
      <c r="BV52" s="362">
        <v>0.65</v>
      </c>
      <c r="BW52" s="363">
        <v>0.9</v>
      </c>
      <c r="BX52" s="364">
        <v>1.02</v>
      </c>
      <c r="BY52" s="363">
        <v>0.79</v>
      </c>
      <c r="BZ52" s="364">
        <v>0.54</v>
      </c>
      <c r="CA52" s="363">
        <v>0.84</v>
      </c>
      <c r="CB52" s="364">
        <v>1.0900000000000001</v>
      </c>
      <c r="CC52" s="365">
        <v>0.95</v>
      </c>
    </row>
    <row r="53" spans="1:81">
      <c r="A53" s="117"/>
      <c r="B53" s="187">
        <f t="shared" si="0"/>
        <v>420</v>
      </c>
      <c r="C53" s="183">
        <v>0.2</v>
      </c>
      <c r="D53" s="362">
        <v>0.37</v>
      </c>
      <c r="E53" s="363">
        <v>0.59</v>
      </c>
      <c r="F53" s="364">
        <v>1.01</v>
      </c>
      <c r="G53" s="363">
        <v>0.94</v>
      </c>
      <c r="H53" s="364">
        <v>0.55000000000000004</v>
      </c>
      <c r="I53" s="363">
        <v>0.94</v>
      </c>
      <c r="J53" s="364">
        <v>1</v>
      </c>
      <c r="K53" s="365">
        <v>0.6</v>
      </c>
      <c r="M53" s="171">
        <v>0.2</v>
      </c>
      <c r="N53" s="362">
        <v>0.47</v>
      </c>
      <c r="O53" s="363">
        <v>0.74</v>
      </c>
      <c r="P53" s="364">
        <v>0.92</v>
      </c>
      <c r="Q53" s="363">
        <v>0.76</v>
      </c>
      <c r="R53" s="364">
        <v>0.5</v>
      </c>
      <c r="S53" s="363">
        <v>0.84</v>
      </c>
      <c r="T53" s="364">
        <v>1</v>
      </c>
      <c r="U53" s="365">
        <v>0.78</v>
      </c>
      <c r="W53" s="171">
        <v>0.2</v>
      </c>
      <c r="X53" s="362">
        <v>0.38</v>
      </c>
      <c r="Y53" s="363">
        <v>0.73</v>
      </c>
      <c r="Z53" s="364">
        <v>1.1000000000000001</v>
      </c>
      <c r="AA53" s="363">
        <v>0.9</v>
      </c>
      <c r="AB53" s="364">
        <v>0.46</v>
      </c>
      <c r="AC53" s="363">
        <v>0.87</v>
      </c>
      <c r="AD53" s="364">
        <v>1.06</v>
      </c>
      <c r="AE53" s="365">
        <v>0.73</v>
      </c>
      <c r="AG53" s="171">
        <v>0.2</v>
      </c>
      <c r="AH53" s="362">
        <v>0.43</v>
      </c>
      <c r="AI53" s="363">
        <v>0.87</v>
      </c>
      <c r="AJ53" s="364">
        <v>1.1200000000000001</v>
      </c>
      <c r="AK53" s="363">
        <v>0.82</v>
      </c>
      <c r="AL53" s="364">
        <v>0.41</v>
      </c>
      <c r="AM53" s="363">
        <v>0.76</v>
      </c>
      <c r="AN53" s="364">
        <v>1.05</v>
      </c>
      <c r="AO53" s="365">
        <v>0.81</v>
      </c>
      <c r="AQ53" s="171">
        <v>0.2</v>
      </c>
      <c r="AR53" s="362">
        <v>0.51</v>
      </c>
      <c r="AS53" s="363">
        <v>0.76</v>
      </c>
      <c r="AT53" s="364">
        <v>0.89</v>
      </c>
      <c r="AU53" s="363">
        <v>0.7</v>
      </c>
      <c r="AV53" s="364">
        <v>0.48</v>
      </c>
      <c r="AW53" s="363">
        <v>0.76</v>
      </c>
      <c r="AX53" s="364">
        <v>0.99</v>
      </c>
      <c r="AY53" s="365">
        <v>0.83</v>
      </c>
      <c r="BA53" s="171">
        <v>0.2</v>
      </c>
      <c r="BB53" s="362">
        <v>0.52</v>
      </c>
      <c r="BC53" s="363">
        <v>0.77</v>
      </c>
      <c r="BD53" s="364">
        <v>0.88</v>
      </c>
      <c r="BE53" s="363">
        <v>0.65</v>
      </c>
      <c r="BF53" s="364">
        <v>0.44</v>
      </c>
      <c r="BG53" s="363">
        <v>0.82</v>
      </c>
      <c r="BH53" s="364">
        <v>1.1200000000000001</v>
      </c>
      <c r="BI53" s="365">
        <v>0.91</v>
      </c>
      <c r="BK53" s="171">
        <v>0.2</v>
      </c>
      <c r="BL53" s="362">
        <v>0.62</v>
      </c>
      <c r="BM53" s="363">
        <v>0.85</v>
      </c>
      <c r="BN53" s="364">
        <v>0.93</v>
      </c>
      <c r="BO53" s="363">
        <v>0.7</v>
      </c>
      <c r="BP53" s="364">
        <v>0.45</v>
      </c>
      <c r="BQ53" s="363">
        <v>0.68</v>
      </c>
      <c r="BR53" s="364">
        <v>0.91</v>
      </c>
      <c r="BS53" s="365">
        <v>0.86</v>
      </c>
      <c r="BU53" s="171">
        <v>0.2</v>
      </c>
      <c r="BV53" s="362">
        <v>0.52</v>
      </c>
      <c r="BW53" s="363">
        <v>0.79</v>
      </c>
      <c r="BX53" s="364">
        <v>0.9</v>
      </c>
      <c r="BY53" s="363">
        <v>0.7</v>
      </c>
      <c r="BZ53" s="364">
        <v>0.48</v>
      </c>
      <c r="CA53" s="363">
        <v>0.73</v>
      </c>
      <c r="CB53" s="364">
        <v>0.98</v>
      </c>
      <c r="CC53" s="365">
        <v>0.83</v>
      </c>
    </row>
    <row r="54" spans="1:81">
      <c r="A54" s="117"/>
      <c r="B54" s="187">
        <f t="shared" si="0"/>
        <v>840</v>
      </c>
      <c r="C54" s="183">
        <v>0.4</v>
      </c>
      <c r="D54" s="362">
        <v>0.3</v>
      </c>
      <c r="E54" s="363">
        <v>0.45</v>
      </c>
      <c r="F54" s="364">
        <v>0.79</v>
      </c>
      <c r="G54" s="363">
        <v>0.69</v>
      </c>
      <c r="H54" s="364">
        <v>0.42</v>
      </c>
      <c r="I54" s="363">
        <v>0.75</v>
      </c>
      <c r="J54" s="364">
        <v>0.83</v>
      </c>
      <c r="K54" s="365">
        <v>0.47</v>
      </c>
      <c r="M54" s="171">
        <v>0.4</v>
      </c>
      <c r="N54" s="362">
        <v>0.39</v>
      </c>
      <c r="O54" s="363">
        <v>0.56000000000000005</v>
      </c>
      <c r="P54" s="364">
        <v>0.73</v>
      </c>
      <c r="Q54" s="363">
        <v>0.61</v>
      </c>
      <c r="R54" s="364">
        <v>0.4</v>
      </c>
      <c r="S54" s="363">
        <v>0.67</v>
      </c>
      <c r="T54" s="364">
        <v>0.83</v>
      </c>
      <c r="U54" s="365">
        <v>0.6</v>
      </c>
      <c r="W54" s="171">
        <v>0.4</v>
      </c>
      <c r="X54" s="362">
        <v>0.32</v>
      </c>
      <c r="Y54" s="363">
        <v>0.56000000000000005</v>
      </c>
      <c r="Z54" s="364">
        <v>0.88</v>
      </c>
      <c r="AA54" s="363">
        <v>0.71</v>
      </c>
      <c r="AB54" s="364">
        <v>0.38</v>
      </c>
      <c r="AC54" s="363">
        <v>0.72</v>
      </c>
      <c r="AD54" s="364">
        <v>0.84</v>
      </c>
      <c r="AE54" s="365">
        <v>0.56000000000000005</v>
      </c>
      <c r="AG54" s="171">
        <v>0.4</v>
      </c>
      <c r="AH54" s="362">
        <v>0.3</v>
      </c>
      <c r="AI54" s="363">
        <v>0.66</v>
      </c>
      <c r="AJ54" s="364">
        <v>0.92</v>
      </c>
      <c r="AK54" s="363">
        <v>0.67</v>
      </c>
      <c r="AL54" s="364">
        <v>0.34</v>
      </c>
      <c r="AM54" s="363">
        <v>0.62</v>
      </c>
      <c r="AN54" s="364">
        <v>0.85</v>
      </c>
      <c r="AO54" s="365">
        <v>0.62</v>
      </c>
      <c r="AQ54" s="171">
        <v>0.4</v>
      </c>
      <c r="AR54" s="362">
        <v>0.39</v>
      </c>
      <c r="AS54" s="363">
        <v>0.57999999999999996</v>
      </c>
      <c r="AT54" s="364">
        <v>0.71</v>
      </c>
      <c r="AU54" s="363">
        <v>0.56999999999999995</v>
      </c>
      <c r="AV54" s="364">
        <v>0.38</v>
      </c>
      <c r="AW54" s="363">
        <v>0.62</v>
      </c>
      <c r="AX54" s="364">
        <v>0.81</v>
      </c>
      <c r="AY54" s="365">
        <v>0.62</v>
      </c>
      <c r="BA54" s="171">
        <v>0.4</v>
      </c>
      <c r="BB54" s="362">
        <v>0.36</v>
      </c>
      <c r="BC54" s="363">
        <v>0.57999999999999996</v>
      </c>
      <c r="BD54" s="364">
        <v>0.71</v>
      </c>
      <c r="BE54" s="363">
        <v>0.54</v>
      </c>
      <c r="BF54" s="364">
        <v>0.36</v>
      </c>
      <c r="BG54" s="363">
        <v>0.67</v>
      </c>
      <c r="BH54" s="364">
        <v>0.9</v>
      </c>
      <c r="BI54" s="365">
        <v>0.69</v>
      </c>
      <c r="BK54" s="171">
        <v>0.4</v>
      </c>
      <c r="BL54" s="362">
        <v>0.4</v>
      </c>
      <c r="BM54" s="363">
        <v>0.65</v>
      </c>
      <c r="BN54" s="364">
        <v>0.76</v>
      </c>
      <c r="BO54" s="363">
        <v>0.57999999999999996</v>
      </c>
      <c r="BP54" s="364">
        <v>0.38</v>
      </c>
      <c r="BQ54" s="363">
        <v>0.55000000000000004</v>
      </c>
      <c r="BR54" s="364">
        <v>0.74</v>
      </c>
      <c r="BS54" s="365">
        <v>0.64</v>
      </c>
      <c r="BU54" s="171">
        <v>0.4</v>
      </c>
      <c r="BV54" s="362">
        <v>0.39</v>
      </c>
      <c r="BW54" s="363">
        <v>0.6</v>
      </c>
      <c r="BX54" s="364">
        <v>0.73</v>
      </c>
      <c r="BY54" s="363">
        <v>0.56999999999999995</v>
      </c>
      <c r="BZ54" s="364">
        <v>0.39</v>
      </c>
      <c r="CA54" s="363">
        <v>0.61</v>
      </c>
      <c r="CB54" s="364">
        <v>0.79</v>
      </c>
      <c r="CC54" s="365">
        <v>0.63</v>
      </c>
    </row>
    <row r="55" spans="1:81">
      <c r="A55" s="117"/>
      <c r="B55" s="187">
        <f t="shared" si="0"/>
        <v>1260</v>
      </c>
      <c r="C55" s="183">
        <v>0.6</v>
      </c>
      <c r="D55" s="362">
        <v>0.25</v>
      </c>
      <c r="E55" s="363">
        <v>0.37</v>
      </c>
      <c r="F55" s="364">
        <v>0.66</v>
      </c>
      <c r="G55" s="363">
        <v>0.59</v>
      </c>
      <c r="H55" s="364">
        <v>0.34</v>
      </c>
      <c r="I55" s="363">
        <v>0.6</v>
      </c>
      <c r="J55" s="364">
        <v>0.66</v>
      </c>
      <c r="K55" s="365">
        <v>0.38</v>
      </c>
      <c r="M55" s="171">
        <v>0.6</v>
      </c>
      <c r="N55" s="362">
        <v>0.33</v>
      </c>
      <c r="O55" s="363">
        <v>0.44</v>
      </c>
      <c r="P55" s="364">
        <v>0.6</v>
      </c>
      <c r="Q55" s="363">
        <v>0.49</v>
      </c>
      <c r="R55" s="364">
        <v>0.33</v>
      </c>
      <c r="S55" s="363">
        <v>0.55000000000000004</v>
      </c>
      <c r="T55" s="364">
        <v>0.67</v>
      </c>
      <c r="U55" s="365">
        <v>0.45</v>
      </c>
      <c r="W55" s="171">
        <v>0.6</v>
      </c>
      <c r="X55" s="362">
        <v>0.28000000000000003</v>
      </c>
      <c r="Y55" s="363">
        <v>0.43</v>
      </c>
      <c r="Z55" s="364">
        <v>0.74</v>
      </c>
      <c r="AA55" s="363">
        <v>0.57999999999999996</v>
      </c>
      <c r="AB55" s="364">
        <v>0.31</v>
      </c>
      <c r="AC55" s="363">
        <v>0.56999999999999995</v>
      </c>
      <c r="AD55" s="364">
        <v>0.71</v>
      </c>
      <c r="AE55" s="365">
        <v>0.44</v>
      </c>
      <c r="AG55" s="171">
        <v>0.6</v>
      </c>
      <c r="AH55" s="362">
        <v>0.27</v>
      </c>
      <c r="AI55" s="363">
        <v>0.5</v>
      </c>
      <c r="AJ55" s="364">
        <v>0.74</v>
      </c>
      <c r="AK55" s="363">
        <v>0.56000000000000005</v>
      </c>
      <c r="AL55" s="364">
        <v>0.28999999999999998</v>
      </c>
      <c r="AM55" s="363">
        <v>0.53</v>
      </c>
      <c r="AN55" s="364">
        <v>0.72</v>
      </c>
      <c r="AO55" s="365">
        <v>0.45</v>
      </c>
      <c r="AQ55" s="171">
        <v>0.6</v>
      </c>
      <c r="AR55" s="362">
        <v>0.35</v>
      </c>
      <c r="AS55" s="363">
        <v>0.46</v>
      </c>
      <c r="AT55" s="364">
        <v>0.57999999999999996</v>
      </c>
      <c r="AU55" s="363">
        <v>0.47</v>
      </c>
      <c r="AV55" s="364">
        <v>0.33</v>
      </c>
      <c r="AW55" s="363">
        <v>0.51</v>
      </c>
      <c r="AX55" s="364">
        <v>0.65</v>
      </c>
      <c r="AY55" s="365">
        <v>0.48</v>
      </c>
      <c r="BA55" s="171">
        <v>0.6</v>
      </c>
      <c r="BB55" s="362">
        <v>0.3</v>
      </c>
      <c r="BC55" s="363">
        <v>0.43</v>
      </c>
      <c r="BD55" s="364">
        <v>0.61</v>
      </c>
      <c r="BE55" s="363">
        <v>0.45</v>
      </c>
      <c r="BF55" s="364">
        <v>0.31</v>
      </c>
      <c r="BG55" s="363">
        <v>0.57999999999999996</v>
      </c>
      <c r="BH55" s="364">
        <v>0.76</v>
      </c>
      <c r="BI55" s="365">
        <v>0.51</v>
      </c>
      <c r="BK55" s="171">
        <v>0.6</v>
      </c>
      <c r="BL55" s="362">
        <v>0.32</v>
      </c>
      <c r="BM55" s="363">
        <v>0.51</v>
      </c>
      <c r="BN55" s="364">
        <v>0.65</v>
      </c>
      <c r="BO55" s="363">
        <v>0.5</v>
      </c>
      <c r="BP55" s="364">
        <v>0.33</v>
      </c>
      <c r="BQ55" s="363">
        <v>0.47</v>
      </c>
      <c r="BR55" s="364">
        <v>0.63</v>
      </c>
      <c r="BS55" s="365">
        <v>0.51</v>
      </c>
      <c r="BU55" s="171">
        <v>0.6</v>
      </c>
      <c r="BV55" s="362">
        <v>0.34</v>
      </c>
      <c r="BW55" s="363">
        <v>0.46</v>
      </c>
      <c r="BX55" s="364">
        <v>0.6</v>
      </c>
      <c r="BY55" s="363">
        <v>0.48</v>
      </c>
      <c r="BZ55" s="364">
        <v>0.33</v>
      </c>
      <c r="CA55" s="363">
        <v>0.5</v>
      </c>
      <c r="CB55" s="364">
        <v>0.66</v>
      </c>
      <c r="CC55" s="365">
        <v>0.49</v>
      </c>
    </row>
    <row r="56" spans="1:81">
      <c r="A56" s="117"/>
      <c r="B56" s="187">
        <f t="shared" si="0"/>
        <v>1680</v>
      </c>
      <c r="C56" s="183">
        <v>0.8</v>
      </c>
      <c r="D56" s="362">
        <v>0.22</v>
      </c>
      <c r="E56" s="363">
        <v>0.31</v>
      </c>
      <c r="F56" s="364">
        <v>0.53</v>
      </c>
      <c r="G56" s="363">
        <v>0.47</v>
      </c>
      <c r="H56" s="364">
        <v>0.3</v>
      </c>
      <c r="I56" s="363">
        <v>0.52</v>
      </c>
      <c r="J56" s="364">
        <v>0.57999999999999996</v>
      </c>
      <c r="K56" s="365">
        <v>0.32</v>
      </c>
      <c r="M56" s="171">
        <v>0.8</v>
      </c>
      <c r="N56" s="362">
        <v>0.28999999999999998</v>
      </c>
      <c r="O56" s="363">
        <v>0.37</v>
      </c>
      <c r="P56" s="364">
        <v>0.5</v>
      </c>
      <c r="Q56" s="363">
        <v>0.41</v>
      </c>
      <c r="R56" s="364">
        <v>0.28999999999999998</v>
      </c>
      <c r="S56" s="363">
        <v>0.46</v>
      </c>
      <c r="T56" s="364">
        <v>0.57999999999999996</v>
      </c>
      <c r="U56" s="365">
        <v>0.39</v>
      </c>
      <c r="W56" s="171">
        <v>0.8</v>
      </c>
      <c r="X56" s="362">
        <v>0.24</v>
      </c>
      <c r="Y56" s="363">
        <v>0.35</v>
      </c>
      <c r="Z56" s="364">
        <v>0.59</v>
      </c>
      <c r="AA56" s="363">
        <v>0.47</v>
      </c>
      <c r="AB56" s="364">
        <v>0.27</v>
      </c>
      <c r="AC56" s="363">
        <v>0.5</v>
      </c>
      <c r="AD56" s="364">
        <v>0.6</v>
      </c>
      <c r="AE56" s="365">
        <v>0.35</v>
      </c>
      <c r="AG56" s="171">
        <v>0.8</v>
      </c>
      <c r="AH56" s="362">
        <v>0.24</v>
      </c>
      <c r="AI56" s="363">
        <v>0.38</v>
      </c>
      <c r="AJ56" s="364">
        <v>0.63</v>
      </c>
      <c r="AK56" s="363">
        <v>0.49</v>
      </c>
      <c r="AL56" s="364">
        <v>0.25</v>
      </c>
      <c r="AM56" s="363">
        <v>0.45</v>
      </c>
      <c r="AN56" s="364">
        <v>0.59</v>
      </c>
      <c r="AO56" s="365">
        <v>0.36</v>
      </c>
      <c r="AQ56" s="171">
        <v>0.8</v>
      </c>
      <c r="AR56" s="362">
        <v>0.3</v>
      </c>
      <c r="AS56" s="363">
        <v>0.37</v>
      </c>
      <c r="AT56" s="364">
        <v>0.5</v>
      </c>
      <c r="AU56" s="363">
        <v>0.4</v>
      </c>
      <c r="AV56" s="364">
        <v>0.28000000000000003</v>
      </c>
      <c r="AW56" s="363">
        <v>0.43</v>
      </c>
      <c r="AX56" s="364">
        <v>0.52</v>
      </c>
      <c r="AY56" s="365">
        <v>0.4</v>
      </c>
      <c r="BA56" s="171">
        <v>0.8</v>
      </c>
      <c r="BB56" s="362">
        <v>0.26</v>
      </c>
      <c r="BC56" s="363">
        <v>0.35</v>
      </c>
      <c r="BD56" s="364">
        <v>0.5</v>
      </c>
      <c r="BE56" s="363">
        <v>0.38</v>
      </c>
      <c r="BF56" s="364">
        <v>0.26</v>
      </c>
      <c r="BG56" s="363">
        <v>0.5</v>
      </c>
      <c r="BH56" s="364">
        <v>0.66</v>
      </c>
      <c r="BI56" s="365">
        <v>0.4</v>
      </c>
      <c r="BK56" s="171">
        <v>0.8</v>
      </c>
      <c r="BL56" s="362">
        <v>0.28000000000000003</v>
      </c>
      <c r="BM56" s="363">
        <v>0.4</v>
      </c>
      <c r="BN56" s="364">
        <v>0.54</v>
      </c>
      <c r="BO56" s="363">
        <v>0.44</v>
      </c>
      <c r="BP56" s="364">
        <v>0.28000000000000003</v>
      </c>
      <c r="BQ56" s="363">
        <v>0.41</v>
      </c>
      <c r="BR56" s="364">
        <v>0.53</v>
      </c>
      <c r="BS56" s="365">
        <v>0.4</v>
      </c>
      <c r="BU56" s="171">
        <v>0.8</v>
      </c>
      <c r="BV56" s="362">
        <v>0.3</v>
      </c>
      <c r="BW56" s="363">
        <v>0.37</v>
      </c>
      <c r="BX56" s="364">
        <v>0.5</v>
      </c>
      <c r="BY56" s="363">
        <v>0.41</v>
      </c>
      <c r="BZ56" s="364">
        <v>0.28999999999999998</v>
      </c>
      <c r="CA56" s="363">
        <v>0.43</v>
      </c>
      <c r="CB56" s="364">
        <v>0.53</v>
      </c>
      <c r="CC56" s="365">
        <v>0.4</v>
      </c>
    </row>
    <row r="57" spans="1:81">
      <c r="A57" s="117"/>
      <c r="B57" s="187">
        <f t="shared" si="0"/>
        <v>2100</v>
      </c>
      <c r="C57" s="184">
        <v>1</v>
      </c>
      <c r="D57" s="147">
        <v>0.19</v>
      </c>
      <c r="E57" s="162">
        <v>0.26</v>
      </c>
      <c r="F57" s="157">
        <v>0.45</v>
      </c>
      <c r="G57" s="162">
        <v>0.41</v>
      </c>
      <c r="H57" s="157">
        <v>0.25</v>
      </c>
      <c r="I57" s="162">
        <v>0.43</v>
      </c>
      <c r="J57" s="157">
        <v>0.48</v>
      </c>
      <c r="K57" s="164">
        <v>0.28000000000000003</v>
      </c>
      <c r="M57" s="172">
        <v>1</v>
      </c>
      <c r="N57" s="147">
        <v>0.26</v>
      </c>
      <c r="O57" s="162">
        <v>0.3</v>
      </c>
      <c r="P57" s="157">
        <v>0.43</v>
      </c>
      <c r="Q57" s="162">
        <v>0.35</v>
      </c>
      <c r="R57" s="157">
        <v>0.24</v>
      </c>
      <c r="S57" s="162">
        <v>0.4</v>
      </c>
      <c r="T57" s="157">
        <v>0.47</v>
      </c>
      <c r="U57" s="164">
        <v>0.32</v>
      </c>
      <c r="W57" s="172">
        <v>1</v>
      </c>
      <c r="X57" s="147">
        <v>0.2</v>
      </c>
      <c r="Y57" s="162">
        <v>0.28999999999999998</v>
      </c>
      <c r="Z57" s="157">
        <v>0.5</v>
      </c>
      <c r="AA57" s="162">
        <v>0.4</v>
      </c>
      <c r="AB57" s="157">
        <v>0.24</v>
      </c>
      <c r="AC57" s="162">
        <v>0.43</v>
      </c>
      <c r="AD57" s="157">
        <v>0.53</v>
      </c>
      <c r="AE57" s="164">
        <v>0.28999999999999998</v>
      </c>
      <c r="AG57" s="172">
        <v>1</v>
      </c>
      <c r="AH57" s="147">
        <v>0.2</v>
      </c>
      <c r="AI57" s="162">
        <v>0.31</v>
      </c>
      <c r="AJ57" s="157">
        <v>0.55000000000000004</v>
      </c>
      <c r="AK57" s="162">
        <v>0.42</v>
      </c>
      <c r="AL57" s="157">
        <v>0.22</v>
      </c>
      <c r="AM57" s="162">
        <v>0.39</v>
      </c>
      <c r="AN57" s="157">
        <v>0.51</v>
      </c>
      <c r="AO57" s="164">
        <v>0.3</v>
      </c>
      <c r="AQ57" s="172">
        <v>1</v>
      </c>
      <c r="AR57" s="147">
        <v>0.26</v>
      </c>
      <c r="AS57" s="162">
        <v>0.31</v>
      </c>
      <c r="AT57" s="157">
        <v>0.42</v>
      </c>
      <c r="AU57" s="162">
        <v>0.34</v>
      </c>
      <c r="AV57" s="157">
        <v>0.25</v>
      </c>
      <c r="AW57" s="162">
        <v>0.37</v>
      </c>
      <c r="AX57" s="157">
        <v>0.46</v>
      </c>
      <c r="AY57" s="164">
        <v>0.31</v>
      </c>
      <c r="BA57" s="172">
        <v>1</v>
      </c>
      <c r="BB57" s="147">
        <v>0.22</v>
      </c>
      <c r="BC57" s="162">
        <v>0.28999999999999998</v>
      </c>
      <c r="BD57" s="157">
        <v>0.42</v>
      </c>
      <c r="BE57" s="162">
        <v>0.32</v>
      </c>
      <c r="BF57" s="157">
        <v>0.23</v>
      </c>
      <c r="BG57" s="162">
        <v>0.42</v>
      </c>
      <c r="BH57" s="157">
        <v>0.56000000000000005</v>
      </c>
      <c r="BI57" s="164">
        <v>0.36</v>
      </c>
      <c r="BK57" s="172">
        <v>1</v>
      </c>
      <c r="BL57" s="147">
        <v>0.25</v>
      </c>
      <c r="BM57" s="162">
        <v>0.33</v>
      </c>
      <c r="BN57" s="157">
        <v>0.48</v>
      </c>
      <c r="BO57" s="162">
        <v>0.37</v>
      </c>
      <c r="BP57" s="157">
        <v>0.25</v>
      </c>
      <c r="BQ57" s="162">
        <v>0.35</v>
      </c>
      <c r="BR57" s="157">
        <v>0.44</v>
      </c>
      <c r="BS57" s="164">
        <v>0.32</v>
      </c>
      <c r="BU57" s="172">
        <v>1</v>
      </c>
      <c r="BV57" s="147">
        <v>0.25</v>
      </c>
      <c r="BW57" s="162">
        <v>0.3</v>
      </c>
      <c r="BX57" s="157">
        <v>0.42</v>
      </c>
      <c r="BY57" s="162">
        <v>0.35</v>
      </c>
      <c r="BZ57" s="157">
        <v>0.25</v>
      </c>
      <c r="CA57" s="162">
        <v>0.37</v>
      </c>
      <c r="CB57" s="157">
        <v>0.47</v>
      </c>
      <c r="CC57" s="164">
        <v>0.33</v>
      </c>
    </row>
    <row r="58" spans="1:81">
      <c r="A58" s="117"/>
      <c r="B58" s="187">
        <f t="shared" si="0"/>
        <v>2520</v>
      </c>
      <c r="C58" s="183">
        <v>1.2</v>
      </c>
      <c r="D58" s="362">
        <v>0.18</v>
      </c>
      <c r="E58" s="363">
        <v>0.23</v>
      </c>
      <c r="F58" s="364">
        <v>0.37</v>
      </c>
      <c r="G58" s="363">
        <v>0.33</v>
      </c>
      <c r="H58" s="364">
        <v>0.22</v>
      </c>
      <c r="I58" s="363">
        <v>0.39</v>
      </c>
      <c r="J58" s="364">
        <v>0.42</v>
      </c>
      <c r="K58" s="365">
        <v>0.26</v>
      </c>
      <c r="M58" s="171">
        <v>1.2</v>
      </c>
      <c r="N58" s="362">
        <v>0.23</v>
      </c>
      <c r="O58" s="363">
        <v>0.27</v>
      </c>
      <c r="P58" s="364">
        <v>0.35</v>
      </c>
      <c r="Q58" s="363">
        <v>0.3</v>
      </c>
      <c r="R58" s="364">
        <v>0.22</v>
      </c>
      <c r="S58" s="363">
        <v>0.34</v>
      </c>
      <c r="T58" s="364">
        <v>0.41</v>
      </c>
      <c r="U58" s="365">
        <v>0.28000000000000003</v>
      </c>
      <c r="W58" s="171">
        <v>1.2</v>
      </c>
      <c r="X58" s="362">
        <v>0.19</v>
      </c>
      <c r="Y58" s="363">
        <v>0.26</v>
      </c>
      <c r="Z58" s="364">
        <v>0.42</v>
      </c>
      <c r="AA58" s="363">
        <v>0.34</v>
      </c>
      <c r="AB58" s="364">
        <v>0.21</v>
      </c>
      <c r="AC58" s="363">
        <v>0.37</v>
      </c>
      <c r="AD58" s="364">
        <v>0.43</v>
      </c>
      <c r="AE58" s="365">
        <v>0.26</v>
      </c>
      <c r="AG58" s="171">
        <v>1.2</v>
      </c>
      <c r="AH58" s="362">
        <v>0.19</v>
      </c>
      <c r="AI58" s="363">
        <v>0.26</v>
      </c>
      <c r="AJ58" s="364">
        <v>0.46</v>
      </c>
      <c r="AK58" s="363">
        <v>0.37</v>
      </c>
      <c r="AL58" s="364">
        <v>0.2</v>
      </c>
      <c r="AM58" s="363">
        <v>0.35</v>
      </c>
      <c r="AN58" s="364">
        <v>0.45</v>
      </c>
      <c r="AO58" s="365">
        <v>0.25</v>
      </c>
      <c r="AQ58" s="171">
        <v>1.2</v>
      </c>
      <c r="AR58" s="362">
        <v>0.24</v>
      </c>
      <c r="AS58" s="363">
        <v>0.26</v>
      </c>
      <c r="AT58" s="364">
        <v>0.36</v>
      </c>
      <c r="AU58" s="363">
        <v>0.3</v>
      </c>
      <c r="AV58" s="364">
        <v>0.22</v>
      </c>
      <c r="AW58" s="363">
        <v>0.33</v>
      </c>
      <c r="AX58" s="364">
        <v>0.4</v>
      </c>
      <c r="AY58" s="365">
        <v>0.27</v>
      </c>
      <c r="BA58" s="171">
        <v>1.2</v>
      </c>
      <c r="BB58" s="362">
        <v>0.2</v>
      </c>
      <c r="BC58" s="363">
        <v>0.24</v>
      </c>
      <c r="BD58" s="364">
        <v>0.37</v>
      </c>
      <c r="BE58" s="363">
        <v>0.28999999999999998</v>
      </c>
      <c r="BF58" s="364">
        <v>0.23</v>
      </c>
      <c r="BG58" s="363">
        <v>0.39</v>
      </c>
      <c r="BH58" s="364">
        <v>0.48</v>
      </c>
      <c r="BI58" s="365">
        <v>0.28999999999999998</v>
      </c>
      <c r="BK58" s="171">
        <v>1.2</v>
      </c>
      <c r="BL58" s="362">
        <v>0.22</v>
      </c>
      <c r="BM58" s="363">
        <v>0.28000000000000003</v>
      </c>
      <c r="BN58" s="364">
        <v>0.41</v>
      </c>
      <c r="BO58" s="363">
        <v>0.34</v>
      </c>
      <c r="BP58" s="364">
        <v>0.23</v>
      </c>
      <c r="BQ58" s="363">
        <v>0.31</v>
      </c>
      <c r="BR58" s="364">
        <v>0.38</v>
      </c>
      <c r="BS58" s="365">
        <v>0.27</v>
      </c>
      <c r="BU58" s="171">
        <v>1.2</v>
      </c>
      <c r="BV58" s="362">
        <v>0.23</v>
      </c>
      <c r="BW58" s="363">
        <v>0.28000000000000003</v>
      </c>
      <c r="BX58" s="364">
        <v>0.37</v>
      </c>
      <c r="BY58" s="363">
        <v>0.31</v>
      </c>
      <c r="BZ58" s="364">
        <v>0.23</v>
      </c>
      <c r="CA58" s="363">
        <v>0.33</v>
      </c>
      <c r="CB58" s="364">
        <v>0.39</v>
      </c>
      <c r="CC58" s="365">
        <v>0.26</v>
      </c>
    </row>
    <row r="59" spans="1:81">
      <c r="A59" s="117"/>
      <c r="B59" s="187">
        <f t="shared" si="0"/>
        <v>2940</v>
      </c>
      <c r="C59" s="183">
        <v>1.4</v>
      </c>
      <c r="D59" s="362">
        <v>0.17</v>
      </c>
      <c r="E59" s="363">
        <v>0.21</v>
      </c>
      <c r="F59" s="364">
        <v>0.32</v>
      </c>
      <c r="G59" s="363">
        <v>0.3</v>
      </c>
      <c r="H59" s="364">
        <v>0.22</v>
      </c>
      <c r="I59" s="363">
        <v>0.32</v>
      </c>
      <c r="J59" s="364">
        <v>0.37</v>
      </c>
      <c r="K59" s="365">
        <v>0.22</v>
      </c>
      <c r="M59" s="171">
        <v>1.4</v>
      </c>
      <c r="N59" s="362">
        <v>0.21</v>
      </c>
      <c r="O59" s="363">
        <v>0.24</v>
      </c>
      <c r="P59" s="364">
        <v>0.32</v>
      </c>
      <c r="Q59" s="363">
        <v>0.28000000000000003</v>
      </c>
      <c r="R59" s="364">
        <v>0.21</v>
      </c>
      <c r="S59" s="363">
        <v>0.3</v>
      </c>
      <c r="T59" s="364">
        <v>0.36</v>
      </c>
      <c r="U59" s="365">
        <v>0.24</v>
      </c>
      <c r="W59" s="171">
        <v>1.4</v>
      </c>
      <c r="X59" s="362">
        <v>0.17</v>
      </c>
      <c r="Y59" s="363">
        <v>0.22</v>
      </c>
      <c r="Z59" s="364">
        <v>0.35</v>
      </c>
      <c r="AA59" s="363">
        <v>0.31</v>
      </c>
      <c r="AB59" s="364">
        <v>0.2</v>
      </c>
      <c r="AC59" s="363">
        <v>0.32</v>
      </c>
      <c r="AD59" s="364">
        <v>0.41</v>
      </c>
      <c r="AE59" s="365">
        <v>0.23</v>
      </c>
      <c r="AG59" s="171">
        <v>1.4</v>
      </c>
      <c r="AH59" s="362">
        <v>0.16</v>
      </c>
      <c r="AI59" s="363">
        <v>0.23</v>
      </c>
      <c r="AJ59" s="364">
        <v>0.39</v>
      </c>
      <c r="AK59" s="363">
        <v>0.34</v>
      </c>
      <c r="AL59" s="364">
        <v>0.17</v>
      </c>
      <c r="AM59" s="363">
        <v>0.33</v>
      </c>
      <c r="AN59" s="364">
        <v>0.38</v>
      </c>
      <c r="AO59" s="365">
        <v>0.21</v>
      </c>
      <c r="AQ59" s="171">
        <v>1.4</v>
      </c>
      <c r="AR59" s="362">
        <v>0.21</v>
      </c>
      <c r="AS59" s="363">
        <v>0.23</v>
      </c>
      <c r="AT59" s="364">
        <v>0.32</v>
      </c>
      <c r="AU59" s="363">
        <v>0.27</v>
      </c>
      <c r="AV59" s="364">
        <v>0.2</v>
      </c>
      <c r="AW59" s="363">
        <v>0.28999999999999998</v>
      </c>
      <c r="AX59" s="364">
        <v>0.34</v>
      </c>
      <c r="AY59" s="365">
        <v>0.24</v>
      </c>
      <c r="BA59" s="171">
        <v>1.4</v>
      </c>
      <c r="BB59" s="362">
        <v>0.18</v>
      </c>
      <c r="BC59" s="363">
        <v>0.22</v>
      </c>
      <c r="BD59" s="364">
        <v>0.32</v>
      </c>
      <c r="BE59" s="363">
        <v>0.26</v>
      </c>
      <c r="BF59" s="364">
        <v>0.19</v>
      </c>
      <c r="BG59" s="363">
        <v>0.34</v>
      </c>
      <c r="BH59" s="364">
        <v>0.42</v>
      </c>
      <c r="BI59" s="365">
        <v>0.26</v>
      </c>
      <c r="BK59" s="171">
        <v>1.4</v>
      </c>
      <c r="BL59" s="362">
        <v>0.19</v>
      </c>
      <c r="BM59" s="363">
        <v>0.23</v>
      </c>
      <c r="BN59" s="364">
        <v>0.36</v>
      </c>
      <c r="BO59" s="363">
        <v>0.3</v>
      </c>
      <c r="BP59" s="364">
        <v>0.21</v>
      </c>
      <c r="BQ59" s="363">
        <v>0.28000000000000003</v>
      </c>
      <c r="BR59" s="364">
        <v>0.33</v>
      </c>
      <c r="BS59" s="365">
        <v>0.24</v>
      </c>
      <c r="BU59" s="171">
        <v>1.4</v>
      </c>
      <c r="BV59" s="362">
        <v>0.21</v>
      </c>
      <c r="BW59" s="363">
        <v>0.23</v>
      </c>
      <c r="BX59" s="364">
        <v>0.32</v>
      </c>
      <c r="BY59" s="363">
        <v>0.28999999999999998</v>
      </c>
      <c r="BZ59" s="364">
        <v>0.2</v>
      </c>
      <c r="CA59" s="363">
        <v>0.28999999999999998</v>
      </c>
      <c r="CB59" s="364">
        <v>0.34</v>
      </c>
      <c r="CC59" s="365">
        <v>0.24</v>
      </c>
    </row>
    <row r="60" spans="1:81">
      <c r="A60" s="117"/>
      <c r="B60" s="187">
        <f t="shared" si="0"/>
        <v>3360</v>
      </c>
      <c r="C60" s="183">
        <v>1.6</v>
      </c>
      <c r="D60" s="362">
        <v>0.15</v>
      </c>
      <c r="E60" s="363">
        <v>0.18</v>
      </c>
      <c r="F60" s="364">
        <v>0.28000000000000003</v>
      </c>
      <c r="G60" s="363">
        <v>0.26</v>
      </c>
      <c r="H60" s="364">
        <v>0.18</v>
      </c>
      <c r="I60" s="363">
        <v>0.28999999999999998</v>
      </c>
      <c r="J60" s="364">
        <v>0.34</v>
      </c>
      <c r="K60" s="365">
        <v>0.21</v>
      </c>
      <c r="M60" s="171">
        <v>1.6</v>
      </c>
      <c r="N60" s="362">
        <v>0.19</v>
      </c>
      <c r="O60" s="363">
        <v>0.23</v>
      </c>
      <c r="P60" s="364">
        <v>0.28000000000000003</v>
      </c>
      <c r="Q60" s="363">
        <v>0.25</v>
      </c>
      <c r="R60" s="364">
        <v>0.19</v>
      </c>
      <c r="S60" s="363">
        <v>0.27</v>
      </c>
      <c r="T60" s="364">
        <v>0.31</v>
      </c>
      <c r="U60" s="365">
        <v>0.22</v>
      </c>
      <c r="W60" s="171">
        <v>1.6</v>
      </c>
      <c r="X60" s="362">
        <v>0.17</v>
      </c>
      <c r="Y60" s="363">
        <v>0.2</v>
      </c>
      <c r="Z60" s="364">
        <v>0.33</v>
      </c>
      <c r="AA60" s="363">
        <v>0.27</v>
      </c>
      <c r="AB60" s="364">
        <v>0.16</v>
      </c>
      <c r="AC60" s="363">
        <v>0.31</v>
      </c>
      <c r="AD60" s="364">
        <v>0.35</v>
      </c>
      <c r="AE60" s="365">
        <v>0.21</v>
      </c>
      <c r="AG60" s="171">
        <v>1.6</v>
      </c>
      <c r="AH60" s="362">
        <v>0.16</v>
      </c>
      <c r="AI60" s="363">
        <v>0.2</v>
      </c>
      <c r="AJ60" s="364">
        <v>0.38</v>
      </c>
      <c r="AK60" s="363">
        <v>0.3</v>
      </c>
      <c r="AL60" s="364">
        <v>0.16</v>
      </c>
      <c r="AM60" s="363">
        <v>0.28999999999999998</v>
      </c>
      <c r="AN60" s="364">
        <v>0.33</v>
      </c>
      <c r="AO60" s="365">
        <v>0.2</v>
      </c>
      <c r="AQ60" s="171">
        <v>1.6</v>
      </c>
      <c r="AR60" s="362">
        <v>0.2</v>
      </c>
      <c r="AS60" s="363">
        <v>0.22</v>
      </c>
      <c r="AT60" s="364">
        <v>0.28999999999999998</v>
      </c>
      <c r="AU60" s="363">
        <v>0.23</v>
      </c>
      <c r="AV60" s="364">
        <v>0.18</v>
      </c>
      <c r="AW60" s="363">
        <v>0.27</v>
      </c>
      <c r="AX60" s="364">
        <v>0.3</v>
      </c>
      <c r="AY60" s="365">
        <v>0.21</v>
      </c>
      <c r="BA60" s="171">
        <v>1.6</v>
      </c>
      <c r="BB60" s="362">
        <v>0.16</v>
      </c>
      <c r="BC60" s="363">
        <v>0.19</v>
      </c>
      <c r="BD60" s="364">
        <v>0.28000000000000003</v>
      </c>
      <c r="BE60" s="363">
        <v>0.24</v>
      </c>
      <c r="BF60" s="364">
        <v>0.18</v>
      </c>
      <c r="BG60" s="363">
        <v>0.31</v>
      </c>
      <c r="BH60" s="364">
        <v>0.38</v>
      </c>
      <c r="BI60" s="365">
        <v>0.21</v>
      </c>
      <c r="BK60" s="171">
        <v>1.6</v>
      </c>
      <c r="BL60" s="362">
        <v>0.18</v>
      </c>
      <c r="BM60" s="363">
        <v>0.21</v>
      </c>
      <c r="BN60" s="364">
        <v>0.33</v>
      </c>
      <c r="BO60" s="363">
        <v>0.27</v>
      </c>
      <c r="BP60" s="364">
        <v>0.2</v>
      </c>
      <c r="BQ60" s="363">
        <v>0.26</v>
      </c>
      <c r="BR60" s="364">
        <v>0.31</v>
      </c>
      <c r="BS60" s="365">
        <v>0.21</v>
      </c>
      <c r="BU60" s="171">
        <v>1.6</v>
      </c>
      <c r="BV60" s="362">
        <v>0.2</v>
      </c>
      <c r="BW60" s="363">
        <v>0.21</v>
      </c>
      <c r="BX60" s="364">
        <v>0.3</v>
      </c>
      <c r="BY60" s="363">
        <v>0.25</v>
      </c>
      <c r="BZ60" s="364">
        <v>0.18</v>
      </c>
      <c r="CA60" s="363">
        <v>0.25</v>
      </c>
      <c r="CB60" s="364">
        <v>0.31</v>
      </c>
      <c r="CC60" s="365">
        <v>0.22</v>
      </c>
    </row>
    <row r="61" spans="1:81">
      <c r="A61" s="117"/>
      <c r="B61" s="187">
        <f t="shared" si="0"/>
        <v>3780</v>
      </c>
      <c r="C61" s="183">
        <v>1.8</v>
      </c>
      <c r="D61" s="362">
        <v>0.13</v>
      </c>
      <c r="E61" s="363">
        <v>0.18</v>
      </c>
      <c r="F61" s="364">
        <v>0.27</v>
      </c>
      <c r="G61" s="363">
        <v>0.22</v>
      </c>
      <c r="H61" s="364">
        <v>0.17</v>
      </c>
      <c r="I61" s="363">
        <v>0.28000000000000003</v>
      </c>
      <c r="J61" s="364">
        <v>0.3</v>
      </c>
      <c r="K61" s="365">
        <v>0.18</v>
      </c>
      <c r="M61" s="171">
        <v>1.8</v>
      </c>
      <c r="N61" s="362">
        <v>0.17</v>
      </c>
      <c r="O61" s="363">
        <v>0.2</v>
      </c>
      <c r="P61" s="364">
        <v>0.24</v>
      </c>
      <c r="Q61" s="363">
        <v>0.22</v>
      </c>
      <c r="R61" s="364">
        <v>0.17</v>
      </c>
      <c r="S61" s="363">
        <v>0.26</v>
      </c>
      <c r="T61" s="364">
        <v>0.28000000000000003</v>
      </c>
      <c r="U61" s="365">
        <v>0.2</v>
      </c>
      <c r="W61" s="171">
        <v>1.8</v>
      </c>
      <c r="X61" s="362">
        <v>0.15</v>
      </c>
      <c r="Y61" s="363">
        <v>0.19</v>
      </c>
      <c r="Z61" s="364">
        <v>0.3</v>
      </c>
      <c r="AA61" s="363">
        <v>0.24</v>
      </c>
      <c r="AB61" s="364">
        <v>0.16</v>
      </c>
      <c r="AC61" s="363">
        <v>0.28000000000000003</v>
      </c>
      <c r="AD61" s="364">
        <v>0.33</v>
      </c>
      <c r="AE61" s="365">
        <v>0.19</v>
      </c>
      <c r="AG61" s="171">
        <v>1.8</v>
      </c>
      <c r="AH61" s="362">
        <v>0.14000000000000001</v>
      </c>
      <c r="AI61" s="363">
        <v>0.18</v>
      </c>
      <c r="AJ61" s="364">
        <v>0.32</v>
      </c>
      <c r="AK61" s="363">
        <v>0.27</v>
      </c>
      <c r="AL61" s="364">
        <v>0.14000000000000001</v>
      </c>
      <c r="AM61" s="363">
        <v>0.25</v>
      </c>
      <c r="AN61" s="364">
        <v>0.32</v>
      </c>
      <c r="AO61" s="365">
        <v>0.17</v>
      </c>
      <c r="AQ61" s="171">
        <v>1.8</v>
      </c>
      <c r="AR61" s="362">
        <v>0.18</v>
      </c>
      <c r="AS61" s="363">
        <v>0.2</v>
      </c>
      <c r="AT61" s="364">
        <v>0.25</v>
      </c>
      <c r="AU61" s="363">
        <v>0.21</v>
      </c>
      <c r="AV61" s="364">
        <v>0.17</v>
      </c>
      <c r="AW61" s="363">
        <v>0.23</v>
      </c>
      <c r="AX61" s="364">
        <v>0.27</v>
      </c>
      <c r="AY61" s="365">
        <v>0.2</v>
      </c>
      <c r="BA61" s="171">
        <v>1.8</v>
      </c>
      <c r="BB61" s="362">
        <v>0.15</v>
      </c>
      <c r="BC61" s="363">
        <v>0.18</v>
      </c>
      <c r="BD61" s="364">
        <v>0.26</v>
      </c>
      <c r="BE61" s="363">
        <v>0.22</v>
      </c>
      <c r="BF61" s="364">
        <v>0.17</v>
      </c>
      <c r="BG61" s="363">
        <v>0.28000000000000003</v>
      </c>
      <c r="BH61" s="364">
        <v>0.34</v>
      </c>
      <c r="BI61" s="365">
        <v>0.2</v>
      </c>
      <c r="BK61" s="171">
        <v>1.8</v>
      </c>
      <c r="BL61" s="362">
        <v>0.17</v>
      </c>
      <c r="BM61" s="363">
        <v>0.2</v>
      </c>
      <c r="BN61" s="364">
        <v>0.28000000000000003</v>
      </c>
      <c r="BO61" s="363">
        <v>0.24</v>
      </c>
      <c r="BP61" s="364">
        <v>0.18</v>
      </c>
      <c r="BQ61" s="363">
        <v>0.24</v>
      </c>
      <c r="BR61" s="364">
        <v>0.27</v>
      </c>
      <c r="BS61" s="365">
        <v>0.19</v>
      </c>
      <c r="BU61" s="171">
        <v>1.8</v>
      </c>
      <c r="BV61" s="362">
        <v>0.19</v>
      </c>
      <c r="BW61" s="363">
        <v>0.2</v>
      </c>
      <c r="BX61" s="364">
        <v>0.25</v>
      </c>
      <c r="BY61" s="363">
        <v>0.22</v>
      </c>
      <c r="BZ61" s="364">
        <v>0.17</v>
      </c>
      <c r="CA61" s="363">
        <v>0.23</v>
      </c>
      <c r="CB61" s="364">
        <v>0.28000000000000003</v>
      </c>
      <c r="CC61" s="365">
        <v>0.2</v>
      </c>
    </row>
    <row r="62" spans="1:81">
      <c r="A62" s="117"/>
      <c r="B62" s="187">
        <f t="shared" si="0"/>
        <v>4200</v>
      </c>
      <c r="C62" s="185">
        <v>2</v>
      </c>
      <c r="D62" s="158">
        <v>0.12</v>
      </c>
      <c r="E62" s="163">
        <v>0.17</v>
      </c>
      <c r="F62" s="159">
        <v>0.23</v>
      </c>
      <c r="G62" s="163">
        <v>0.21</v>
      </c>
      <c r="H62" s="159">
        <v>0.16</v>
      </c>
      <c r="I62" s="163">
        <v>0.24</v>
      </c>
      <c r="J62" s="159">
        <v>0.28000000000000003</v>
      </c>
      <c r="K62" s="165">
        <v>0.17</v>
      </c>
      <c r="M62" s="173">
        <v>2</v>
      </c>
      <c r="N62" s="158">
        <v>0.17</v>
      </c>
      <c r="O62" s="163">
        <v>0.19</v>
      </c>
      <c r="P62" s="159">
        <v>0.22</v>
      </c>
      <c r="Q62" s="163">
        <v>0.21</v>
      </c>
      <c r="R62" s="159">
        <v>0.16</v>
      </c>
      <c r="S62" s="163">
        <v>0.22</v>
      </c>
      <c r="T62" s="159">
        <v>0.27</v>
      </c>
      <c r="U62" s="165">
        <v>0.19</v>
      </c>
      <c r="W62" s="173">
        <v>2</v>
      </c>
      <c r="X62" s="158">
        <v>0.15</v>
      </c>
      <c r="Y62" s="163">
        <v>0.18</v>
      </c>
      <c r="Z62" s="159">
        <v>0.25</v>
      </c>
      <c r="AA62" s="163">
        <v>0.24</v>
      </c>
      <c r="AB62" s="159">
        <v>0.15</v>
      </c>
      <c r="AC62" s="163">
        <v>0.24</v>
      </c>
      <c r="AD62" s="159">
        <v>0.27</v>
      </c>
      <c r="AE62" s="165">
        <v>0.17</v>
      </c>
      <c r="AG62" s="173">
        <v>2</v>
      </c>
      <c r="AH62" s="158">
        <v>0.13</v>
      </c>
      <c r="AI62" s="163">
        <v>0.17</v>
      </c>
      <c r="AJ62" s="159">
        <v>0.28000000000000003</v>
      </c>
      <c r="AK62" s="163">
        <v>0.23</v>
      </c>
      <c r="AL62" s="159">
        <v>0.14000000000000001</v>
      </c>
      <c r="AM62" s="163">
        <v>0.24</v>
      </c>
      <c r="AN62" s="159">
        <v>0.26</v>
      </c>
      <c r="AO62" s="165">
        <v>0.16</v>
      </c>
      <c r="AQ62" s="173">
        <v>2</v>
      </c>
      <c r="AR62" s="158">
        <v>0.17</v>
      </c>
      <c r="AS62" s="163">
        <v>0.17</v>
      </c>
      <c r="AT62" s="159">
        <v>0.24</v>
      </c>
      <c r="AU62" s="163">
        <v>0.21</v>
      </c>
      <c r="AV62" s="159">
        <v>0.16</v>
      </c>
      <c r="AW62" s="163">
        <v>0.21</v>
      </c>
      <c r="AX62" s="159">
        <v>0.25</v>
      </c>
      <c r="AY62" s="165">
        <v>0.19</v>
      </c>
      <c r="BA62" s="173">
        <v>2</v>
      </c>
      <c r="BB62" s="158">
        <v>0.14000000000000001</v>
      </c>
      <c r="BC62" s="163">
        <v>0.17</v>
      </c>
      <c r="BD62" s="159">
        <v>0.24</v>
      </c>
      <c r="BE62" s="163">
        <v>0.21</v>
      </c>
      <c r="BF62" s="159">
        <v>0.17</v>
      </c>
      <c r="BG62" s="163">
        <v>0.26</v>
      </c>
      <c r="BH62" s="159">
        <v>0.31</v>
      </c>
      <c r="BI62" s="165">
        <v>0.17</v>
      </c>
      <c r="BK62" s="173">
        <v>2</v>
      </c>
      <c r="BL62" s="158">
        <v>0.16</v>
      </c>
      <c r="BM62" s="163">
        <v>0.19</v>
      </c>
      <c r="BN62" s="159">
        <v>0.27</v>
      </c>
      <c r="BO62" s="163">
        <v>0.23</v>
      </c>
      <c r="BP62" s="159">
        <v>0.18</v>
      </c>
      <c r="BQ62" s="163">
        <v>0.21</v>
      </c>
      <c r="BR62" s="159">
        <v>0.25</v>
      </c>
      <c r="BS62" s="165">
        <v>0.18</v>
      </c>
      <c r="BU62" s="173">
        <v>2</v>
      </c>
      <c r="BV62" s="158">
        <v>0.16</v>
      </c>
      <c r="BW62" s="163">
        <v>0.18</v>
      </c>
      <c r="BX62" s="159">
        <v>0.23</v>
      </c>
      <c r="BY62" s="163">
        <v>0.21</v>
      </c>
      <c r="BZ62" s="159">
        <v>0.16</v>
      </c>
      <c r="CA62" s="163">
        <v>0.22</v>
      </c>
      <c r="CB62" s="159">
        <v>0.24</v>
      </c>
      <c r="CC62" s="165">
        <v>0.19</v>
      </c>
    </row>
    <row r="63" spans="1:81">
      <c r="A63" s="117"/>
      <c r="B63" s="117"/>
      <c r="C63" s="123" t="s">
        <v>68</v>
      </c>
      <c r="D63" s="117"/>
      <c r="E63" s="117"/>
      <c r="F63" s="117"/>
      <c r="G63" s="117"/>
      <c r="H63" s="117"/>
      <c r="I63" s="117"/>
      <c r="J63" s="117"/>
      <c r="K63" s="117"/>
      <c r="L63" s="117"/>
      <c r="M63" s="117"/>
      <c r="N63" s="117"/>
      <c r="O63" s="117"/>
      <c r="P63" s="117"/>
      <c r="Q63" s="117"/>
      <c r="R63" s="117"/>
      <c r="S63" s="117"/>
      <c r="T63" s="117"/>
      <c r="U63" s="117"/>
      <c r="V63" s="117"/>
      <c r="W63" s="117"/>
      <c r="X63" s="117"/>
      <c r="Y63" s="117"/>
      <c r="Z63" s="117"/>
      <c r="AA63" s="117"/>
      <c r="AB63" s="117"/>
      <c r="AC63" s="117"/>
      <c r="AD63" s="117"/>
      <c r="AE63" s="117"/>
      <c r="AF63" s="117"/>
      <c r="AG63" s="117"/>
      <c r="AH63" s="117"/>
      <c r="AI63" s="117"/>
      <c r="AJ63" s="117"/>
      <c r="AK63" s="117"/>
      <c r="AL63" s="117"/>
      <c r="AM63" s="117"/>
      <c r="AN63" s="117"/>
      <c r="AO63" s="117"/>
      <c r="AP63" s="117"/>
      <c r="AQ63" s="117"/>
      <c r="AR63" s="117"/>
      <c r="AS63" s="117"/>
      <c r="AT63" s="117"/>
      <c r="AU63" s="117"/>
      <c r="AV63" s="117"/>
      <c r="AW63" s="117"/>
      <c r="AX63" s="117"/>
      <c r="AY63" s="117"/>
      <c r="AZ63" s="117"/>
      <c r="BA63" s="117"/>
      <c r="BB63" s="117"/>
      <c r="BC63" s="117"/>
      <c r="BD63" s="117"/>
      <c r="BE63" s="117"/>
      <c r="BF63" s="117"/>
      <c r="BG63" s="117"/>
      <c r="BH63" s="117"/>
      <c r="BI63" s="117"/>
      <c r="BJ63" s="117"/>
      <c r="BK63" s="117"/>
      <c r="BL63" s="117"/>
      <c r="BM63" s="117"/>
      <c r="BN63" s="117"/>
      <c r="BO63" s="117"/>
      <c r="BP63" s="117"/>
      <c r="BQ63" s="117"/>
      <c r="BR63" s="117"/>
      <c r="BS63" s="117"/>
      <c r="BT63" s="117"/>
      <c r="BU63" s="117"/>
      <c r="BV63" s="117"/>
      <c r="BW63" s="117"/>
      <c r="BX63" s="117"/>
      <c r="BY63" s="117"/>
      <c r="BZ63" s="117"/>
      <c r="CA63" s="117"/>
      <c r="CB63" s="117"/>
      <c r="CC63" s="117"/>
    </row>
    <row r="64" spans="1:81">
      <c r="A64" s="117"/>
      <c r="B64" s="117"/>
      <c r="C64" s="117"/>
      <c r="D64" s="117"/>
      <c r="E64" s="117"/>
      <c r="F64" s="117"/>
      <c r="G64" s="117"/>
      <c r="H64" s="117"/>
      <c r="I64" s="117"/>
      <c r="J64" s="117"/>
      <c r="K64" s="117"/>
      <c r="L64" s="117"/>
      <c r="M64" s="117"/>
      <c r="N64" s="117"/>
      <c r="O64" s="117"/>
      <c r="P64" s="117"/>
      <c r="Q64" s="117"/>
      <c r="R64" s="117"/>
      <c r="S64" s="117"/>
      <c r="T64" s="117"/>
      <c r="U64" s="117"/>
      <c r="V64" s="117"/>
      <c r="W64" s="117"/>
      <c r="X64" s="117"/>
      <c r="Y64" s="117"/>
      <c r="Z64" s="117"/>
      <c r="AA64" s="117"/>
      <c r="AB64" s="117"/>
      <c r="AC64" s="117"/>
      <c r="AD64" s="117"/>
      <c r="AE64" s="117"/>
      <c r="AF64" s="117"/>
      <c r="AG64" s="117"/>
      <c r="AH64" s="117"/>
      <c r="AI64" s="117"/>
      <c r="AJ64" s="117"/>
      <c r="AK64" s="117"/>
      <c r="AL64" s="117"/>
      <c r="AM64" s="117"/>
      <c r="AN64" s="117"/>
      <c r="AO64" s="117"/>
      <c r="AP64" s="117"/>
      <c r="AQ64" s="117"/>
      <c r="AR64" s="117"/>
      <c r="AS64" s="117"/>
      <c r="AT64" s="117"/>
      <c r="AU64" s="117"/>
      <c r="AV64" s="117"/>
      <c r="AW64" s="117"/>
      <c r="AX64" s="117"/>
      <c r="AY64" s="117"/>
      <c r="AZ64" s="117"/>
      <c r="BA64" s="117"/>
      <c r="BB64" s="117"/>
      <c r="BC64" s="117"/>
      <c r="BD64" s="117"/>
      <c r="BE64" s="117"/>
      <c r="BF64" s="117"/>
      <c r="BG64" s="117"/>
      <c r="BH64" s="117"/>
      <c r="BI64" s="117"/>
      <c r="BJ64" s="117"/>
      <c r="BK64" s="117"/>
      <c r="BL64" s="117"/>
      <c r="BM64" s="117"/>
      <c r="BN64" s="117"/>
      <c r="BO64" s="117"/>
      <c r="BP64" s="117"/>
      <c r="BQ64" s="117"/>
      <c r="BR64" s="117"/>
      <c r="BS64" s="117"/>
      <c r="BT64" s="117"/>
      <c r="BU64" s="117"/>
      <c r="BV64" s="117"/>
      <c r="BW64" s="117"/>
      <c r="BX64" s="117"/>
      <c r="BY64" s="117"/>
      <c r="BZ64" s="117"/>
      <c r="CA64" s="117"/>
      <c r="CB64" s="117"/>
      <c r="CC64" s="117"/>
    </row>
    <row r="65" spans="1:81">
      <c r="A65" s="117"/>
      <c r="B65" s="188">
        <v>2100</v>
      </c>
      <c r="C65" s="186" t="s">
        <v>189</v>
      </c>
      <c r="D65" s="117"/>
      <c r="E65" s="117"/>
      <c r="F65" s="117"/>
      <c r="G65" s="117"/>
      <c r="H65" s="117"/>
      <c r="I65" s="117"/>
      <c r="J65" s="117"/>
      <c r="K65" s="117"/>
      <c r="L65" s="117"/>
      <c r="M65" s="117"/>
      <c r="N65" s="117"/>
      <c r="O65" s="117"/>
      <c r="P65" s="117"/>
      <c r="Q65" s="117"/>
      <c r="R65" s="117"/>
      <c r="S65" s="117"/>
      <c r="T65" s="117"/>
      <c r="U65" s="117"/>
      <c r="V65" s="117"/>
      <c r="W65" s="117"/>
      <c r="X65" s="117"/>
      <c r="Y65" s="117"/>
      <c r="Z65" s="117"/>
      <c r="AA65" s="117"/>
      <c r="AB65" s="117"/>
      <c r="AC65" s="117"/>
      <c r="AD65" s="117"/>
      <c r="AE65" s="117"/>
      <c r="AF65" s="117"/>
      <c r="AG65" s="117"/>
      <c r="AH65" s="117"/>
      <c r="AI65" s="117"/>
      <c r="AJ65" s="117"/>
      <c r="AK65" s="117"/>
      <c r="AL65" s="117"/>
      <c r="AM65" s="117"/>
      <c r="AN65" s="117"/>
      <c r="AO65" s="117"/>
      <c r="AP65" s="117"/>
      <c r="AQ65" s="117"/>
      <c r="AR65" s="117"/>
      <c r="AS65" s="117"/>
      <c r="AT65" s="117"/>
      <c r="AU65" s="117"/>
      <c r="AV65" s="117"/>
      <c r="AW65" s="117"/>
      <c r="AX65" s="117"/>
      <c r="AY65" s="117"/>
      <c r="AZ65" s="117"/>
      <c r="BA65" s="117"/>
      <c r="BB65" s="117"/>
      <c r="BC65" s="117"/>
      <c r="BD65" s="117"/>
      <c r="BE65" s="117"/>
      <c r="BF65" s="117"/>
      <c r="BG65" s="117"/>
      <c r="BH65" s="117"/>
      <c r="BI65" s="117"/>
      <c r="BJ65" s="117"/>
      <c r="BK65" s="117"/>
      <c r="BL65" s="117"/>
      <c r="BM65" s="117"/>
      <c r="BN65" s="117"/>
      <c r="BO65" s="117"/>
      <c r="BP65" s="117"/>
      <c r="BQ65" s="117"/>
      <c r="BR65" s="117"/>
      <c r="BS65" s="117"/>
      <c r="BT65" s="117"/>
      <c r="BU65" s="117"/>
      <c r="BV65" s="117"/>
      <c r="BW65" s="117"/>
      <c r="BX65" s="117"/>
      <c r="BY65" s="117"/>
      <c r="BZ65" s="117"/>
      <c r="CA65" s="117"/>
      <c r="CB65" s="117"/>
      <c r="CC65" s="117"/>
    </row>
    <row r="66" spans="1:81">
      <c r="A66" s="117"/>
      <c r="B66" s="180" t="s">
        <v>192</v>
      </c>
      <c r="D66" s="117"/>
      <c r="E66" s="117"/>
      <c r="F66" s="117"/>
      <c r="G66" s="117"/>
      <c r="H66" s="117"/>
      <c r="I66" s="117"/>
      <c r="J66" s="117"/>
      <c r="K66" s="117"/>
      <c r="L66" s="117"/>
      <c r="M66" s="117"/>
      <c r="N66" s="117"/>
      <c r="O66" s="117"/>
      <c r="P66" s="117"/>
      <c r="Q66" s="117"/>
      <c r="R66" s="117"/>
      <c r="S66" s="117"/>
      <c r="T66" s="117"/>
      <c r="U66" s="117"/>
      <c r="V66" s="117"/>
      <c r="W66" s="117"/>
      <c r="X66" s="117"/>
      <c r="Y66" s="117"/>
      <c r="Z66" s="117"/>
      <c r="AA66" s="117"/>
      <c r="AB66" s="117"/>
      <c r="AC66" s="117"/>
      <c r="AD66" s="117"/>
      <c r="AE66" s="117"/>
      <c r="AF66" s="117"/>
      <c r="AG66" s="117"/>
      <c r="AH66" s="117"/>
      <c r="AI66" s="117"/>
      <c r="AJ66" s="117"/>
      <c r="AK66" s="117"/>
      <c r="AL66" s="117"/>
      <c r="AM66" s="117"/>
      <c r="AN66" s="117"/>
      <c r="AO66" s="117"/>
      <c r="AP66" s="117"/>
      <c r="AQ66" s="117"/>
      <c r="AR66" s="117"/>
      <c r="AS66" s="117"/>
      <c r="AT66" s="117"/>
      <c r="AU66" s="117"/>
      <c r="AV66" s="117"/>
      <c r="AW66" s="117"/>
      <c r="AX66" s="117"/>
      <c r="AY66" s="117"/>
      <c r="AZ66" s="117"/>
      <c r="BA66" s="117"/>
      <c r="BB66" s="117"/>
      <c r="BC66" s="117"/>
      <c r="BD66" s="117"/>
      <c r="BE66" s="117"/>
      <c r="BF66" s="117"/>
      <c r="BG66" s="117"/>
      <c r="BH66" s="117"/>
      <c r="BI66" s="117"/>
      <c r="BJ66" s="117"/>
      <c r="BK66" s="117"/>
      <c r="BL66" s="117"/>
      <c r="BM66" s="117"/>
      <c r="BN66" s="117"/>
      <c r="BO66" s="117"/>
      <c r="BP66" s="117"/>
      <c r="BQ66" s="117"/>
      <c r="BR66" s="117"/>
      <c r="BS66" s="117"/>
      <c r="BT66" s="117"/>
      <c r="BU66" s="117"/>
      <c r="BV66" s="117"/>
      <c r="BW66" s="117"/>
      <c r="BX66" s="117"/>
      <c r="BY66" s="117"/>
      <c r="BZ66" s="117"/>
      <c r="CA66" s="117"/>
      <c r="CB66" s="117"/>
      <c r="CC66" s="117"/>
    </row>
    <row r="67" spans="1:81">
      <c r="A67" s="117"/>
      <c r="B67" s="180"/>
      <c r="D67" s="117"/>
      <c r="E67" s="117"/>
      <c r="F67" s="117"/>
      <c r="G67" s="117"/>
      <c r="H67" s="117"/>
      <c r="I67" s="117"/>
      <c r="J67" s="117"/>
      <c r="K67" s="117"/>
      <c r="L67" s="117"/>
      <c r="M67" s="117"/>
      <c r="N67" s="117"/>
      <c r="O67" s="117"/>
      <c r="P67" s="117"/>
      <c r="Q67" s="117"/>
      <c r="R67" s="117"/>
      <c r="S67" s="117"/>
      <c r="T67" s="117"/>
      <c r="U67" s="117"/>
      <c r="V67" s="117"/>
      <c r="W67" s="117"/>
      <c r="X67" s="117"/>
      <c r="Y67" s="117"/>
      <c r="Z67" s="117"/>
      <c r="AA67" s="117"/>
      <c r="AB67" s="117"/>
      <c r="AC67" s="117"/>
      <c r="AD67" s="117"/>
      <c r="AE67" s="117"/>
      <c r="AF67" s="117"/>
      <c r="AG67" s="117"/>
      <c r="AH67" s="117"/>
      <c r="AI67" s="117"/>
      <c r="AJ67" s="117"/>
      <c r="AK67" s="117"/>
      <c r="AL67" s="117"/>
      <c r="AM67" s="117"/>
      <c r="AN67" s="117"/>
      <c r="AO67" s="117"/>
      <c r="AP67" s="117"/>
      <c r="AQ67" s="117"/>
      <c r="AR67" s="117"/>
      <c r="AS67" s="117"/>
      <c r="AT67" s="117"/>
      <c r="AU67" s="117"/>
      <c r="AV67" s="117"/>
      <c r="AW67" s="117"/>
      <c r="AX67" s="117"/>
      <c r="AY67" s="117"/>
      <c r="AZ67" s="117"/>
      <c r="BA67" s="117"/>
      <c r="BB67" s="117"/>
      <c r="BC67" s="117"/>
      <c r="BD67" s="117"/>
      <c r="BE67" s="117"/>
      <c r="BF67" s="117"/>
      <c r="BG67" s="117"/>
      <c r="BH67" s="117"/>
      <c r="BI67" s="117"/>
      <c r="BJ67" s="117"/>
      <c r="BK67" s="117"/>
      <c r="BL67" s="117"/>
      <c r="BM67" s="117"/>
      <c r="BN67" s="117"/>
      <c r="BO67" s="117"/>
      <c r="BP67" s="117"/>
      <c r="BQ67" s="117"/>
      <c r="BR67" s="117"/>
      <c r="BS67" s="117"/>
      <c r="BT67" s="117"/>
      <c r="BU67" s="117"/>
      <c r="BV67" s="117"/>
      <c r="BW67" s="117"/>
      <c r="BX67" s="117"/>
      <c r="BY67" s="117"/>
      <c r="BZ67" s="117"/>
      <c r="CA67" s="117"/>
      <c r="CB67" s="117"/>
      <c r="CC67" s="117"/>
    </row>
    <row r="68" spans="1:81">
      <c r="A68" s="117"/>
      <c r="B68" s="180"/>
      <c r="D68" s="117"/>
      <c r="E68" s="117"/>
      <c r="F68" s="117"/>
      <c r="G68" s="117"/>
      <c r="H68" s="117"/>
      <c r="I68" s="117"/>
      <c r="J68" s="117"/>
      <c r="K68" s="117"/>
      <c r="L68" s="117"/>
      <c r="M68" s="117"/>
      <c r="N68" s="117"/>
      <c r="O68" s="117"/>
      <c r="P68" s="117"/>
      <c r="Q68" s="117"/>
      <c r="R68" s="117"/>
      <c r="S68" s="117"/>
      <c r="T68" s="117"/>
      <c r="U68" s="117"/>
      <c r="V68" s="117"/>
      <c r="W68" s="117"/>
      <c r="X68" s="117"/>
      <c r="Y68" s="117"/>
      <c r="Z68" s="117"/>
      <c r="AA68" s="117"/>
      <c r="AB68" s="117"/>
      <c r="AC68" s="117"/>
      <c r="AD68" s="117"/>
      <c r="AE68" s="117"/>
      <c r="AF68" s="117"/>
      <c r="AG68" s="117"/>
      <c r="AH68" s="117"/>
      <c r="AI68" s="117"/>
      <c r="AJ68" s="117"/>
      <c r="AK68" s="117"/>
      <c r="AL68" s="117"/>
      <c r="AM68" s="117"/>
      <c r="AN68" s="117"/>
      <c r="AO68" s="117"/>
      <c r="AP68" s="117"/>
      <c r="AQ68" s="117"/>
      <c r="AR68" s="117"/>
      <c r="AS68" s="117"/>
      <c r="AT68" s="117"/>
      <c r="AU68" s="117"/>
      <c r="AV68" s="117"/>
      <c r="AW68" s="117"/>
      <c r="AX68" s="117"/>
      <c r="AY68" s="117"/>
      <c r="AZ68" s="117"/>
      <c r="BA68" s="117"/>
      <c r="BB68" s="117"/>
      <c r="BC68" s="117"/>
      <c r="BD68" s="117"/>
      <c r="BE68" s="117"/>
      <c r="BF68" s="117"/>
      <c r="BG68" s="117"/>
      <c r="BH68" s="117"/>
      <c r="BI68" s="117"/>
      <c r="BJ68" s="117"/>
      <c r="BK68" s="117"/>
      <c r="BL68" s="117"/>
      <c r="BM68" s="117"/>
      <c r="BN68" s="117"/>
      <c r="BO68" s="117"/>
      <c r="BP68" s="117"/>
      <c r="BQ68" s="117"/>
      <c r="BR68" s="117"/>
      <c r="BS68" s="117"/>
      <c r="BT68" s="117"/>
      <c r="BU68" s="117"/>
      <c r="BV68" s="117"/>
      <c r="BW68" s="117"/>
      <c r="BX68" s="117"/>
      <c r="BY68" s="117"/>
      <c r="BZ68" s="117"/>
      <c r="CA68" s="117"/>
      <c r="CB68" s="117"/>
      <c r="CC68" s="117"/>
    </row>
    <row r="69" spans="1:81">
      <c r="A69" s="117"/>
      <c r="B69" s="180"/>
      <c r="D69" s="117"/>
      <c r="E69" s="117"/>
      <c r="F69" s="117"/>
      <c r="G69" s="117"/>
      <c r="H69" s="117"/>
      <c r="I69" s="117"/>
      <c r="J69" s="117"/>
      <c r="K69" s="117"/>
      <c r="L69" s="117"/>
      <c r="M69" s="117"/>
      <c r="N69" s="117"/>
      <c r="O69" s="117"/>
      <c r="P69" s="117"/>
      <c r="Q69" s="117"/>
      <c r="R69" s="117"/>
      <c r="S69" s="117"/>
      <c r="T69" s="117"/>
      <c r="U69" s="117"/>
      <c r="V69" s="117"/>
      <c r="W69" s="117"/>
      <c r="X69" s="117"/>
      <c r="Y69" s="117"/>
      <c r="Z69" s="117"/>
      <c r="AA69" s="117"/>
      <c r="AB69" s="117"/>
      <c r="AC69" s="117"/>
      <c r="AD69" s="117"/>
      <c r="AE69" s="117"/>
      <c r="AF69" s="117"/>
      <c r="AG69" s="117"/>
      <c r="AH69" s="117"/>
      <c r="AI69" s="117"/>
      <c r="AJ69" s="117"/>
      <c r="AK69" s="117"/>
      <c r="AL69" s="117"/>
      <c r="AM69" s="117"/>
      <c r="AN69" s="117"/>
      <c r="AO69" s="117"/>
      <c r="AP69" s="117"/>
      <c r="AQ69" s="117"/>
      <c r="AR69" s="117"/>
      <c r="AS69" s="117"/>
      <c r="AT69" s="117"/>
      <c r="AU69" s="117"/>
      <c r="AV69" s="117"/>
      <c r="AW69" s="117"/>
      <c r="AX69" s="117"/>
      <c r="AY69" s="117"/>
      <c r="AZ69" s="117"/>
      <c r="BA69" s="117"/>
      <c r="BB69" s="117"/>
      <c r="BC69" s="117"/>
      <c r="BD69" s="117"/>
      <c r="BE69" s="117"/>
      <c r="BF69" s="117"/>
      <c r="BG69" s="117"/>
      <c r="BH69" s="117"/>
      <c r="BI69" s="117"/>
      <c r="BJ69" s="117"/>
      <c r="BK69" s="117"/>
      <c r="BL69" s="117"/>
      <c r="BM69" s="117"/>
      <c r="BN69" s="117"/>
      <c r="BO69" s="117"/>
      <c r="BP69" s="117"/>
      <c r="BQ69" s="117"/>
      <c r="BR69" s="117"/>
      <c r="BS69" s="117"/>
      <c r="BT69" s="117"/>
      <c r="BU69" s="117"/>
      <c r="BV69" s="117"/>
      <c r="BW69" s="117"/>
      <c r="BX69" s="117"/>
      <c r="BY69" s="117"/>
      <c r="BZ69" s="117"/>
      <c r="CA69" s="117"/>
      <c r="CB69" s="117"/>
      <c r="CC69" s="117"/>
    </row>
    <row r="70" spans="1:81" ht="15.75">
      <c r="A70" s="117"/>
      <c r="B70" s="190" t="s">
        <v>198</v>
      </c>
      <c r="C70" s="189" t="s">
        <v>191</v>
      </c>
      <c r="D70" s="117"/>
      <c r="E70" s="117"/>
      <c r="F70" s="117"/>
      <c r="G70" s="117"/>
      <c r="H70" s="117"/>
      <c r="I70" s="117"/>
      <c r="J70" s="117"/>
      <c r="K70" s="117"/>
      <c r="L70" s="117"/>
      <c r="M70" s="117"/>
      <c r="N70" s="117"/>
      <c r="O70" s="117"/>
      <c r="P70" s="117"/>
      <c r="Q70" s="117"/>
      <c r="R70" s="117"/>
      <c r="S70" s="117"/>
      <c r="T70" s="117"/>
      <c r="U70" s="117"/>
      <c r="V70" s="117"/>
      <c r="W70" s="117"/>
      <c r="X70" s="117"/>
      <c r="Y70" s="117"/>
      <c r="Z70" s="117"/>
      <c r="AA70" s="117"/>
      <c r="AB70" s="117"/>
      <c r="AC70" s="117"/>
      <c r="AD70" s="117"/>
      <c r="AE70" s="117"/>
      <c r="AF70" s="117"/>
      <c r="AG70" s="117"/>
      <c r="AH70" s="117"/>
      <c r="AI70" s="117"/>
      <c r="AJ70" s="117"/>
      <c r="AK70" s="117"/>
      <c r="AL70" s="117"/>
      <c r="AM70" s="117"/>
      <c r="AN70" s="117"/>
      <c r="AO70" s="117"/>
      <c r="AP70" s="117"/>
      <c r="AQ70" s="117"/>
      <c r="AR70" s="117"/>
      <c r="AS70" s="117"/>
      <c r="AT70" s="117"/>
      <c r="AU70" s="117"/>
      <c r="AV70" s="117"/>
      <c r="AW70" s="117"/>
      <c r="AX70" s="117"/>
      <c r="AY70" s="117"/>
      <c r="AZ70" s="117"/>
      <c r="BA70" s="117"/>
      <c r="BB70" s="117"/>
      <c r="BC70" s="117"/>
      <c r="BD70" s="117"/>
      <c r="BE70" s="117"/>
      <c r="BF70" s="117"/>
      <c r="BG70" s="117"/>
      <c r="BH70" s="117"/>
      <c r="BI70" s="117"/>
      <c r="BJ70" s="117"/>
      <c r="BK70" s="117"/>
      <c r="BL70" s="117"/>
      <c r="BM70" s="117"/>
      <c r="BN70" s="117"/>
      <c r="BO70" s="117"/>
      <c r="BP70" s="117"/>
      <c r="BQ70" s="117"/>
      <c r="BR70" s="117"/>
      <c r="BS70" s="117"/>
      <c r="BT70" s="117"/>
      <c r="BU70" s="117"/>
      <c r="BV70" s="117"/>
      <c r="BW70" s="117"/>
      <c r="BX70" s="117"/>
      <c r="BY70" s="117"/>
      <c r="BZ70" s="117"/>
      <c r="CA70" s="117"/>
      <c r="CB70" s="117"/>
      <c r="CC70" s="117"/>
    </row>
    <row r="71" spans="1:81">
      <c r="A71" s="117"/>
      <c r="C71" s="180" t="s">
        <v>203</v>
      </c>
      <c r="D71" s="117"/>
      <c r="E71" s="117"/>
      <c r="F71" s="117"/>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7"/>
      <c r="AI71" s="117"/>
      <c r="AJ71" s="117"/>
      <c r="AK71" s="117"/>
      <c r="AL71" s="117"/>
      <c r="AM71" s="117"/>
      <c r="AN71" s="117"/>
      <c r="AO71" s="117"/>
      <c r="AP71" s="117"/>
      <c r="AQ71" s="117"/>
      <c r="AR71" s="117"/>
      <c r="AS71" s="117"/>
      <c r="AT71" s="117"/>
      <c r="AU71" s="117"/>
      <c r="AV71" s="117"/>
      <c r="AW71" s="117"/>
      <c r="AX71" s="117"/>
      <c r="AY71" s="117"/>
      <c r="AZ71" s="117"/>
      <c r="BA71" s="117"/>
      <c r="BB71" s="117"/>
      <c r="BC71" s="117"/>
      <c r="BD71" s="117"/>
      <c r="BE71" s="117"/>
      <c r="BF71" s="117"/>
      <c r="BG71" s="117"/>
      <c r="BH71" s="117"/>
      <c r="BI71" s="117"/>
      <c r="BJ71" s="117"/>
      <c r="BK71" s="117"/>
      <c r="BL71" s="117"/>
      <c r="BM71" s="117"/>
      <c r="BN71" s="117"/>
      <c r="BO71" s="117"/>
      <c r="BP71" s="117"/>
      <c r="BQ71" s="117"/>
      <c r="BR71" s="117"/>
      <c r="BS71" s="117"/>
      <c r="BT71" s="117"/>
      <c r="BU71" s="117"/>
      <c r="BV71" s="117"/>
      <c r="BW71" s="117"/>
      <c r="BX71" s="117"/>
      <c r="BY71" s="117"/>
      <c r="BZ71" s="117"/>
      <c r="CA71" s="117"/>
      <c r="CB71" s="117"/>
      <c r="CC71" s="117"/>
    </row>
    <row r="72" spans="1:81">
      <c r="A72" s="117"/>
      <c r="D72" s="126"/>
      <c r="E72" s="126"/>
      <c r="F72" s="126"/>
      <c r="H72" s="117"/>
      <c r="I72" s="117"/>
      <c r="J72" s="117"/>
      <c r="K72" s="117"/>
      <c r="L72" s="117"/>
      <c r="M72" s="117"/>
      <c r="N72" s="117"/>
      <c r="O72" s="117"/>
      <c r="P72" s="117"/>
      <c r="Q72" s="117"/>
      <c r="R72" s="117"/>
      <c r="S72" s="117"/>
      <c r="T72" s="117"/>
      <c r="U72" s="117"/>
      <c r="V72" s="117"/>
      <c r="W72" s="117"/>
      <c r="X72" s="117"/>
      <c r="Y72" s="117"/>
      <c r="Z72" s="117"/>
      <c r="AA72" s="117"/>
      <c r="AB72" s="117"/>
      <c r="AC72" s="117"/>
      <c r="AD72" s="117"/>
      <c r="AE72" s="117"/>
      <c r="AF72" s="117"/>
      <c r="AG72" s="117"/>
      <c r="AH72" s="117"/>
      <c r="AI72" s="117"/>
      <c r="AJ72" s="117"/>
      <c r="AK72" s="117"/>
      <c r="AL72" s="117"/>
      <c r="AM72" s="117"/>
      <c r="AN72" s="117"/>
      <c r="AO72" s="117"/>
      <c r="AP72" s="117"/>
      <c r="AQ72" s="117"/>
      <c r="AR72" s="117"/>
      <c r="AS72" s="117"/>
      <c r="AT72" s="117"/>
      <c r="AU72" s="117"/>
      <c r="AV72" s="117"/>
      <c r="AW72" s="117"/>
      <c r="AX72" s="117"/>
      <c r="AY72" s="117"/>
      <c r="AZ72" s="117"/>
      <c r="BA72" s="117"/>
      <c r="BB72" s="117"/>
      <c r="BC72" s="117"/>
      <c r="BD72" s="117"/>
      <c r="BE72" s="117"/>
      <c r="BF72" s="117"/>
      <c r="BG72" s="117"/>
      <c r="BH72" s="117"/>
      <c r="BI72" s="117"/>
      <c r="BJ72" s="117"/>
      <c r="BK72" s="117"/>
      <c r="BL72" s="117"/>
      <c r="BM72" s="117"/>
      <c r="BN72" s="117"/>
      <c r="BO72" s="117"/>
      <c r="BP72" s="117"/>
      <c r="BQ72" s="117"/>
      <c r="BR72" s="117"/>
      <c r="BS72" s="117"/>
      <c r="BT72" s="117"/>
      <c r="BU72" s="117"/>
      <c r="BV72" s="117"/>
      <c r="BW72" s="117"/>
      <c r="BX72" s="117"/>
      <c r="BY72" s="117"/>
      <c r="BZ72" s="117"/>
      <c r="CA72" s="117"/>
      <c r="CB72" s="117"/>
      <c r="CC72" s="117"/>
    </row>
    <row r="73" spans="1:81">
      <c r="A73" s="117"/>
      <c r="C73" s="3" t="s">
        <v>173</v>
      </c>
      <c r="L73" s="117"/>
      <c r="M73" s="3" t="s">
        <v>174</v>
      </c>
      <c r="V73" s="117"/>
      <c r="W73" s="3" t="s">
        <v>175</v>
      </c>
      <c r="AF73" s="117"/>
      <c r="AG73" s="3" t="s">
        <v>176</v>
      </c>
      <c r="AP73" s="117"/>
      <c r="AQ73" s="3" t="s">
        <v>177</v>
      </c>
      <c r="AZ73" s="117"/>
      <c r="BA73" s="3" t="s">
        <v>178</v>
      </c>
      <c r="BJ73" s="117"/>
      <c r="BK73" s="3" t="s">
        <v>179</v>
      </c>
      <c r="BT73" s="117"/>
      <c r="BU73" s="3" t="s">
        <v>180</v>
      </c>
    </row>
    <row r="74" spans="1:81">
      <c r="A74" s="117"/>
      <c r="C74" s="155"/>
      <c r="D74" s="153" t="s">
        <v>9</v>
      </c>
      <c r="E74" s="148" t="s">
        <v>1</v>
      </c>
      <c r="F74" s="148" t="s">
        <v>10</v>
      </c>
      <c r="G74" s="148" t="s">
        <v>2</v>
      </c>
      <c r="H74" s="148" t="s">
        <v>11</v>
      </c>
      <c r="I74" s="148" t="s">
        <v>7</v>
      </c>
      <c r="J74" s="148" t="s">
        <v>8</v>
      </c>
      <c r="K74" s="149" t="s">
        <v>12</v>
      </c>
      <c r="L74" s="117"/>
      <c r="M74" s="155"/>
      <c r="N74" s="153" t="s">
        <v>9</v>
      </c>
      <c r="O74" s="148" t="s">
        <v>1</v>
      </c>
      <c r="P74" s="148" t="s">
        <v>10</v>
      </c>
      <c r="Q74" s="148" t="s">
        <v>2</v>
      </c>
      <c r="R74" s="148" t="s">
        <v>11</v>
      </c>
      <c r="S74" s="148" t="s">
        <v>7</v>
      </c>
      <c r="T74" s="148" t="s">
        <v>8</v>
      </c>
      <c r="U74" s="149" t="s">
        <v>12</v>
      </c>
      <c r="W74" s="155"/>
      <c r="X74" s="153" t="s">
        <v>9</v>
      </c>
      <c r="Y74" s="148" t="s">
        <v>1</v>
      </c>
      <c r="Z74" s="148" t="s">
        <v>10</v>
      </c>
      <c r="AA74" s="148" t="s">
        <v>2</v>
      </c>
      <c r="AB74" s="148" t="s">
        <v>11</v>
      </c>
      <c r="AC74" s="148" t="s">
        <v>7</v>
      </c>
      <c r="AD74" s="148" t="s">
        <v>8</v>
      </c>
      <c r="AE74" s="149" t="s">
        <v>12</v>
      </c>
      <c r="AG74" s="155"/>
      <c r="AH74" s="153" t="s">
        <v>9</v>
      </c>
      <c r="AI74" s="148" t="s">
        <v>1</v>
      </c>
      <c r="AJ74" s="148" t="s">
        <v>10</v>
      </c>
      <c r="AK74" s="148" t="s">
        <v>2</v>
      </c>
      <c r="AL74" s="148" t="s">
        <v>11</v>
      </c>
      <c r="AM74" s="148" t="s">
        <v>7</v>
      </c>
      <c r="AN74" s="148" t="s">
        <v>8</v>
      </c>
      <c r="AO74" s="149" t="s">
        <v>12</v>
      </c>
      <c r="AQ74" s="155"/>
      <c r="AR74" s="153" t="s">
        <v>9</v>
      </c>
      <c r="AS74" s="148" t="s">
        <v>1</v>
      </c>
      <c r="AT74" s="148" t="s">
        <v>10</v>
      </c>
      <c r="AU74" s="148" t="s">
        <v>2</v>
      </c>
      <c r="AV74" s="148" t="s">
        <v>11</v>
      </c>
      <c r="AW74" s="148" t="s">
        <v>7</v>
      </c>
      <c r="AX74" s="148" t="s">
        <v>8</v>
      </c>
      <c r="AY74" s="149" t="s">
        <v>12</v>
      </c>
      <c r="BA74" s="155"/>
      <c r="BB74" s="153" t="s">
        <v>9</v>
      </c>
      <c r="BC74" s="148" t="s">
        <v>1</v>
      </c>
      <c r="BD74" s="148" t="s">
        <v>10</v>
      </c>
      <c r="BE74" s="148" t="s">
        <v>2</v>
      </c>
      <c r="BF74" s="148" t="s">
        <v>11</v>
      </c>
      <c r="BG74" s="148" t="s">
        <v>7</v>
      </c>
      <c r="BH74" s="148" t="s">
        <v>8</v>
      </c>
      <c r="BI74" s="149" t="s">
        <v>12</v>
      </c>
      <c r="BK74" s="155"/>
      <c r="BL74" s="153" t="s">
        <v>9</v>
      </c>
      <c r="BM74" s="148" t="s">
        <v>1</v>
      </c>
      <c r="BN74" s="148" t="s">
        <v>10</v>
      </c>
      <c r="BO74" s="148" t="s">
        <v>2</v>
      </c>
      <c r="BP74" s="148" t="s">
        <v>11</v>
      </c>
      <c r="BQ74" s="148" t="s">
        <v>7</v>
      </c>
      <c r="BR74" s="148" t="s">
        <v>8</v>
      </c>
      <c r="BS74" s="149" t="s">
        <v>12</v>
      </c>
      <c r="BU74" s="155"/>
      <c r="BV74" s="153" t="s">
        <v>9</v>
      </c>
      <c r="BW74" s="148" t="s">
        <v>1</v>
      </c>
      <c r="BX74" s="148" t="s">
        <v>10</v>
      </c>
      <c r="BY74" s="148" t="s">
        <v>2</v>
      </c>
      <c r="BZ74" s="148" t="s">
        <v>11</v>
      </c>
      <c r="CA74" s="148" t="s">
        <v>7</v>
      </c>
      <c r="CB74" s="148" t="s">
        <v>8</v>
      </c>
      <c r="CC74" s="149" t="s">
        <v>12</v>
      </c>
    </row>
    <row r="75" spans="1:81">
      <c r="A75" s="117"/>
      <c r="C75" s="156" t="s">
        <v>3</v>
      </c>
      <c r="D75" s="154">
        <v>0</v>
      </c>
      <c r="E75" s="151">
        <v>45</v>
      </c>
      <c r="F75" s="150">
        <v>90</v>
      </c>
      <c r="G75" s="151">
        <v>135</v>
      </c>
      <c r="H75" s="150">
        <v>180</v>
      </c>
      <c r="I75" s="151">
        <v>225</v>
      </c>
      <c r="J75" s="150">
        <v>270</v>
      </c>
      <c r="K75" s="152">
        <v>315</v>
      </c>
      <c r="L75" s="117"/>
      <c r="M75" s="156" t="s">
        <v>3</v>
      </c>
      <c r="N75" s="154">
        <v>0</v>
      </c>
      <c r="O75" s="151">
        <v>45</v>
      </c>
      <c r="P75" s="150">
        <v>90</v>
      </c>
      <c r="Q75" s="151">
        <v>135</v>
      </c>
      <c r="R75" s="150">
        <v>180</v>
      </c>
      <c r="S75" s="151">
        <v>225</v>
      </c>
      <c r="T75" s="150">
        <v>270</v>
      </c>
      <c r="U75" s="152">
        <v>315</v>
      </c>
      <c r="W75" s="156" t="s">
        <v>3</v>
      </c>
      <c r="X75" s="154">
        <v>0</v>
      </c>
      <c r="Y75" s="151">
        <v>45</v>
      </c>
      <c r="Z75" s="150">
        <v>90</v>
      </c>
      <c r="AA75" s="151">
        <v>135</v>
      </c>
      <c r="AB75" s="150">
        <v>180</v>
      </c>
      <c r="AC75" s="151">
        <v>225</v>
      </c>
      <c r="AD75" s="150">
        <v>270</v>
      </c>
      <c r="AE75" s="152">
        <v>315</v>
      </c>
      <c r="AG75" s="156" t="s">
        <v>3</v>
      </c>
      <c r="AH75" s="154">
        <v>0</v>
      </c>
      <c r="AI75" s="151">
        <v>45</v>
      </c>
      <c r="AJ75" s="150">
        <v>90</v>
      </c>
      <c r="AK75" s="151">
        <v>135</v>
      </c>
      <c r="AL75" s="150">
        <v>180</v>
      </c>
      <c r="AM75" s="151">
        <v>225</v>
      </c>
      <c r="AN75" s="150">
        <v>270</v>
      </c>
      <c r="AO75" s="152">
        <v>315</v>
      </c>
      <c r="AQ75" s="156" t="s">
        <v>3</v>
      </c>
      <c r="AR75" s="154">
        <v>0</v>
      </c>
      <c r="AS75" s="151">
        <v>45</v>
      </c>
      <c r="AT75" s="150">
        <v>90</v>
      </c>
      <c r="AU75" s="151">
        <v>135</v>
      </c>
      <c r="AV75" s="150">
        <v>180</v>
      </c>
      <c r="AW75" s="151">
        <v>225</v>
      </c>
      <c r="AX75" s="150">
        <v>270</v>
      </c>
      <c r="AY75" s="152">
        <v>315</v>
      </c>
      <c r="BA75" s="156" t="s">
        <v>3</v>
      </c>
      <c r="BB75" s="154">
        <v>0</v>
      </c>
      <c r="BC75" s="151">
        <v>45</v>
      </c>
      <c r="BD75" s="150">
        <v>90</v>
      </c>
      <c r="BE75" s="151">
        <v>135</v>
      </c>
      <c r="BF75" s="150">
        <v>180</v>
      </c>
      <c r="BG75" s="151">
        <v>225</v>
      </c>
      <c r="BH75" s="150">
        <v>270</v>
      </c>
      <c r="BI75" s="152">
        <v>315</v>
      </c>
      <c r="BK75" s="156" t="s">
        <v>3</v>
      </c>
      <c r="BL75" s="154">
        <v>0</v>
      </c>
      <c r="BM75" s="151">
        <v>45</v>
      </c>
      <c r="BN75" s="150">
        <v>90</v>
      </c>
      <c r="BO75" s="151">
        <v>135</v>
      </c>
      <c r="BP75" s="150">
        <v>180</v>
      </c>
      <c r="BQ75" s="151">
        <v>225</v>
      </c>
      <c r="BR75" s="150">
        <v>270</v>
      </c>
      <c r="BS75" s="152">
        <v>315</v>
      </c>
      <c r="BU75" s="156" t="s">
        <v>3</v>
      </c>
      <c r="BV75" s="154">
        <v>0</v>
      </c>
      <c r="BW75" s="151">
        <v>45</v>
      </c>
      <c r="BX75" s="150">
        <v>90</v>
      </c>
      <c r="BY75" s="151">
        <v>135</v>
      </c>
      <c r="BZ75" s="150">
        <v>180</v>
      </c>
      <c r="CA75" s="151">
        <v>225</v>
      </c>
      <c r="CB75" s="150">
        <v>270</v>
      </c>
      <c r="CC75" s="152">
        <v>315</v>
      </c>
    </row>
    <row r="76" spans="1:81">
      <c r="A76" s="117"/>
      <c r="C76" s="174">
        <v>0</v>
      </c>
      <c r="D76" s="160"/>
      <c r="E76" s="178"/>
      <c r="F76" s="161"/>
      <c r="G76" s="178"/>
      <c r="H76" s="161"/>
      <c r="I76" s="178"/>
      <c r="J76" s="161"/>
      <c r="K76" s="179"/>
      <c r="L76" s="117"/>
      <c r="M76" s="174">
        <v>0</v>
      </c>
      <c r="N76" s="160">
        <v>1.86</v>
      </c>
      <c r="O76" s="178">
        <v>1.44</v>
      </c>
      <c r="P76" s="161">
        <v>0.86</v>
      </c>
      <c r="Q76" s="178">
        <v>0.4</v>
      </c>
      <c r="R76" s="161">
        <v>0.37</v>
      </c>
      <c r="S76" s="178">
        <v>0.41</v>
      </c>
      <c r="T76" s="161">
        <v>0.91</v>
      </c>
      <c r="U76" s="179">
        <v>1.48</v>
      </c>
      <c r="V76" s="117"/>
      <c r="W76" s="174">
        <v>0</v>
      </c>
      <c r="X76" s="160">
        <v>1.92</v>
      </c>
      <c r="Y76" s="178">
        <v>1.49</v>
      </c>
      <c r="Z76" s="161">
        <v>0.88</v>
      </c>
      <c r="AA76" s="178">
        <v>0.32</v>
      </c>
      <c r="AB76" s="161">
        <v>0.25</v>
      </c>
      <c r="AC76" s="178">
        <v>0.33</v>
      </c>
      <c r="AD76" s="161">
        <v>0.95</v>
      </c>
      <c r="AE76" s="179">
        <v>1.56</v>
      </c>
      <c r="AF76" s="117"/>
      <c r="AG76" s="174">
        <v>0</v>
      </c>
      <c r="AH76" s="160">
        <v>1.97</v>
      </c>
      <c r="AI76" s="178">
        <v>1.51</v>
      </c>
      <c r="AJ76" s="161">
        <v>0.83</v>
      </c>
      <c r="AK76" s="178">
        <v>0.39</v>
      </c>
      <c r="AL76" s="161">
        <v>0.35</v>
      </c>
      <c r="AM76" s="178">
        <v>0.39</v>
      </c>
      <c r="AN76" s="161">
        <v>0.85</v>
      </c>
      <c r="AO76" s="179">
        <v>1.53</v>
      </c>
      <c r="AP76" s="117"/>
      <c r="AQ76" s="174">
        <v>0</v>
      </c>
      <c r="AR76" s="160">
        <v>2.0099999999999998</v>
      </c>
      <c r="AS76" s="178">
        <v>1.48</v>
      </c>
      <c r="AT76" s="161">
        <v>0.77</v>
      </c>
      <c r="AU76" s="178">
        <v>0.39</v>
      </c>
      <c r="AV76" s="161">
        <v>0.37</v>
      </c>
      <c r="AW76" s="178">
        <v>0.39</v>
      </c>
      <c r="AX76" s="161">
        <v>0.85</v>
      </c>
      <c r="AY76" s="179">
        <v>1.58</v>
      </c>
      <c r="AZ76" s="117"/>
      <c r="BA76" s="174">
        <v>0</v>
      </c>
      <c r="BB76" s="160">
        <v>1.9</v>
      </c>
      <c r="BC76" s="178">
        <v>1.43</v>
      </c>
      <c r="BD76" s="161">
        <v>0.8</v>
      </c>
      <c r="BE76" s="178">
        <v>0.45</v>
      </c>
      <c r="BF76" s="161">
        <v>0.43</v>
      </c>
      <c r="BG76" s="178">
        <v>0.45</v>
      </c>
      <c r="BH76" s="161">
        <v>0.88</v>
      </c>
      <c r="BI76" s="179">
        <v>1.53</v>
      </c>
      <c r="BJ76" s="117"/>
      <c r="BK76" s="174">
        <v>0</v>
      </c>
      <c r="BL76" s="160">
        <v>2.08</v>
      </c>
      <c r="BM76" s="178">
        <v>1.63</v>
      </c>
      <c r="BN76" s="161">
        <v>0.83</v>
      </c>
      <c r="BO76" s="178">
        <v>0.38</v>
      </c>
      <c r="BP76" s="161">
        <v>0.35</v>
      </c>
      <c r="BQ76" s="178">
        <v>0.38</v>
      </c>
      <c r="BR76" s="161">
        <v>0.75</v>
      </c>
      <c r="BS76" s="179">
        <v>1.5</v>
      </c>
      <c r="BT76" s="117"/>
      <c r="BU76" s="174">
        <v>0</v>
      </c>
      <c r="BV76" s="160">
        <v>1.93</v>
      </c>
      <c r="BW76" s="178">
        <v>1.48</v>
      </c>
      <c r="BX76" s="161">
        <v>0.81</v>
      </c>
      <c r="BY76" s="178">
        <v>0.47</v>
      </c>
      <c r="BZ76" s="161">
        <v>0.45</v>
      </c>
      <c r="CA76" s="178">
        <v>0.47</v>
      </c>
      <c r="CB76" s="161">
        <v>0.81</v>
      </c>
      <c r="CC76" s="179">
        <v>1.46</v>
      </c>
    </row>
    <row r="77" spans="1:81">
      <c r="A77" s="117"/>
      <c r="C77" s="175">
        <v>0.05</v>
      </c>
      <c r="D77" s="166"/>
      <c r="E77" s="167"/>
      <c r="F77" s="168"/>
      <c r="G77" s="167"/>
      <c r="H77" s="168"/>
      <c r="I77" s="167"/>
      <c r="J77" s="168"/>
      <c r="K77" s="169"/>
      <c r="L77" s="117"/>
      <c r="M77" s="175">
        <v>0.05</v>
      </c>
      <c r="N77" s="362">
        <v>1.8</v>
      </c>
      <c r="O77" s="363">
        <v>1.37</v>
      </c>
      <c r="P77" s="364">
        <v>0.8</v>
      </c>
      <c r="Q77" s="363">
        <v>0.34</v>
      </c>
      <c r="R77" s="364">
        <v>0.31</v>
      </c>
      <c r="S77" s="363">
        <v>0.36</v>
      </c>
      <c r="T77" s="364">
        <v>0.84</v>
      </c>
      <c r="U77" s="365">
        <v>1.42</v>
      </c>
      <c r="V77" s="117"/>
      <c r="W77" s="175">
        <v>0.05</v>
      </c>
      <c r="X77" s="362">
        <v>1.9</v>
      </c>
      <c r="Y77" s="363">
        <v>1.44</v>
      </c>
      <c r="Z77" s="364">
        <v>0.82</v>
      </c>
      <c r="AA77" s="363">
        <v>0.28000000000000003</v>
      </c>
      <c r="AB77" s="364">
        <v>0.22</v>
      </c>
      <c r="AC77" s="363">
        <v>0.28999999999999998</v>
      </c>
      <c r="AD77" s="364">
        <v>0.91</v>
      </c>
      <c r="AE77" s="365">
        <v>1.52</v>
      </c>
      <c r="AF77" s="117"/>
      <c r="AG77" s="175">
        <v>0.05</v>
      </c>
      <c r="AH77" s="362">
        <v>1.93</v>
      </c>
      <c r="AI77" s="363">
        <v>1.45</v>
      </c>
      <c r="AJ77" s="364">
        <v>0.76</v>
      </c>
      <c r="AK77" s="363">
        <v>0.33</v>
      </c>
      <c r="AL77" s="364">
        <v>0.28999999999999998</v>
      </c>
      <c r="AM77" s="363">
        <v>0.33</v>
      </c>
      <c r="AN77" s="364">
        <v>0.79</v>
      </c>
      <c r="AO77" s="365">
        <v>1.47</v>
      </c>
      <c r="AP77" s="117"/>
      <c r="AQ77" s="175">
        <v>0.05</v>
      </c>
      <c r="AR77" s="362">
        <v>1.95</v>
      </c>
      <c r="AS77" s="363">
        <v>1.42</v>
      </c>
      <c r="AT77" s="364">
        <v>0.7</v>
      </c>
      <c r="AU77" s="363">
        <v>0.33</v>
      </c>
      <c r="AV77" s="364">
        <v>0.31</v>
      </c>
      <c r="AW77" s="363">
        <v>0.33</v>
      </c>
      <c r="AX77" s="364">
        <v>0.78</v>
      </c>
      <c r="AY77" s="365">
        <v>1.51</v>
      </c>
      <c r="AZ77" s="117"/>
      <c r="BA77" s="175">
        <v>0.05</v>
      </c>
      <c r="BB77" s="362">
        <v>1.84</v>
      </c>
      <c r="BC77" s="363">
        <v>1.35</v>
      </c>
      <c r="BD77" s="364">
        <v>0.73</v>
      </c>
      <c r="BE77" s="363">
        <v>0.38</v>
      </c>
      <c r="BF77" s="364">
        <v>0.36</v>
      </c>
      <c r="BG77" s="363">
        <v>0.38</v>
      </c>
      <c r="BH77" s="364">
        <v>0.81</v>
      </c>
      <c r="BI77" s="365">
        <v>1.45</v>
      </c>
      <c r="BJ77" s="117"/>
      <c r="BK77" s="175">
        <v>0.05</v>
      </c>
      <c r="BL77" s="362">
        <v>2.0099999999999998</v>
      </c>
      <c r="BM77" s="363">
        <v>1.56</v>
      </c>
      <c r="BN77" s="364">
        <v>0.77</v>
      </c>
      <c r="BO77" s="363">
        <v>0.32</v>
      </c>
      <c r="BP77" s="364">
        <v>0.28999999999999998</v>
      </c>
      <c r="BQ77" s="363">
        <v>0.32</v>
      </c>
      <c r="BR77" s="364">
        <v>0.69</v>
      </c>
      <c r="BS77" s="365">
        <v>1.44</v>
      </c>
      <c r="BT77" s="117"/>
      <c r="BU77" s="175">
        <v>0.05</v>
      </c>
      <c r="BV77" s="362">
        <v>1.87</v>
      </c>
      <c r="BW77" s="363">
        <v>1.41</v>
      </c>
      <c r="BX77" s="364">
        <v>0.73</v>
      </c>
      <c r="BY77" s="363">
        <v>0.39</v>
      </c>
      <c r="BZ77" s="364">
        <v>0.38</v>
      </c>
      <c r="CA77" s="363">
        <v>0.39</v>
      </c>
      <c r="CB77" s="364">
        <v>0.73</v>
      </c>
      <c r="CC77" s="365">
        <v>1.39</v>
      </c>
    </row>
    <row r="78" spans="1:81">
      <c r="A78" s="117"/>
      <c r="C78" s="175">
        <v>0.1</v>
      </c>
      <c r="D78" s="166"/>
      <c r="E78" s="167"/>
      <c r="F78" s="168"/>
      <c r="G78" s="167"/>
      <c r="H78" s="168"/>
      <c r="I78" s="167"/>
      <c r="J78" s="168"/>
      <c r="K78" s="169"/>
      <c r="L78" s="117"/>
      <c r="M78" s="175">
        <v>0.1</v>
      </c>
      <c r="N78" s="362">
        <v>1.73</v>
      </c>
      <c r="O78" s="363">
        <v>1.33</v>
      </c>
      <c r="P78" s="364">
        <v>0.76</v>
      </c>
      <c r="Q78" s="363">
        <v>0.32</v>
      </c>
      <c r="R78" s="364">
        <v>0.28999999999999998</v>
      </c>
      <c r="S78" s="363">
        <v>0.34</v>
      </c>
      <c r="T78" s="364">
        <v>0.81</v>
      </c>
      <c r="U78" s="365">
        <v>1.34</v>
      </c>
      <c r="V78" s="117"/>
      <c r="W78" s="175">
        <v>0.1</v>
      </c>
      <c r="X78" s="362">
        <v>1.76</v>
      </c>
      <c r="Y78" s="363">
        <v>1.37</v>
      </c>
      <c r="Z78" s="364">
        <v>0.78</v>
      </c>
      <c r="AA78" s="363">
        <v>0.27</v>
      </c>
      <c r="AB78" s="364">
        <v>0.21</v>
      </c>
      <c r="AC78" s="363">
        <v>0.28000000000000003</v>
      </c>
      <c r="AD78" s="364">
        <v>0.87</v>
      </c>
      <c r="AE78" s="365">
        <v>1.44</v>
      </c>
      <c r="AF78" s="117"/>
      <c r="AG78" s="175">
        <v>0.1</v>
      </c>
      <c r="AH78" s="362">
        <v>1.91</v>
      </c>
      <c r="AI78" s="363">
        <v>1.4</v>
      </c>
      <c r="AJ78" s="364">
        <v>0.74</v>
      </c>
      <c r="AK78" s="363">
        <v>0.31</v>
      </c>
      <c r="AL78" s="364">
        <v>0.28000000000000003</v>
      </c>
      <c r="AM78" s="363">
        <v>0.31</v>
      </c>
      <c r="AN78" s="364">
        <v>0.75</v>
      </c>
      <c r="AO78" s="365">
        <v>1.42</v>
      </c>
      <c r="AP78" s="117"/>
      <c r="AQ78" s="175">
        <v>0.1</v>
      </c>
      <c r="AR78" s="362">
        <v>1.95</v>
      </c>
      <c r="AS78" s="363">
        <v>1.36</v>
      </c>
      <c r="AT78" s="364">
        <v>0.66</v>
      </c>
      <c r="AU78" s="363">
        <v>0.31</v>
      </c>
      <c r="AV78" s="364">
        <v>0.3</v>
      </c>
      <c r="AW78" s="363">
        <v>0.32</v>
      </c>
      <c r="AX78" s="364">
        <v>0.75</v>
      </c>
      <c r="AY78" s="365">
        <v>1.47</v>
      </c>
      <c r="AZ78" s="117"/>
      <c r="BA78" s="175">
        <v>0.1</v>
      </c>
      <c r="BB78" s="362">
        <v>1.82</v>
      </c>
      <c r="BC78" s="363">
        <v>1.3</v>
      </c>
      <c r="BD78" s="364">
        <v>0.7</v>
      </c>
      <c r="BE78" s="363">
        <v>0.36</v>
      </c>
      <c r="BF78" s="364">
        <v>0.34</v>
      </c>
      <c r="BG78" s="363">
        <v>0.36</v>
      </c>
      <c r="BH78" s="364">
        <v>0.76</v>
      </c>
      <c r="BI78" s="365">
        <v>1.42</v>
      </c>
      <c r="BJ78" s="117"/>
      <c r="BK78" s="175">
        <v>0.1</v>
      </c>
      <c r="BL78" s="362">
        <v>2.0099999999999998</v>
      </c>
      <c r="BM78" s="363">
        <v>1.53</v>
      </c>
      <c r="BN78" s="364">
        <v>0.73</v>
      </c>
      <c r="BO78" s="363">
        <v>0.3</v>
      </c>
      <c r="BP78" s="364">
        <v>0.28000000000000003</v>
      </c>
      <c r="BQ78" s="363">
        <v>0.3</v>
      </c>
      <c r="BR78" s="364">
        <v>0.66</v>
      </c>
      <c r="BS78" s="365">
        <v>1.41</v>
      </c>
      <c r="BT78" s="117"/>
      <c r="BU78" s="175">
        <v>0.1</v>
      </c>
      <c r="BV78" s="362">
        <v>1.85</v>
      </c>
      <c r="BW78" s="363">
        <v>1.36</v>
      </c>
      <c r="BX78" s="364">
        <v>0.7</v>
      </c>
      <c r="BY78" s="363">
        <v>0.37</v>
      </c>
      <c r="BZ78" s="364">
        <v>0.35</v>
      </c>
      <c r="CA78" s="363">
        <v>0.37</v>
      </c>
      <c r="CB78" s="364">
        <v>0.7</v>
      </c>
      <c r="CC78" s="365">
        <v>1.34</v>
      </c>
    </row>
    <row r="79" spans="1:81">
      <c r="A79" s="117"/>
      <c r="C79" s="175">
        <v>0.2</v>
      </c>
      <c r="D79" s="166"/>
      <c r="E79" s="167"/>
      <c r="F79" s="168"/>
      <c r="G79" s="167"/>
      <c r="H79" s="168"/>
      <c r="I79" s="167"/>
      <c r="J79" s="168"/>
      <c r="K79" s="169"/>
      <c r="L79" s="117"/>
      <c r="M79" s="175">
        <v>0.2</v>
      </c>
      <c r="N79" s="362">
        <v>1.51</v>
      </c>
      <c r="O79" s="363">
        <v>1.18</v>
      </c>
      <c r="P79" s="364">
        <v>0.68</v>
      </c>
      <c r="Q79" s="363">
        <v>0.28999999999999998</v>
      </c>
      <c r="R79" s="364">
        <v>0.27</v>
      </c>
      <c r="S79" s="363">
        <v>0.3</v>
      </c>
      <c r="T79" s="364">
        <v>0.73</v>
      </c>
      <c r="U79" s="365">
        <v>1.2</v>
      </c>
      <c r="V79" s="117"/>
      <c r="W79" s="175">
        <v>0.2</v>
      </c>
      <c r="X79" s="362">
        <v>1.57</v>
      </c>
      <c r="Y79" s="363">
        <v>1.22</v>
      </c>
      <c r="Z79" s="364">
        <v>0.7</v>
      </c>
      <c r="AA79" s="363">
        <v>0.24</v>
      </c>
      <c r="AB79" s="364">
        <v>0.2</v>
      </c>
      <c r="AC79" s="363">
        <v>0.25</v>
      </c>
      <c r="AD79" s="364">
        <v>0.78</v>
      </c>
      <c r="AE79" s="365">
        <v>1.3</v>
      </c>
      <c r="AF79" s="117"/>
      <c r="AG79" s="175">
        <v>0.2</v>
      </c>
      <c r="AH79" s="362">
        <v>1.62</v>
      </c>
      <c r="AI79" s="363">
        <v>1.28</v>
      </c>
      <c r="AJ79" s="364">
        <v>0.67</v>
      </c>
      <c r="AK79" s="363">
        <v>0.28000000000000003</v>
      </c>
      <c r="AL79" s="364">
        <v>0.25</v>
      </c>
      <c r="AM79" s="363">
        <v>0.28000000000000003</v>
      </c>
      <c r="AN79" s="364">
        <v>0.68</v>
      </c>
      <c r="AO79" s="365">
        <v>1.28</v>
      </c>
      <c r="AP79" s="117"/>
      <c r="AQ79" s="175">
        <v>0.2</v>
      </c>
      <c r="AR79" s="362">
        <v>1.63</v>
      </c>
      <c r="AS79" s="363">
        <v>1.21</v>
      </c>
      <c r="AT79" s="364">
        <v>0.59</v>
      </c>
      <c r="AU79" s="363">
        <v>0.28000000000000003</v>
      </c>
      <c r="AV79" s="364">
        <v>0.27</v>
      </c>
      <c r="AW79" s="363">
        <v>0.28000000000000003</v>
      </c>
      <c r="AX79" s="364">
        <v>0.67</v>
      </c>
      <c r="AY79" s="365">
        <v>1.32</v>
      </c>
      <c r="AZ79" s="117"/>
      <c r="BA79" s="175">
        <v>0.2</v>
      </c>
      <c r="BB79" s="362">
        <v>1.56</v>
      </c>
      <c r="BC79" s="363">
        <v>1.17</v>
      </c>
      <c r="BD79" s="364">
        <v>0.62</v>
      </c>
      <c r="BE79" s="363">
        <v>0.32</v>
      </c>
      <c r="BF79" s="364">
        <v>0.3</v>
      </c>
      <c r="BG79" s="363">
        <v>0.32</v>
      </c>
      <c r="BH79" s="364">
        <v>0.7</v>
      </c>
      <c r="BI79" s="365">
        <v>1.3</v>
      </c>
      <c r="BJ79" s="117"/>
      <c r="BK79" s="175">
        <v>0.2</v>
      </c>
      <c r="BL79" s="362">
        <v>1.89</v>
      </c>
      <c r="BM79" s="363">
        <v>1.43</v>
      </c>
      <c r="BN79" s="364">
        <v>0.68</v>
      </c>
      <c r="BO79" s="363">
        <v>0.27</v>
      </c>
      <c r="BP79" s="364">
        <v>0.25</v>
      </c>
      <c r="BQ79" s="363">
        <v>0.27</v>
      </c>
      <c r="BR79" s="364">
        <v>0.6</v>
      </c>
      <c r="BS79" s="365">
        <v>1.28</v>
      </c>
      <c r="BT79" s="117"/>
      <c r="BU79" s="175">
        <v>0.2</v>
      </c>
      <c r="BV79" s="362">
        <v>1.56</v>
      </c>
      <c r="BW79" s="363">
        <v>1.22</v>
      </c>
      <c r="BX79" s="364">
        <v>0.63</v>
      </c>
      <c r="BY79" s="363">
        <v>0.33</v>
      </c>
      <c r="BZ79" s="364">
        <v>0.32</v>
      </c>
      <c r="CA79" s="363">
        <v>0.33</v>
      </c>
      <c r="CB79" s="364">
        <v>0.63</v>
      </c>
      <c r="CC79" s="365">
        <v>1.2</v>
      </c>
    </row>
    <row r="80" spans="1:81">
      <c r="A80" s="117"/>
      <c r="C80" s="175">
        <v>0.4</v>
      </c>
      <c r="D80" s="166"/>
      <c r="E80" s="167"/>
      <c r="F80" s="168"/>
      <c r="G80" s="167"/>
      <c r="H80" s="168"/>
      <c r="I80" s="167"/>
      <c r="J80" s="168"/>
      <c r="K80" s="169"/>
      <c r="L80" s="117"/>
      <c r="M80" s="175">
        <v>0.4</v>
      </c>
      <c r="N80" s="362">
        <v>1.25</v>
      </c>
      <c r="O80" s="363">
        <v>0.95</v>
      </c>
      <c r="P80" s="364">
        <v>0.54</v>
      </c>
      <c r="Q80" s="363">
        <v>0.24</v>
      </c>
      <c r="R80" s="364">
        <v>0.23</v>
      </c>
      <c r="S80" s="363">
        <v>0.25</v>
      </c>
      <c r="T80" s="364">
        <v>0.61</v>
      </c>
      <c r="U80" s="365">
        <v>0.99</v>
      </c>
      <c r="V80" s="117"/>
      <c r="W80" s="175">
        <v>0.4</v>
      </c>
      <c r="X80" s="362">
        <v>1.25</v>
      </c>
      <c r="Y80" s="363">
        <v>1</v>
      </c>
      <c r="Z80" s="364">
        <v>0.6</v>
      </c>
      <c r="AA80" s="363">
        <v>0.2</v>
      </c>
      <c r="AB80" s="364">
        <v>0.18</v>
      </c>
      <c r="AC80" s="363">
        <v>0.21</v>
      </c>
      <c r="AD80" s="364">
        <v>0.67</v>
      </c>
      <c r="AE80" s="365">
        <v>1.08</v>
      </c>
      <c r="AF80" s="117"/>
      <c r="AG80" s="175">
        <v>0.4</v>
      </c>
      <c r="AH80" s="362">
        <v>1.48</v>
      </c>
      <c r="AI80" s="363">
        <v>1.0900000000000001</v>
      </c>
      <c r="AJ80" s="364">
        <v>0.56000000000000005</v>
      </c>
      <c r="AK80" s="363">
        <v>0.24</v>
      </c>
      <c r="AL80" s="364">
        <v>0.22</v>
      </c>
      <c r="AM80" s="363">
        <v>0.24</v>
      </c>
      <c r="AN80" s="364">
        <v>0.57999999999999996</v>
      </c>
      <c r="AO80" s="365">
        <v>1.1000000000000001</v>
      </c>
      <c r="AP80" s="117"/>
      <c r="AQ80" s="175">
        <v>0.4</v>
      </c>
      <c r="AR80" s="362">
        <v>1.49</v>
      </c>
      <c r="AS80" s="363">
        <v>1</v>
      </c>
      <c r="AT80" s="364">
        <v>0.49</v>
      </c>
      <c r="AU80" s="363">
        <v>0.24</v>
      </c>
      <c r="AV80" s="364">
        <v>0.23</v>
      </c>
      <c r="AW80" s="363">
        <v>0.24</v>
      </c>
      <c r="AX80" s="364">
        <v>0.55000000000000004</v>
      </c>
      <c r="AY80" s="365">
        <v>1.1000000000000001</v>
      </c>
      <c r="AZ80" s="117"/>
      <c r="BA80" s="175">
        <v>0.4</v>
      </c>
      <c r="BB80" s="362">
        <v>1.43</v>
      </c>
      <c r="BC80" s="363">
        <v>1.01</v>
      </c>
      <c r="BD80" s="364">
        <v>0.53</v>
      </c>
      <c r="BE80" s="363">
        <v>0.27</v>
      </c>
      <c r="BF80" s="364">
        <v>0.26</v>
      </c>
      <c r="BG80" s="363">
        <v>0.27</v>
      </c>
      <c r="BH80" s="364">
        <v>0.6</v>
      </c>
      <c r="BI80" s="365">
        <v>1.1000000000000001</v>
      </c>
      <c r="BJ80" s="117"/>
      <c r="BK80" s="175">
        <v>0.4</v>
      </c>
      <c r="BL80" s="362">
        <v>1.62</v>
      </c>
      <c r="BM80" s="363">
        <v>1.24</v>
      </c>
      <c r="BN80" s="364">
        <v>0.57999999999999996</v>
      </c>
      <c r="BO80" s="363">
        <v>0.23</v>
      </c>
      <c r="BP80" s="364">
        <v>0.21</v>
      </c>
      <c r="BQ80" s="363">
        <v>0.23</v>
      </c>
      <c r="BR80" s="364">
        <v>0.5</v>
      </c>
      <c r="BS80" s="365">
        <v>1.1299999999999999</v>
      </c>
      <c r="BT80" s="117"/>
      <c r="BU80" s="175">
        <v>0.4</v>
      </c>
      <c r="BV80" s="362">
        <v>1.41</v>
      </c>
      <c r="BW80" s="363">
        <v>1.02</v>
      </c>
      <c r="BX80" s="364">
        <v>0.51</v>
      </c>
      <c r="BY80" s="363">
        <v>0.28000000000000003</v>
      </c>
      <c r="BZ80" s="364">
        <v>0.27</v>
      </c>
      <c r="CA80" s="363">
        <v>0.28000000000000003</v>
      </c>
      <c r="CB80" s="364">
        <v>0.51</v>
      </c>
      <c r="CC80" s="365">
        <v>0.99</v>
      </c>
    </row>
    <row r="81" spans="1:81">
      <c r="A81" s="117"/>
      <c r="C81" s="175">
        <v>0.6</v>
      </c>
      <c r="D81" s="166"/>
      <c r="E81" s="167"/>
      <c r="F81" s="168"/>
      <c r="G81" s="167"/>
      <c r="H81" s="168"/>
      <c r="I81" s="167"/>
      <c r="J81" s="168"/>
      <c r="K81" s="169"/>
      <c r="L81" s="117"/>
      <c r="M81" s="175">
        <v>0.6</v>
      </c>
      <c r="N81" s="362">
        <v>1.04</v>
      </c>
      <c r="O81" s="363">
        <v>0.78</v>
      </c>
      <c r="P81" s="364">
        <v>0.48</v>
      </c>
      <c r="Q81" s="363">
        <v>0.21</v>
      </c>
      <c r="R81" s="364">
        <v>0.2</v>
      </c>
      <c r="S81" s="363">
        <v>0.22</v>
      </c>
      <c r="T81" s="364">
        <v>0.51</v>
      </c>
      <c r="U81" s="365">
        <v>0.83</v>
      </c>
      <c r="V81" s="117"/>
      <c r="W81" s="175">
        <v>0.6</v>
      </c>
      <c r="X81" s="362">
        <v>0.94</v>
      </c>
      <c r="Y81" s="363">
        <v>0.77</v>
      </c>
      <c r="Z81" s="364">
        <v>0.48</v>
      </c>
      <c r="AA81" s="363">
        <v>0.18</v>
      </c>
      <c r="AB81" s="364">
        <v>0.17</v>
      </c>
      <c r="AC81" s="363">
        <v>0.18</v>
      </c>
      <c r="AD81" s="364">
        <v>0.54</v>
      </c>
      <c r="AE81" s="365">
        <v>0.87</v>
      </c>
      <c r="AF81" s="117"/>
      <c r="AG81" s="175">
        <v>0.6</v>
      </c>
      <c r="AH81" s="362">
        <v>1.22</v>
      </c>
      <c r="AI81" s="363">
        <v>0.9</v>
      </c>
      <c r="AJ81" s="364">
        <v>0.49</v>
      </c>
      <c r="AK81" s="363">
        <v>0.21</v>
      </c>
      <c r="AL81" s="364">
        <v>0.19</v>
      </c>
      <c r="AM81" s="363">
        <v>0.21</v>
      </c>
      <c r="AN81" s="364">
        <v>0.49</v>
      </c>
      <c r="AO81" s="365">
        <v>0.9</v>
      </c>
      <c r="AP81" s="117"/>
      <c r="AQ81" s="175">
        <v>0.6</v>
      </c>
      <c r="AR81" s="362">
        <v>1.21</v>
      </c>
      <c r="AS81" s="363">
        <v>0.83</v>
      </c>
      <c r="AT81" s="364">
        <v>0.4</v>
      </c>
      <c r="AU81" s="363">
        <v>0.21</v>
      </c>
      <c r="AV81" s="364">
        <v>0.21</v>
      </c>
      <c r="AW81" s="363">
        <v>0.21</v>
      </c>
      <c r="AX81" s="364">
        <v>0.47</v>
      </c>
      <c r="AY81" s="365">
        <v>0.9</v>
      </c>
      <c r="AZ81" s="117"/>
      <c r="BA81" s="175">
        <v>0.6</v>
      </c>
      <c r="BB81" s="362">
        <v>1.22</v>
      </c>
      <c r="BC81" s="363">
        <v>0.86</v>
      </c>
      <c r="BD81" s="364">
        <v>0.45</v>
      </c>
      <c r="BE81" s="363">
        <v>0.23</v>
      </c>
      <c r="BF81" s="364">
        <v>0.23</v>
      </c>
      <c r="BG81" s="363">
        <v>0.23</v>
      </c>
      <c r="BH81" s="364">
        <v>0.52</v>
      </c>
      <c r="BI81" s="365">
        <v>0.95</v>
      </c>
      <c r="BJ81" s="117"/>
      <c r="BK81" s="175">
        <v>0.6</v>
      </c>
      <c r="BL81" s="362">
        <v>1.49</v>
      </c>
      <c r="BM81" s="363">
        <v>1.0900000000000001</v>
      </c>
      <c r="BN81" s="364">
        <v>0.5</v>
      </c>
      <c r="BO81" s="363">
        <v>0.2</v>
      </c>
      <c r="BP81" s="364">
        <v>0.19</v>
      </c>
      <c r="BQ81" s="363">
        <v>0.2</v>
      </c>
      <c r="BR81" s="364">
        <v>0.44</v>
      </c>
      <c r="BS81" s="365">
        <v>0.96</v>
      </c>
      <c r="BT81" s="117"/>
      <c r="BU81" s="175">
        <v>0.6</v>
      </c>
      <c r="BV81" s="362">
        <v>1.18</v>
      </c>
      <c r="BW81" s="363">
        <v>0.83</v>
      </c>
      <c r="BX81" s="364">
        <v>0.44</v>
      </c>
      <c r="BY81" s="363">
        <v>0.24</v>
      </c>
      <c r="BZ81" s="364">
        <v>0.24</v>
      </c>
      <c r="CA81" s="363">
        <v>0.24</v>
      </c>
      <c r="CB81" s="364">
        <v>0.44</v>
      </c>
      <c r="CC81" s="365">
        <v>0.82</v>
      </c>
    </row>
    <row r="82" spans="1:81">
      <c r="A82" s="117"/>
      <c r="C82" s="175">
        <v>0.8</v>
      </c>
      <c r="D82" s="166"/>
      <c r="E82" s="167"/>
      <c r="F82" s="168"/>
      <c r="G82" s="167"/>
      <c r="H82" s="168"/>
      <c r="I82" s="167"/>
      <c r="J82" s="168"/>
      <c r="K82" s="169"/>
      <c r="L82" s="117"/>
      <c r="M82" s="175">
        <v>0.8</v>
      </c>
      <c r="N82" s="362">
        <v>0.78</v>
      </c>
      <c r="O82" s="363">
        <v>0.62</v>
      </c>
      <c r="P82" s="364">
        <v>0.39</v>
      </c>
      <c r="Q82" s="363">
        <v>0.18</v>
      </c>
      <c r="R82" s="364">
        <v>0.19</v>
      </c>
      <c r="S82" s="363">
        <v>0.2</v>
      </c>
      <c r="T82" s="364">
        <v>0.44</v>
      </c>
      <c r="U82" s="365">
        <v>0.68</v>
      </c>
      <c r="V82" s="117"/>
      <c r="W82" s="175">
        <v>0.8</v>
      </c>
      <c r="X82" s="362">
        <v>0.63</v>
      </c>
      <c r="Y82" s="363">
        <v>0.61</v>
      </c>
      <c r="Z82" s="364">
        <v>0.43</v>
      </c>
      <c r="AA82" s="363">
        <v>0.16</v>
      </c>
      <c r="AB82" s="364">
        <v>0.15</v>
      </c>
      <c r="AC82" s="363">
        <v>0.17</v>
      </c>
      <c r="AD82" s="364">
        <v>0.46</v>
      </c>
      <c r="AE82" s="365">
        <v>0.7</v>
      </c>
      <c r="AF82" s="117"/>
      <c r="AG82" s="175">
        <v>0.8</v>
      </c>
      <c r="AH82" s="362">
        <v>1.06</v>
      </c>
      <c r="AI82" s="363">
        <v>0.74</v>
      </c>
      <c r="AJ82" s="364">
        <v>0.43</v>
      </c>
      <c r="AK82" s="363">
        <v>0.19</v>
      </c>
      <c r="AL82" s="364">
        <v>0.18</v>
      </c>
      <c r="AM82" s="363">
        <v>0.19</v>
      </c>
      <c r="AN82" s="364">
        <v>0.44</v>
      </c>
      <c r="AO82" s="365">
        <v>0.75</v>
      </c>
      <c r="AP82" s="117"/>
      <c r="AQ82" s="175">
        <v>0.8</v>
      </c>
      <c r="AR82" s="362">
        <v>0.98</v>
      </c>
      <c r="AS82" s="363">
        <v>0.68</v>
      </c>
      <c r="AT82" s="364">
        <v>0.35</v>
      </c>
      <c r="AU82" s="363">
        <v>0.19</v>
      </c>
      <c r="AV82" s="364">
        <v>0.19</v>
      </c>
      <c r="AW82" s="363">
        <v>0.19</v>
      </c>
      <c r="AX82" s="364">
        <v>0.42</v>
      </c>
      <c r="AY82" s="365">
        <v>0.73</v>
      </c>
      <c r="AZ82" s="117"/>
      <c r="BA82" s="175">
        <v>0.8</v>
      </c>
      <c r="BB82" s="362">
        <v>1.08</v>
      </c>
      <c r="BC82" s="363">
        <v>0.73</v>
      </c>
      <c r="BD82" s="364">
        <v>0.38</v>
      </c>
      <c r="BE82" s="363">
        <v>0.21</v>
      </c>
      <c r="BF82" s="364">
        <v>0.21</v>
      </c>
      <c r="BG82" s="363">
        <v>0.22</v>
      </c>
      <c r="BH82" s="364">
        <v>0.46</v>
      </c>
      <c r="BI82" s="365">
        <v>0.79</v>
      </c>
      <c r="BJ82" s="117"/>
      <c r="BK82" s="175">
        <v>0.8</v>
      </c>
      <c r="BL82" s="362">
        <v>1.27</v>
      </c>
      <c r="BM82" s="363">
        <v>0.94</v>
      </c>
      <c r="BN82" s="364">
        <v>0.44</v>
      </c>
      <c r="BO82" s="363">
        <v>0.18</v>
      </c>
      <c r="BP82" s="364">
        <v>0.17</v>
      </c>
      <c r="BQ82" s="363">
        <v>0.18</v>
      </c>
      <c r="BR82" s="364">
        <v>0.39</v>
      </c>
      <c r="BS82" s="365">
        <v>0.83</v>
      </c>
      <c r="BT82" s="117"/>
      <c r="BU82" s="175">
        <v>0.8</v>
      </c>
      <c r="BV82" s="362">
        <v>1</v>
      </c>
      <c r="BW82" s="363">
        <v>0.68</v>
      </c>
      <c r="BX82" s="364">
        <v>0.37</v>
      </c>
      <c r="BY82" s="363">
        <v>0.21</v>
      </c>
      <c r="BZ82" s="364">
        <v>0.22</v>
      </c>
      <c r="CA82" s="363">
        <v>0.21</v>
      </c>
      <c r="CB82" s="364">
        <v>0.36</v>
      </c>
      <c r="CC82" s="365">
        <v>0.67</v>
      </c>
    </row>
    <row r="83" spans="1:81">
      <c r="A83" s="117"/>
      <c r="C83" s="176">
        <v>1</v>
      </c>
      <c r="D83" s="147"/>
      <c r="E83" s="162"/>
      <c r="F83" s="157"/>
      <c r="G83" s="162"/>
      <c r="H83" s="157"/>
      <c r="I83" s="162"/>
      <c r="J83" s="157"/>
      <c r="K83" s="164"/>
      <c r="L83" s="117"/>
      <c r="M83" s="176">
        <v>1</v>
      </c>
      <c r="N83" s="147">
        <v>0.54</v>
      </c>
      <c r="O83" s="162">
        <v>0.53</v>
      </c>
      <c r="P83" s="157">
        <v>0.32</v>
      </c>
      <c r="Q83" s="162">
        <v>0.17</v>
      </c>
      <c r="R83" s="157">
        <v>0.18</v>
      </c>
      <c r="S83" s="162">
        <v>0.17</v>
      </c>
      <c r="T83" s="157">
        <v>0.37</v>
      </c>
      <c r="U83" s="164">
        <v>0.56000000000000005</v>
      </c>
      <c r="V83" s="117"/>
      <c r="W83" s="176">
        <v>1</v>
      </c>
      <c r="X83" s="147">
        <v>0.42</v>
      </c>
      <c r="Y83" s="162">
        <v>0.52</v>
      </c>
      <c r="Z83" s="157">
        <v>0.35</v>
      </c>
      <c r="AA83" s="162">
        <v>0.14000000000000001</v>
      </c>
      <c r="AB83" s="157">
        <v>0.14000000000000001</v>
      </c>
      <c r="AC83" s="162">
        <v>0.16</v>
      </c>
      <c r="AD83" s="157">
        <v>0.41</v>
      </c>
      <c r="AE83" s="164">
        <v>0.56000000000000005</v>
      </c>
      <c r="AF83" s="117"/>
      <c r="AG83" s="176">
        <v>1</v>
      </c>
      <c r="AH83" s="147">
        <v>0.85</v>
      </c>
      <c r="AI83" s="162">
        <v>0.66</v>
      </c>
      <c r="AJ83" s="157">
        <v>0.37</v>
      </c>
      <c r="AK83" s="162">
        <v>0.17</v>
      </c>
      <c r="AL83" s="157">
        <v>0.16</v>
      </c>
      <c r="AM83" s="162">
        <v>0.17</v>
      </c>
      <c r="AN83" s="157">
        <v>0.37</v>
      </c>
      <c r="AO83" s="164">
        <v>0.64</v>
      </c>
      <c r="AP83" s="117"/>
      <c r="AQ83" s="176">
        <v>1</v>
      </c>
      <c r="AR83" s="147">
        <v>0.8</v>
      </c>
      <c r="AS83" s="162">
        <v>0.52</v>
      </c>
      <c r="AT83" s="157">
        <v>0.28000000000000003</v>
      </c>
      <c r="AU83" s="162">
        <v>0.17</v>
      </c>
      <c r="AV83" s="157">
        <v>0.18</v>
      </c>
      <c r="AW83" s="162">
        <v>0.17</v>
      </c>
      <c r="AX83" s="157">
        <v>0.36</v>
      </c>
      <c r="AY83" s="164">
        <v>0.63</v>
      </c>
      <c r="AZ83" s="117"/>
      <c r="BA83" s="176">
        <v>1</v>
      </c>
      <c r="BB83" s="147">
        <v>0.86</v>
      </c>
      <c r="BC83" s="162">
        <v>0.57999999999999996</v>
      </c>
      <c r="BD83" s="157">
        <v>0.34</v>
      </c>
      <c r="BE83" s="162">
        <v>0.19</v>
      </c>
      <c r="BF83" s="157">
        <v>0.19</v>
      </c>
      <c r="BG83" s="162">
        <v>0.19</v>
      </c>
      <c r="BH83" s="157">
        <v>0.39</v>
      </c>
      <c r="BI83" s="164">
        <v>0.69</v>
      </c>
      <c r="BJ83" s="117"/>
      <c r="BK83" s="176">
        <v>1</v>
      </c>
      <c r="BL83" s="147">
        <v>1.1599999999999999</v>
      </c>
      <c r="BM83" s="162">
        <v>0.83</v>
      </c>
      <c r="BN83" s="157">
        <v>0.41</v>
      </c>
      <c r="BO83" s="162">
        <v>0.16</v>
      </c>
      <c r="BP83" s="157">
        <v>0.16</v>
      </c>
      <c r="BQ83" s="162">
        <v>0.16</v>
      </c>
      <c r="BR83" s="157">
        <v>0.34</v>
      </c>
      <c r="BS83" s="164">
        <v>0.71</v>
      </c>
      <c r="BT83" s="117"/>
      <c r="BU83" s="176">
        <v>1</v>
      </c>
      <c r="BV83" s="147">
        <v>0.79</v>
      </c>
      <c r="BW83" s="162">
        <v>0.59</v>
      </c>
      <c r="BX83" s="157">
        <v>0.32</v>
      </c>
      <c r="BY83" s="162">
        <v>0.2</v>
      </c>
      <c r="BZ83" s="157">
        <v>0.2</v>
      </c>
      <c r="CA83" s="162">
        <v>0.19</v>
      </c>
      <c r="CB83" s="157">
        <v>0.3</v>
      </c>
      <c r="CC83" s="164">
        <v>0.57999999999999996</v>
      </c>
    </row>
    <row r="84" spans="1:81">
      <c r="A84" s="117"/>
      <c r="C84" s="175">
        <v>1.2</v>
      </c>
      <c r="D84" s="166"/>
      <c r="E84" s="167"/>
      <c r="F84" s="168"/>
      <c r="G84" s="167"/>
      <c r="H84" s="168"/>
      <c r="I84" s="167"/>
      <c r="J84" s="168"/>
      <c r="K84" s="169"/>
      <c r="L84" s="117"/>
      <c r="M84" s="175">
        <v>1.2</v>
      </c>
      <c r="N84" s="362">
        <v>0.33</v>
      </c>
      <c r="O84" s="363">
        <v>0.42</v>
      </c>
      <c r="P84" s="364">
        <v>0.28000000000000003</v>
      </c>
      <c r="Q84" s="363">
        <v>0.15</v>
      </c>
      <c r="R84" s="364">
        <v>0.17</v>
      </c>
      <c r="S84" s="363">
        <v>0.16</v>
      </c>
      <c r="T84" s="364">
        <v>0.35</v>
      </c>
      <c r="U84" s="365">
        <v>0.46</v>
      </c>
      <c r="V84" s="117"/>
      <c r="W84" s="175">
        <v>1.2</v>
      </c>
      <c r="X84" s="362">
        <v>0.28999999999999998</v>
      </c>
      <c r="Y84" s="363">
        <v>0.4</v>
      </c>
      <c r="Z84" s="364">
        <v>0.31</v>
      </c>
      <c r="AA84" s="363">
        <v>0.13</v>
      </c>
      <c r="AB84" s="364">
        <v>0.14000000000000001</v>
      </c>
      <c r="AC84" s="363">
        <v>0.14000000000000001</v>
      </c>
      <c r="AD84" s="364">
        <v>0.34</v>
      </c>
      <c r="AE84" s="365">
        <v>0.48</v>
      </c>
      <c r="AF84" s="117"/>
      <c r="AG84" s="175">
        <v>1.2</v>
      </c>
      <c r="AH84" s="362">
        <v>0.61</v>
      </c>
      <c r="AI84" s="363">
        <v>0.51</v>
      </c>
      <c r="AJ84" s="364">
        <v>0.33</v>
      </c>
      <c r="AK84" s="363">
        <v>0.15</v>
      </c>
      <c r="AL84" s="364">
        <v>0.16</v>
      </c>
      <c r="AM84" s="363">
        <v>0.16</v>
      </c>
      <c r="AN84" s="364">
        <v>0.34</v>
      </c>
      <c r="AO84" s="365">
        <v>0.56000000000000005</v>
      </c>
      <c r="AP84" s="117"/>
      <c r="AQ84" s="175">
        <v>1.2</v>
      </c>
      <c r="AR84" s="362">
        <v>0.54</v>
      </c>
      <c r="AS84" s="363">
        <v>0.46</v>
      </c>
      <c r="AT84" s="364">
        <v>0.25</v>
      </c>
      <c r="AU84" s="363">
        <v>0.16</v>
      </c>
      <c r="AV84" s="364">
        <v>0.17</v>
      </c>
      <c r="AW84" s="363">
        <v>0.16</v>
      </c>
      <c r="AX84" s="364">
        <v>0.28999999999999998</v>
      </c>
      <c r="AY84" s="365">
        <v>0.5</v>
      </c>
      <c r="AZ84" s="117"/>
      <c r="BA84" s="175">
        <v>1.2</v>
      </c>
      <c r="BB84" s="362">
        <v>0.7</v>
      </c>
      <c r="BC84" s="363">
        <v>0.54</v>
      </c>
      <c r="BD84" s="364">
        <v>0.28999999999999998</v>
      </c>
      <c r="BE84" s="363">
        <v>0.18</v>
      </c>
      <c r="BF84" s="364">
        <v>0.17</v>
      </c>
      <c r="BG84" s="363">
        <v>0.18</v>
      </c>
      <c r="BH84" s="364">
        <v>0.36</v>
      </c>
      <c r="BI84" s="365">
        <v>0.57999999999999996</v>
      </c>
      <c r="BJ84" s="117"/>
      <c r="BK84" s="175">
        <v>1.2</v>
      </c>
      <c r="BL84" s="362">
        <v>0.91</v>
      </c>
      <c r="BM84" s="363">
        <v>0.7</v>
      </c>
      <c r="BN84" s="364">
        <v>0.34</v>
      </c>
      <c r="BO84" s="363">
        <v>0.15</v>
      </c>
      <c r="BP84" s="364">
        <v>0.15</v>
      </c>
      <c r="BQ84" s="363">
        <v>0.15</v>
      </c>
      <c r="BR84" s="364">
        <v>0.3</v>
      </c>
      <c r="BS84" s="365">
        <v>0.63</v>
      </c>
      <c r="BT84" s="117"/>
      <c r="BU84" s="175">
        <v>1.2</v>
      </c>
      <c r="BV84" s="362">
        <v>0.54</v>
      </c>
      <c r="BW84" s="363">
        <v>0.46</v>
      </c>
      <c r="BX84" s="364">
        <v>0.28000000000000003</v>
      </c>
      <c r="BY84" s="363">
        <v>0.18</v>
      </c>
      <c r="BZ84" s="364">
        <v>0.19</v>
      </c>
      <c r="CA84" s="363">
        <v>0.18</v>
      </c>
      <c r="CB84" s="364">
        <v>0.27</v>
      </c>
      <c r="CC84" s="365">
        <v>0.47</v>
      </c>
    </row>
    <row r="85" spans="1:81">
      <c r="A85" s="117"/>
      <c r="C85" s="175">
        <v>1.4</v>
      </c>
      <c r="D85" s="166"/>
      <c r="E85" s="167"/>
      <c r="F85" s="168"/>
      <c r="G85" s="167"/>
      <c r="H85" s="168"/>
      <c r="I85" s="167"/>
      <c r="J85" s="168"/>
      <c r="K85" s="169"/>
      <c r="L85" s="117"/>
      <c r="M85" s="175">
        <v>1.4</v>
      </c>
      <c r="N85" s="362">
        <v>0.28000000000000003</v>
      </c>
      <c r="O85" s="363">
        <v>0.36</v>
      </c>
      <c r="P85" s="364">
        <v>0.23</v>
      </c>
      <c r="Q85" s="363">
        <v>0.14000000000000001</v>
      </c>
      <c r="R85" s="364">
        <v>0.16</v>
      </c>
      <c r="S85" s="363">
        <v>0.15</v>
      </c>
      <c r="T85" s="364">
        <v>0.31</v>
      </c>
      <c r="U85" s="365">
        <v>0.38</v>
      </c>
      <c r="V85" s="117"/>
      <c r="W85" s="175">
        <v>1.4</v>
      </c>
      <c r="X85" s="362">
        <v>0.23</v>
      </c>
      <c r="Y85" s="363">
        <v>0.36</v>
      </c>
      <c r="Z85" s="364">
        <v>0.25</v>
      </c>
      <c r="AA85" s="363">
        <v>0.12</v>
      </c>
      <c r="AB85" s="364">
        <v>0.13</v>
      </c>
      <c r="AC85" s="363">
        <v>0.13</v>
      </c>
      <c r="AD85" s="364">
        <v>0.3</v>
      </c>
      <c r="AE85" s="365">
        <v>0.41</v>
      </c>
      <c r="AF85" s="117"/>
      <c r="AG85" s="175">
        <v>1.4</v>
      </c>
      <c r="AH85" s="362">
        <v>0.47</v>
      </c>
      <c r="AI85" s="363">
        <v>0.47</v>
      </c>
      <c r="AJ85" s="364">
        <v>0.3</v>
      </c>
      <c r="AK85" s="363">
        <v>0.14000000000000001</v>
      </c>
      <c r="AL85" s="364">
        <v>0.15</v>
      </c>
      <c r="AM85" s="363">
        <v>0.15</v>
      </c>
      <c r="AN85" s="364">
        <v>0.3</v>
      </c>
      <c r="AO85" s="365">
        <v>0.47</v>
      </c>
      <c r="AP85" s="117"/>
      <c r="AQ85" s="175">
        <v>1.4</v>
      </c>
      <c r="AR85" s="362">
        <v>0.4</v>
      </c>
      <c r="AS85" s="363">
        <v>0.34</v>
      </c>
      <c r="AT85" s="364">
        <v>0.21</v>
      </c>
      <c r="AU85" s="363">
        <v>0.15</v>
      </c>
      <c r="AV85" s="364">
        <v>0.16</v>
      </c>
      <c r="AW85" s="363">
        <v>0.15</v>
      </c>
      <c r="AX85" s="364">
        <v>0.28000000000000003</v>
      </c>
      <c r="AY85" s="365">
        <v>0.43</v>
      </c>
      <c r="AZ85" s="117"/>
      <c r="BA85" s="175">
        <v>1.4</v>
      </c>
      <c r="BB85" s="362">
        <v>0.53</v>
      </c>
      <c r="BC85" s="363">
        <v>0.41</v>
      </c>
      <c r="BD85" s="364">
        <v>0.26</v>
      </c>
      <c r="BE85" s="363">
        <v>0.16</v>
      </c>
      <c r="BF85" s="364">
        <v>0.17</v>
      </c>
      <c r="BG85" s="363">
        <v>0.17</v>
      </c>
      <c r="BH85" s="364">
        <v>0.32</v>
      </c>
      <c r="BI85" s="365">
        <v>0.52</v>
      </c>
      <c r="BJ85" s="117"/>
      <c r="BK85" s="175">
        <v>1.4</v>
      </c>
      <c r="BL85" s="362">
        <v>0.83</v>
      </c>
      <c r="BM85" s="363">
        <v>0.68</v>
      </c>
      <c r="BN85" s="364">
        <v>0.33</v>
      </c>
      <c r="BO85" s="363">
        <v>0.14000000000000001</v>
      </c>
      <c r="BP85" s="364">
        <v>0.14000000000000001</v>
      </c>
      <c r="BQ85" s="363">
        <v>0.14000000000000001</v>
      </c>
      <c r="BR85" s="364">
        <v>0.27</v>
      </c>
      <c r="BS85" s="365">
        <v>0.48</v>
      </c>
      <c r="BT85" s="117"/>
      <c r="BU85" s="175">
        <v>1.4</v>
      </c>
      <c r="BV85" s="362">
        <v>0.44</v>
      </c>
      <c r="BW85" s="363">
        <v>0.42</v>
      </c>
      <c r="BX85" s="364">
        <v>0.25</v>
      </c>
      <c r="BY85" s="363">
        <v>0.17</v>
      </c>
      <c r="BZ85" s="364">
        <v>0.18</v>
      </c>
      <c r="CA85" s="363">
        <v>0.17</v>
      </c>
      <c r="CB85" s="364">
        <v>0.24</v>
      </c>
      <c r="CC85" s="365">
        <v>0.38</v>
      </c>
    </row>
    <row r="86" spans="1:81">
      <c r="A86" s="117"/>
      <c r="C86" s="175">
        <v>1.6</v>
      </c>
      <c r="D86" s="166"/>
      <c r="E86" s="167"/>
      <c r="F86" s="168"/>
      <c r="G86" s="167"/>
      <c r="H86" s="168"/>
      <c r="I86" s="167"/>
      <c r="J86" s="168"/>
      <c r="K86" s="169"/>
      <c r="L86" s="117"/>
      <c r="M86" s="175">
        <v>1.6</v>
      </c>
      <c r="N86" s="362">
        <v>0.22</v>
      </c>
      <c r="O86" s="363">
        <v>0.28999999999999998</v>
      </c>
      <c r="P86" s="364">
        <v>0.22</v>
      </c>
      <c r="Q86" s="363">
        <v>0.14000000000000001</v>
      </c>
      <c r="R86" s="364">
        <v>0.15</v>
      </c>
      <c r="S86" s="363">
        <v>0.14000000000000001</v>
      </c>
      <c r="T86" s="364">
        <v>0.26</v>
      </c>
      <c r="U86" s="365">
        <v>0.34</v>
      </c>
      <c r="V86" s="117"/>
      <c r="W86" s="175">
        <v>1.6</v>
      </c>
      <c r="X86" s="362">
        <v>0.17</v>
      </c>
      <c r="Y86" s="363">
        <v>0.31</v>
      </c>
      <c r="Z86" s="364">
        <v>0.24</v>
      </c>
      <c r="AA86" s="363">
        <v>0.11</v>
      </c>
      <c r="AB86" s="364">
        <v>0.12</v>
      </c>
      <c r="AC86" s="363">
        <v>0.12</v>
      </c>
      <c r="AD86" s="364">
        <v>0.28999999999999998</v>
      </c>
      <c r="AE86" s="365">
        <v>0.34</v>
      </c>
      <c r="AF86" s="117"/>
      <c r="AG86" s="175">
        <v>1.6</v>
      </c>
      <c r="AH86" s="362">
        <v>0.34</v>
      </c>
      <c r="AI86" s="363">
        <v>0.41</v>
      </c>
      <c r="AJ86" s="364">
        <v>0.28000000000000003</v>
      </c>
      <c r="AK86" s="363">
        <v>0.14000000000000001</v>
      </c>
      <c r="AL86" s="364">
        <v>0.14000000000000001</v>
      </c>
      <c r="AM86" s="363">
        <v>0.14000000000000001</v>
      </c>
      <c r="AN86" s="364">
        <v>0.26</v>
      </c>
      <c r="AO86" s="365">
        <v>0.41</v>
      </c>
      <c r="AP86" s="117"/>
      <c r="AQ86" s="175">
        <v>1.6</v>
      </c>
      <c r="AR86" s="362">
        <v>0.28000000000000003</v>
      </c>
      <c r="AS86" s="363">
        <v>0.3</v>
      </c>
      <c r="AT86" s="364">
        <v>0.19</v>
      </c>
      <c r="AU86" s="363">
        <v>0.14000000000000001</v>
      </c>
      <c r="AV86" s="364">
        <v>0.14000000000000001</v>
      </c>
      <c r="AW86" s="363">
        <v>0.13</v>
      </c>
      <c r="AX86" s="364">
        <v>0.23</v>
      </c>
      <c r="AY86" s="365">
        <v>0.36</v>
      </c>
      <c r="AZ86" s="117"/>
      <c r="BA86" s="175">
        <v>1.6</v>
      </c>
      <c r="BB86" s="362">
        <v>0.44</v>
      </c>
      <c r="BC86" s="363">
        <v>0.37</v>
      </c>
      <c r="BD86" s="364">
        <v>0.22</v>
      </c>
      <c r="BE86" s="363">
        <v>0.15</v>
      </c>
      <c r="BF86" s="364">
        <v>0.16</v>
      </c>
      <c r="BG86" s="363">
        <v>0.15</v>
      </c>
      <c r="BH86" s="364">
        <v>0.28000000000000003</v>
      </c>
      <c r="BI86" s="365">
        <v>0.44</v>
      </c>
      <c r="BJ86" s="117"/>
      <c r="BK86" s="175">
        <v>1.6</v>
      </c>
      <c r="BL86" s="362">
        <v>0.64</v>
      </c>
      <c r="BM86" s="363">
        <v>0.49</v>
      </c>
      <c r="BN86" s="364">
        <v>0.3</v>
      </c>
      <c r="BO86" s="363">
        <v>0.13</v>
      </c>
      <c r="BP86" s="364">
        <v>0.13</v>
      </c>
      <c r="BQ86" s="363">
        <v>0.12</v>
      </c>
      <c r="BR86" s="364">
        <v>0.25</v>
      </c>
      <c r="BS86" s="365">
        <v>0.45</v>
      </c>
      <c r="BT86" s="117"/>
      <c r="BU86" s="175">
        <v>1.6</v>
      </c>
      <c r="BV86" s="362">
        <v>0.31</v>
      </c>
      <c r="BW86" s="363">
        <v>0.31</v>
      </c>
      <c r="BX86" s="364">
        <v>0.21</v>
      </c>
      <c r="BY86" s="363">
        <v>0.16</v>
      </c>
      <c r="BZ86" s="364">
        <v>0.17</v>
      </c>
      <c r="CA86" s="363">
        <v>0.15</v>
      </c>
      <c r="CB86" s="364">
        <v>0.22</v>
      </c>
      <c r="CC86" s="365">
        <v>0.32</v>
      </c>
    </row>
    <row r="87" spans="1:81">
      <c r="A87" s="117"/>
      <c r="C87" s="175">
        <v>1.8</v>
      </c>
      <c r="D87" s="166"/>
      <c r="E87" s="167"/>
      <c r="F87" s="168"/>
      <c r="G87" s="167"/>
      <c r="H87" s="168"/>
      <c r="I87" s="167"/>
      <c r="J87" s="168"/>
      <c r="K87" s="169"/>
      <c r="L87" s="117"/>
      <c r="M87" s="175">
        <v>1.8</v>
      </c>
      <c r="N87" s="362">
        <v>0.19</v>
      </c>
      <c r="O87" s="363">
        <v>0.25</v>
      </c>
      <c r="P87" s="364">
        <v>0.19</v>
      </c>
      <c r="Q87" s="363">
        <v>0.13</v>
      </c>
      <c r="R87" s="364">
        <v>0.14000000000000001</v>
      </c>
      <c r="S87" s="363">
        <v>0.13</v>
      </c>
      <c r="T87" s="364">
        <v>0.23</v>
      </c>
      <c r="U87" s="365">
        <v>0.28000000000000003</v>
      </c>
      <c r="V87" s="117"/>
      <c r="W87" s="175">
        <v>1.8</v>
      </c>
      <c r="X87" s="362">
        <v>0.15</v>
      </c>
      <c r="Y87" s="363">
        <v>0.22</v>
      </c>
      <c r="Z87" s="364">
        <v>0.19</v>
      </c>
      <c r="AA87" s="363">
        <v>0.11</v>
      </c>
      <c r="AB87" s="364">
        <v>0.12</v>
      </c>
      <c r="AC87" s="363">
        <v>0.11</v>
      </c>
      <c r="AD87" s="364">
        <v>0.24</v>
      </c>
      <c r="AE87" s="365">
        <v>0.31</v>
      </c>
      <c r="AF87" s="117"/>
      <c r="AG87" s="175">
        <v>1.8</v>
      </c>
      <c r="AH87" s="362">
        <v>0.26</v>
      </c>
      <c r="AI87" s="363">
        <v>0.35</v>
      </c>
      <c r="AJ87" s="364">
        <v>0.25</v>
      </c>
      <c r="AK87" s="363">
        <v>0.13</v>
      </c>
      <c r="AL87" s="364">
        <v>0.14000000000000001</v>
      </c>
      <c r="AM87" s="363">
        <v>0.13</v>
      </c>
      <c r="AN87" s="364">
        <v>0.24</v>
      </c>
      <c r="AO87" s="365">
        <v>0.35</v>
      </c>
      <c r="AP87" s="117"/>
      <c r="AQ87" s="175">
        <v>1.8</v>
      </c>
      <c r="AR87" s="362">
        <v>0.22</v>
      </c>
      <c r="AS87" s="363">
        <v>0.25</v>
      </c>
      <c r="AT87" s="364">
        <v>0.16</v>
      </c>
      <c r="AU87" s="363">
        <v>0.13</v>
      </c>
      <c r="AV87" s="364">
        <v>0.14000000000000001</v>
      </c>
      <c r="AW87" s="363">
        <v>0.13</v>
      </c>
      <c r="AX87" s="364">
        <v>0.2</v>
      </c>
      <c r="AY87" s="365">
        <v>0.32</v>
      </c>
      <c r="AZ87" s="117"/>
      <c r="BA87" s="175">
        <v>1.8</v>
      </c>
      <c r="BB87" s="362">
        <v>0.32</v>
      </c>
      <c r="BC87" s="363">
        <v>0.3</v>
      </c>
      <c r="BD87" s="364">
        <v>0.21</v>
      </c>
      <c r="BE87" s="363">
        <v>0.14000000000000001</v>
      </c>
      <c r="BF87" s="364">
        <v>0.15</v>
      </c>
      <c r="BG87" s="363">
        <v>0.14000000000000001</v>
      </c>
      <c r="BH87" s="364">
        <v>0.27</v>
      </c>
      <c r="BI87" s="365">
        <v>0.4</v>
      </c>
      <c r="BJ87" s="117"/>
      <c r="BK87" s="175">
        <v>1.8</v>
      </c>
      <c r="BL87" s="362">
        <v>0.52</v>
      </c>
      <c r="BM87" s="363">
        <v>0.47</v>
      </c>
      <c r="BN87" s="364">
        <v>0.24</v>
      </c>
      <c r="BO87" s="363">
        <v>0.12</v>
      </c>
      <c r="BP87" s="364">
        <v>0.13</v>
      </c>
      <c r="BQ87" s="363">
        <v>0.12</v>
      </c>
      <c r="BR87" s="364">
        <v>0.23</v>
      </c>
      <c r="BS87" s="365">
        <v>0.39</v>
      </c>
      <c r="BT87" s="117"/>
      <c r="BU87" s="175">
        <v>1.8</v>
      </c>
      <c r="BV87" s="362">
        <v>0.23</v>
      </c>
      <c r="BW87" s="363">
        <v>0.28000000000000003</v>
      </c>
      <c r="BX87" s="364">
        <v>0.19</v>
      </c>
      <c r="BY87" s="363">
        <v>0.14000000000000001</v>
      </c>
      <c r="BZ87" s="364">
        <v>0.16</v>
      </c>
      <c r="CA87" s="363">
        <v>0.14000000000000001</v>
      </c>
      <c r="CB87" s="364">
        <v>0.19</v>
      </c>
      <c r="CC87" s="365">
        <v>0.28999999999999998</v>
      </c>
    </row>
    <row r="88" spans="1:81">
      <c r="A88" s="117"/>
      <c r="C88" s="177">
        <v>2</v>
      </c>
      <c r="D88" s="158"/>
      <c r="E88" s="163"/>
      <c r="F88" s="159"/>
      <c r="G88" s="163"/>
      <c r="H88" s="159"/>
      <c r="I88" s="163"/>
      <c r="J88" s="159"/>
      <c r="K88" s="165"/>
      <c r="L88" s="117"/>
      <c r="M88" s="177">
        <v>2</v>
      </c>
      <c r="N88" s="158">
        <v>0.15</v>
      </c>
      <c r="O88" s="163">
        <v>0.19</v>
      </c>
      <c r="P88" s="159">
        <v>0.17</v>
      </c>
      <c r="Q88" s="163">
        <v>0.12</v>
      </c>
      <c r="R88" s="159">
        <v>0.14000000000000001</v>
      </c>
      <c r="S88" s="163">
        <v>0.13</v>
      </c>
      <c r="T88" s="159">
        <v>0.22</v>
      </c>
      <c r="U88" s="165">
        <v>0.27</v>
      </c>
      <c r="V88" s="117"/>
      <c r="W88" s="177">
        <v>2</v>
      </c>
      <c r="X88" s="158">
        <v>0.13</v>
      </c>
      <c r="Y88" s="163">
        <v>0.22</v>
      </c>
      <c r="Z88" s="159">
        <v>0.18</v>
      </c>
      <c r="AA88" s="163">
        <v>0.1</v>
      </c>
      <c r="AB88" s="159">
        <v>0.12</v>
      </c>
      <c r="AC88" s="163">
        <v>0.11</v>
      </c>
      <c r="AD88" s="159">
        <v>0.22</v>
      </c>
      <c r="AE88" s="165">
        <v>0.27</v>
      </c>
      <c r="AF88" s="117"/>
      <c r="AG88" s="177">
        <v>2</v>
      </c>
      <c r="AH88" s="158">
        <v>0.24</v>
      </c>
      <c r="AI88" s="163">
        <v>0.32</v>
      </c>
      <c r="AJ88" s="159">
        <v>0.22</v>
      </c>
      <c r="AK88" s="163">
        <v>0.12</v>
      </c>
      <c r="AL88" s="159">
        <v>0.13</v>
      </c>
      <c r="AM88" s="163">
        <v>0.12</v>
      </c>
      <c r="AN88" s="159">
        <v>0.22</v>
      </c>
      <c r="AO88" s="165">
        <v>0.28999999999999998</v>
      </c>
      <c r="AP88" s="117"/>
      <c r="AQ88" s="177">
        <v>2</v>
      </c>
      <c r="AR88" s="158">
        <v>0.18</v>
      </c>
      <c r="AS88" s="163">
        <v>0.19</v>
      </c>
      <c r="AT88" s="159">
        <v>0.15</v>
      </c>
      <c r="AU88" s="163">
        <v>0.12</v>
      </c>
      <c r="AV88" s="159">
        <v>0.14000000000000001</v>
      </c>
      <c r="AW88" s="163">
        <v>0.12</v>
      </c>
      <c r="AX88" s="159">
        <v>0.19</v>
      </c>
      <c r="AY88" s="165">
        <v>0.24</v>
      </c>
      <c r="AZ88" s="117"/>
      <c r="BA88" s="177">
        <v>2</v>
      </c>
      <c r="BB88" s="158">
        <v>0.25</v>
      </c>
      <c r="BC88" s="163">
        <v>0.27</v>
      </c>
      <c r="BD88" s="159">
        <v>0.2</v>
      </c>
      <c r="BE88" s="163">
        <v>0.13</v>
      </c>
      <c r="BF88" s="159">
        <v>0.14000000000000001</v>
      </c>
      <c r="BG88" s="163">
        <v>0.14000000000000001</v>
      </c>
      <c r="BH88" s="159">
        <v>0.24</v>
      </c>
      <c r="BI88" s="165">
        <v>0.32</v>
      </c>
      <c r="BJ88" s="117"/>
      <c r="BK88" s="177">
        <v>2</v>
      </c>
      <c r="BL88" s="158">
        <v>0.39</v>
      </c>
      <c r="BM88" s="163">
        <v>0.39</v>
      </c>
      <c r="BN88" s="159">
        <v>0.24</v>
      </c>
      <c r="BO88" s="163">
        <v>0.11</v>
      </c>
      <c r="BP88" s="159">
        <v>0.12</v>
      </c>
      <c r="BQ88" s="163">
        <v>0.12</v>
      </c>
      <c r="BR88" s="159">
        <v>0.2</v>
      </c>
      <c r="BS88" s="165">
        <v>0.33</v>
      </c>
      <c r="BT88" s="117"/>
      <c r="BU88" s="177">
        <v>2</v>
      </c>
      <c r="BV88" s="158">
        <v>0.19</v>
      </c>
      <c r="BW88" s="163">
        <v>0.25</v>
      </c>
      <c r="BX88" s="159">
        <v>0.16</v>
      </c>
      <c r="BY88" s="163">
        <v>0.14000000000000001</v>
      </c>
      <c r="BZ88" s="159">
        <v>0.15</v>
      </c>
      <c r="CA88" s="163">
        <v>0.14000000000000001</v>
      </c>
      <c r="CB88" s="159">
        <v>0.17</v>
      </c>
      <c r="CC88" s="165">
        <v>0.23</v>
      </c>
    </row>
    <row r="89" spans="1:81">
      <c r="A89" s="117"/>
      <c r="L89" s="117"/>
      <c r="M89" s="117"/>
      <c r="N89" s="117"/>
      <c r="O89" s="117"/>
      <c r="P89" s="117"/>
      <c r="Q89" s="117"/>
      <c r="R89" s="117"/>
      <c r="S89" s="117"/>
      <c r="T89" s="117"/>
      <c r="U89" s="117"/>
      <c r="V89" s="117"/>
      <c r="W89" s="117"/>
      <c r="X89" s="117"/>
      <c r="Y89" s="117"/>
      <c r="Z89" s="117"/>
      <c r="AA89" s="117"/>
      <c r="AB89" s="117"/>
      <c r="AC89" s="117"/>
      <c r="AD89" s="117"/>
      <c r="AE89" s="117"/>
      <c r="AF89" s="117"/>
      <c r="AG89" s="117"/>
      <c r="AH89" s="117"/>
      <c r="AI89" s="117"/>
      <c r="AJ89" s="117"/>
      <c r="AK89" s="117"/>
      <c r="AL89" s="117"/>
      <c r="AM89" s="117"/>
      <c r="AN89" s="117"/>
      <c r="AO89" s="117"/>
      <c r="AP89" s="117"/>
      <c r="AQ89" s="117"/>
      <c r="AR89" s="117"/>
      <c r="AS89" s="117"/>
      <c r="AT89" s="117"/>
      <c r="AU89" s="117"/>
      <c r="AV89" s="117"/>
      <c r="AW89" s="117"/>
      <c r="AX89" s="117"/>
      <c r="AY89" s="117"/>
      <c r="AZ89" s="117"/>
      <c r="BJ89" s="117"/>
      <c r="BT89" s="117"/>
      <c r="BU89" s="117"/>
      <c r="BV89" s="117"/>
      <c r="BW89" s="117"/>
      <c r="BX89" s="117"/>
      <c r="BY89" s="117"/>
      <c r="BZ89" s="117"/>
      <c r="CA89" s="117"/>
      <c r="CB89" s="117"/>
      <c r="CC89" s="117"/>
    </row>
    <row r="90" spans="1:81">
      <c r="A90" s="117"/>
      <c r="L90" s="117"/>
      <c r="M90" s="117"/>
      <c r="N90" s="117"/>
      <c r="O90" s="117"/>
      <c r="P90" s="117"/>
      <c r="Q90" s="117"/>
      <c r="R90" s="117"/>
      <c r="S90" s="117"/>
      <c r="T90" s="117"/>
      <c r="U90" s="117"/>
      <c r="V90" s="117"/>
      <c r="W90" s="117"/>
      <c r="X90" s="117"/>
      <c r="Y90" s="117"/>
      <c r="Z90" s="117"/>
      <c r="AA90" s="117"/>
      <c r="AB90" s="117"/>
      <c r="AC90" s="117"/>
      <c r="AD90" s="117"/>
      <c r="AE90" s="117"/>
      <c r="AF90" s="117"/>
      <c r="AG90" s="117"/>
      <c r="AH90" s="117"/>
      <c r="AI90" s="117"/>
      <c r="AJ90" s="117"/>
      <c r="AK90" s="117"/>
      <c r="AL90" s="117"/>
      <c r="AM90" s="117"/>
      <c r="AN90" s="117"/>
      <c r="AO90" s="117"/>
      <c r="AP90" s="117"/>
      <c r="AQ90" s="117"/>
      <c r="AR90" s="117"/>
      <c r="AS90" s="117"/>
      <c r="AT90" s="117"/>
      <c r="AU90" s="117"/>
      <c r="AV90" s="117"/>
      <c r="AW90" s="117"/>
      <c r="AX90" s="117"/>
      <c r="AY90" s="117"/>
      <c r="AZ90" s="117"/>
      <c r="BJ90" s="117"/>
      <c r="BT90" s="117"/>
      <c r="BU90" s="117"/>
      <c r="BV90" s="117"/>
      <c r="BW90" s="117"/>
      <c r="BX90" s="117"/>
      <c r="BY90" s="117"/>
      <c r="BZ90" s="117"/>
      <c r="CA90" s="117"/>
      <c r="CB90" s="117"/>
      <c r="CC90" s="117"/>
    </row>
    <row r="91" spans="1:81">
      <c r="A91" s="117"/>
      <c r="L91" s="117"/>
      <c r="M91" s="117"/>
      <c r="N91" s="117"/>
      <c r="O91" s="117"/>
      <c r="P91" s="117"/>
      <c r="Q91" s="117"/>
      <c r="R91" s="117"/>
      <c r="S91" s="117"/>
      <c r="T91" s="117"/>
      <c r="U91" s="117"/>
      <c r="V91" s="117"/>
      <c r="W91" s="117"/>
      <c r="X91" s="117"/>
      <c r="Y91" s="117"/>
      <c r="Z91" s="117"/>
      <c r="AA91" s="117"/>
      <c r="AB91" s="117"/>
      <c r="AC91" s="117"/>
      <c r="AD91" s="117"/>
      <c r="AE91" s="117"/>
      <c r="AF91" s="117"/>
      <c r="AG91" s="117"/>
      <c r="AH91" s="117"/>
      <c r="AI91" s="117"/>
      <c r="AJ91" s="117"/>
      <c r="AK91" s="117"/>
      <c r="AL91" s="117"/>
      <c r="AM91" s="117"/>
      <c r="AN91" s="117"/>
      <c r="AO91" s="117"/>
      <c r="AP91" s="117"/>
      <c r="AQ91" s="117"/>
      <c r="AR91" s="117"/>
      <c r="AS91" s="117"/>
      <c r="AT91" s="117"/>
      <c r="AU91" s="117"/>
      <c r="AV91" s="117"/>
      <c r="AW91" s="117"/>
      <c r="AX91" s="117"/>
      <c r="AY91" s="117"/>
      <c r="AZ91" s="117"/>
      <c r="BJ91" s="117"/>
      <c r="BT91" s="117"/>
      <c r="BU91" s="117"/>
      <c r="BV91" s="117"/>
      <c r="BW91" s="117"/>
      <c r="BX91" s="117"/>
      <c r="BY91" s="117"/>
      <c r="BZ91" s="117"/>
      <c r="CA91" s="117"/>
      <c r="CB91" s="117"/>
      <c r="CC91" s="117"/>
    </row>
    <row r="92" spans="1:81">
      <c r="A92" s="117"/>
    </row>
    <row r="93" spans="1:81">
      <c r="A93" s="117"/>
    </row>
  </sheetData>
  <sheetProtection password="EFF1" sheet="1" objects="1" scenarios="1" selectLockedCells="1" selectUnlockedCells="1"/>
  <phoneticPr fontId="2"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116</vt:i4>
      </vt:variant>
    </vt:vector>
  </HeadingPairs>
  <TitlesOfParts>
    <vt:vector size="121" baseType="lpstr">
      <vt:lpstr>Help</vt:lpstr>
      <vt:lpstr>Screenshots</vt:lpstr>
      <vt:lpstr>Calculator</vt:lpstr>
      <vt:lpstr>Worksheet</vt:lpstr>
      <vt:lpstr>Tables</vt:lpstr>
      <vt:lpstr>ActiveA</vt:lpstr>
      <vt:lpstr>ActiveB</vt:lpstr>
      <vt:lpstr>ActiveDisplayed</vt:lpstr>
      <vt:lpstr>ActiveHidden</vt:lpstr>
      <vt:lpstr>AdviceIssuesOnly</vt:lpstr>
      <vt:lpstr>AirMovement</vt:lpstr>
      <vt:lpstr>AllInputsOK</vt:lpstr>
      <vt:lpstr>AllowanceCuA</vt:lpstr>
      <vt:lpstr>AllowanceCuB</vt:lpstr>
      <vt:lpstr>AllowedCond</vt:lpstr>
      <vt:lpstr>AllowedSHG</vt:lpstr>
      <vt:lpstr>AreaA</vt:lpstr>
      <vt:lpstr>AreaAll</vt:lpstr>
      <vt:lpstr>AreaApercent</vt:lpstr>
      <vt:lpstr>AreaB</vt:lpstr>
      <vt:lpstr>AreaBpercent</vt:lpstr>
      <vt:lpstr>AreaUsed</vt:lpstr>
      <vt:lpstr>BC_AirMove</vt:lpstr>
      <vt:lpstr>BC_AirMoveSelect</vt:lpstr>
      <vt:lpstr>BC_AirMoveSelect_6</vt:lpstr>
      <vt:lpstr>BC_Apply</vt:lpstr>
      <vt:lpstr>BC_DataColumn</vt:lpstr>
      <vt:lpstr>BC_DataTable</vt:lpstr>
      <vt:lpstr>Worksheet!BC_FanEvap</vt:lpstr>
      <vt:lpstr>BC_Glaz_F_A</vt:lpstr>
      <vt:lpstr>BC_SHG_Constants</vt:lpstr>
      <vt:lpstr>BC_WAZones</vt:lpstr>
      <vt:lpstr>BC_WAZones_Glaz</vt:lpstr>
      <vt:lpstr>Worksheet!BC_YN</vt:lpstr>
      <vt:lpstr>Building</vt:lpstr>
      <vt:lpstr>ConductanceAccess</vt:lpstr>
      <vt:lpstr>ConstantsA</vt:lpstr>
      <vt:lpstr>ConstantsB</vt:lpstr>
      <vt:lpstr>ConstantsGround</vt:lpstr>
      <vt:lpstr>ConstantsSource</vt:lpstr>
      <vt:lpstr>ConstantsSuspended</vt:lpstr>
      <vt:lpstr>CshgcA</vt:lpstr>
      <vt:lpstr>CshgcB</vt:lpstr>
      <vt:lpstr>CshgcWeighted</vt:lpstr>
      <vt:lpstr>CuA</vt:lpstr>
      <vt:lpstr>CuB</vt:lpstr>
      <vt:lpstr>CuWeighted</vt:lpstr>
      <vt:lpstr>DifferenceA</vt:lpstr>
      <vt:lpstr>DifferenceB</vt:lpstr>
      <vt:lpstr>Directions</vt:lpstr>
      <vt:lpstr>DudPerformance</vt:lpstr>
      <vt:lpstr>DudShading</vt:lpstr>
      <vt:lpstr>DudSize</vt:lpstr>
      <vt:lpstr>DudTableInputs</vt:lpstr>
      <vt:lpstr>EmptyA</vt:lpstr>
      <vt:lpstr>ExposuresSummer</vt:lpstr>
      <vt:lpstr>ExposuresWinter</vt:lpstr>
      <vt:lpstr>FailedCondA</vt:lpstr>
      <vt:lpstr>FailedConductance</vt:lpstr>
      <vt:lpstr>FailedSHG</vt:lpstr>
      <vt:lpstr>FailedSHGA</vt:lpstr>
      <vt:lpstr>FailedSHGB</vt:lpstr>
      <vt:lpstr>First3Inputs</vt:lpstr>
      <vt:lpstr>GlazingAreaA</vt:lpstr>
      <vt:lpstr>GlazingAreaAll</vt:lpstr>
      <vt:lpstr>Help</vt:lpstr>
      <vt:lpstr>InputIssues</vt:lpstr>
      <vt:lpstr>InputsAlert</vt:lpstr>
      <vt:lpstr>InterpolatedA</vt:lpstr>
      <vt:lpstr>InterpolatedB</vt:lpstr>
      <vt:lpstr>LastActive</vt:lpstr>
      <vt:lpstr>MultipleAir</vt:lpstr>
      <vt:lpstr>NoGlazing</vt:lpstr>
      <vt:lpstr>NoSector</vt:lpstr>
      <vt:lpstr>NoWallConcession</vt:lpstr>
      <vt:lpstr>NoZoneTableActive</vt:lpstr>
      <vt:lpstr>Orientations</vt:lpstr>
      <vt:lpstr>OrphanData</vt:lpstr>
      <vt:lpstr>OrphanVent</vt:lpstr>
      <vt:lpstr>Calculator!Print_Area</vt:lpstr>
      <vt:lpstr>Help!Print_Area</vt:lpstr>
      <vt:lpstr>Screenshots!Print_Area</vt:lpstr>
      <vt:lpstr>Worksheet!Print_Area</vt:lpstr>
      <vt:lpstr>Calculator!Print_Titles</vt:lpstr>
      <vt:lpstr>Help!Print_Titles</vt:lpstr>
      <vt:lpstr>Screenshots!Print_Titles</vt:lpstr>
      <vt:lpstr>Projections</vt:lpstr>
      <vt:lpstr>Rows</vt:lpstr>
      <vt:lpstr>RowsActive</vt:lpstr>
      <vt:lpstr>RowsAvailable</vt:lpstr>
      <vt:lpstr>RowsDisplayed</vt:lpstr>
      <vt:lpstr>RowsOK</vt:lpstr>
      <vt:lpstr>RowsPreferred</vt:lpstr>
      <vt:lpstr>RowsSkipped</vt:lpstr>
      <vt:lpstr>RowsWithData</vt:lpstr>
      <vt:lpstr>ScreenShot1</vt:lpstr>
      <vt:lpstr>ScreenShot2</vt:lpstr>
      <vt:lpstr>ScreenShot3</vt:lpstr>
      <vt:lpstr>SectorFacedA</vt:lpstr>
      <vt:lpstr>SectorsInA</vt:lpstr>
      <vt:lpstr>SectorsListed</vt:lpstr>
      <vt:lpstr>ShowPassCond</vt:lpstr>
      <vt:lpstr>ShowPassSHG</vt:lpstr>
      <vt:lpstr>SSDisplay</vt:lpstr>
      <vt:lpstr>SSEditing</vt:lpstr>
      <vt:lpstr>SSErrors</vt:lpstr>
      <vt:lpstr>Storey</vt:lpstr>
      <vt:lpstr>SuffixAir</vt:lpstr>
      <vt:lpstr>TableEntries</vt:lpstr>
      <vt:lpstr>TableInputs</vt:lpstr>
      <vt:lpstr>TopInputsOK</vt:lpstr>
      <vt:lpstr>UpperInputsAlerts</vt:lpstr>
      <vt:lpstr>UpperInputsFlagged</vt:lpstr>
      <vt:lpstr>UpperInputsIssues</vt:lpstr>
      <vt:lpstr>UserConstantsGround</vt:lpstr>
      <vt:lpstr>UserConstantsSuspended</vt:lpstr>
      <vt:lpstr>VentilationA</vt:lpstr>
      <vt:lpstr>VentPending</vt:lpstr>
      <vt:lpstr>VisibleFailures</vt:lpstr>
      <vt:lpstr>WallConcession</vt:lpstr>
      <vt:lpstr>Zone</vt:lpstr>
    </vt:vector>
  </TitlesOfParts>
  <Company>Australian Building Codes Board (ABCB)</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Glazing Calculator for BCA 2010 Housing Provisions</dc:title>
  <dc:subject>Glazing Calculator for BCA 2010 Housing Provisions</dc:subject>
  <dc:creator>Australian Building Codes Board</dc:creator>
  <cp:keywords>energy,glazing,calculator,housing</cp:keywords>
  <dc:description>WA Alterations &amp; Additions Protocol reporting worksheet</dc:description>
  <cp:lastModifiedBy>Sarah Prus</cp:lastModifiedBy>
  <cp:lastPrinted>2014-05-04T02:11:47Z</cp:lastPrinted>
  <dcterms:created xsi:type="dcterms:W3CDTF">2004-11-09T01:00:42Z</dcterms:created>
  <dcterms:modified xsi:type="dcterms:W3CDTF">2015-02-16T08:34:09Z</dcterms:modified>
  <cp:category>energy,glazing,calculator,housing</cp:category>
</cp:coreProperties>
</file>