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3.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4.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15.xml" ContentType="application/vnd.openxmlformats-officedocument.drawing+xml"/>
  <Override PartName="/xl/charts/chart13.xml" ContentType="application/vnd.openxmlformats-officedocument.drawingml.chart+xml"/>
  <Override PartName="/xl/charts/style10.xml" ContentType="application/vnd.ms-office.chartstyle+xml"/>
  <Override PartName="/xl/charts/colors10.xml" ContentType="application/vnd.ms-office.chartcolorstyle+xml"/>
  <Override PartName="/xl/charts/chart14.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6.xml" ContentType="application/vnd.openxmlformats-officedocument.drawing+xml"/>
  <Override PartName="/xl/charts/chart15.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7.xml" ContentType="application/vnd.openxmlformats-officedocument.drawingml.chartshapes+xml"/>
  <Override PartName="/xl/charts/chart16.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drawings/drawing20.xml" ContentType="application/vnd.openxmlformats-officedocument.drawing+xml"/>
  <Override PartName="/xl/charts/chart17.xml" ContentType="application/vnd.openxmlformats-officedocument.drawingml.chart+xml"/>
  <Override PartName="/xl/drawings/drawing21.xml" ContentType="application/vnd.openxmlformats-officedocument.drawingml.chartshapes+xml"/>
  <Override PartName="/xl/charts/chart18.xml" ContentType="application/vnd.openxmlformats-officedocument.drawingml.chart+xml"/>
  <Override PartName="/xl/drawings/drawing22.xml" ContentType="application/vnd.openxmlformats-officedocument.drawing+xml"/>
  <Override PartName="/xl/charts/chart19.xml" ContentType="application/vnd.openxmlformats-officedocument.drawingml.chart+xml"/>
  <Override PartName="/xl/drawings/drawing23.xml" ContentType="application/vnd.openxmlformats-officedocument.drawingml.chartshapes+xml"/>
  <Override PartName="/xl/charts/chart20.xml" ContentType="application/vnd.openxmlformats-officedocument.drawingml.chart+xml"/>
  <Override PartName="/xl/drawings/drawing24.xml" ContentType="application/vnd.openxmlformats-officedocument.drawing+xml"/>
  <Override PartName="/xl/charts/chart21.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5.xml" ContentType="application/vnd.openxmlformats-officedocument.drawingml.chartshapes+xml"/>
  <Override PartName="/xl/charts/chart22.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6.xml" ContentType="application/vnd.openxmlformats-officedocument.drawingml.chartshape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23.xml" ContentType="application/vnd.openxmlformats-officedocument.drawingml.chart+xml"/>
  <Override PartName="/xl/charts/style15.xml" ContentType="application/vnd.ms-office.chartstyle+xml"/>
  <Override PartName="/xl/charts/colors15.xml" ContentType="application/vnd.ms-office.chartcolorstyle+xml"/>
  <Override PartName="/xl/charts/chart24.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C:\Users\mijharm\Desktop\2025 Stats Web Update\"/>
    </mc:Choice>
  </mc:AlternateContent>
  <xr:revisionPtr revIDLastSave="0" documentId="8_{57B77A75-D43F-4134-8E13-09CD656EBC40}" xr6:coauthVersionLast="47" xr6:coauthVersionMax="47" xr10:uidLastSave="{00000000-0000-0000-0000-000000000000}"/>
  <bookViews>
    <workbookView xWindow="-120" yWindow="-120" windowWidth="29040" windowHeight="15720" tabRatio="916" xr2:uid="{5145BE13-61DD-48E7-B4BA-ED6E285B6972}"/>
  </bookViews>
  <sheets>
    <sheet name="Index" sheetId="1" r:id="rId1"/>
    <sheet name="Data Sources" sheetId="2" r:id="rId2"/>
    <sheet name="How To Use" sheetId="3" r:id="rId3"/>
    <sheet name="Mining Economic Impact" sheetId="4" r:id="rId4"/>
    <sheet name="Exports 2-years" sheetId="5" r:id="rId5"/>
    <sheet name="Exports Historic" sheetId="6" r:id="rId6"/>
    <sheet name="Mining Investment" sheetId="7" r:id="rId7"/>
    <sheet name="Min. Expl. By Commodity (Data)" sheetId="22" state="hidden" r:id="rId8"/>
    <sheet name="Min. Expl. By Commodity" sheetId="8" r:id="rId9"/>
    <sheet name="Min. Expl. By Type" sheetId="9" r:id="rId10"/>
    <sheet name="Min. Expl. Metres Drilled" sheetId="10" r:id="rId11"/>
    <sheet name="Pet. Exploration Expenditure" sheetId="11" r:id="rId12"/>
    <sheet name="Pet. Expl. By Location" sheetId="12" r:id="rId13"/>
    <sheet name="Royalties 2-years" sheetId="13" r:id="rId14"/>
    <sheet name="Royalties Historic" sheetId="14" r:id="rId15"/>
    <sheet name="Mining Employment CY" sheetId="15" r:id="rId16"/>
    <sheet name="Mining Employment FY" sheetId="16" r:id="rId17"/>
    <sheet name="Mining Employment Report Period" sheetId="17" r:id="rId18"/>
    <sheet name="Mining Employment By Project" sheetId="18" r:id="rId19"/>
    <sheet name="Mining Employment CY Pre-2001" sheetId="19" r:id="rId20"/>
    <sheet name="Petroleum Employment" sheetId="20" r:id="rId21"/>
    <sheet name="Pet. Emp. Jan 2010 to Mar 2022" sheetId="21" r:id="rId22"/>
  </sheets>
  <definedNames>
    <definedName name="_xlnm._FilterDatabase" localSheetId="18" hidden="1">'Mining Employment By Project'!$A$8:$E$594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8" i="14" l="1"/>
  <c r="AP38" i="14"/>
  <c r="B8" i="5"/>
  <c r="C8" i="5"/>
  <c r="H23" i="6"/>
  <c r="G23" i="6"/>
  <c r="F23" i="6"/>
  <c r="E23" i="6"/>
  <c r="D23" i="6"/>
  <c r="C23" i="6"/>
  <c r="B23" i="6"/>
  <c r="I41" i="6"/>
  <c r="H41" i="6"/>
  <c r="G41" i="6"/>
  <c r="F41" i="6"/>
  <c r="E41" i="6"/>
  <c r="D41" i="6"/>
  <c r="C41" i="6"/>
  <c r="B41" i="6"/>
  <c r="L41" i="6"/>
  <c r="K37" i="6" l="1"/>
  <c r="K41" i="6" s="1"/>
  <c r="AP39" i="14"/>
  <c r="K98" i="9"/>
  <c r="J98" i="9"/>
  <c r="I98" i="9"/>
  <c r="K97" i="9"/>
  <c r="J97" i="9"/>
  <c r="I97" i="9"/>
  <c r="G98" i="9"/>
  <c r="G97" i="9"/>
  <c r="D98" i="9"/>
  <c r="D97" i="9"/>
  <c r="K96" i="9"/>
  <c r="J96" i="9"/>
  <c r="I96" i="9"/>
  <c r="G96" i="9"/>
  <c r="D96" i="9"/>
  <c r="K95" i="9"/>
  <c r="J95" i="9"/>
  <c r="I95" i="9"/>
  <c r="G95" i="9"/>
  <c r="D95" i="9"/>
  <c r="E116" i="8"/>
  <c r="D116" i="8"/>
  <c r="C116" i="8"/>
  <c r="E115" i="8"/>
  <c r="D115" i="8"/>
  <c r="C115" i="8"/>
  <c r="AI115" i="22"/>
  <c r="AI114" i="22"/>
  <c r="AI113" i="22"/>
  <c r="AI112" i="22"/>
  <c r="AI111" i="22"/>
  <c r="AI110" i="22"/>
  <c r="AI109" i="22"/>
  <c r="AI108" i="22"/>
  <c r="AI107" i="22"/>
  <c r="AI106" i="22"/>
  <c r="AI105" i="22"/>
  <c r="AI104" i="22"/>
  <c r="AI103" i="22"/>
  <c r="AI102" i="22"/>
  <c r="AI101" i="22"/>
  <c r="AI100" i="22"/>
  <c r="AI99" i="22"/>
  <c r="AI98" i="22"/>
  <c r="AI97" i="22"/>
  <c r="AI96" i="22"/>
  <c r="AI95" i="22"/>
  <c r="AI94" i="22"/>
  <c r="AI93" i="22"/>
  <c r="AI92" i="22"/>
  <c r="AI91" i="22"/>
  <c r="AI90" i="22"/>
  <c r="AI89" i="22"/>
  <c r="AI88" i="22"/>
  <c r="AI87" i="22"/>
  <c r="AI86" i="22"/>
  <c r="AI85" i="22"/>
  <c r="AI84" i="22"/>
  <c r="AI83" i="22"/>
  <c r="AI82" i="22"/>
  <c r="AI81" i="22"/>
  <c r="AI80" i="22"/>
  <c r="AI79" i="22"/>
  <c r="AI78" i="22"/>
  <c r="AI77" i="22"/>
  <c r="AI76" i="22"/>
  <c r="AI75" i="22"/>
  <c r="AI74" i="22"/>
  <c r="AI73" i="22"/>
  <c r="AI72" i="22"/>
  <c r="AI71" i="22"/>
  <c r="AI70" i="22"/>
  <c r="AI69" i="22"/>
  <c r="AI68" i="22"/>
  <c r="AI67" i="22"/>
  <c r="AI66" i="22"/>
  <c r="AI65" i="22"/>
  <c r="AI64" i="22"/>
  <c r="AI63" i="22"/>
  <c r="AI62" i="22"/>
  <c r="AI61" i="22"/>
  <c r="AI60" i="22"/>
  <c r="AI59" i="22"/>
  <c r="AI58" i="22"/>
  <c r="AI57" i="22"/>
  <c r="AI56" i="22"/>
  <c r="AI55" i="22"/>
  <c r="AI54" i="22"/>
  <c r="AI53" i="22"/>
  <c r="AI52" i="22"/>
  <c r="AI51" i="22"/>
  <c r="AI50" i="22"/>
  <c r="AI49" i="22"/>
  <c r="AI48" i="22"/>
  <c r="AI47" i="22"/>
  <c r="AI46" i="22"/>
  <c r="AI45" i="22"/>
  <c r="AI44" i="22"/>
  <c r="AI43" i="22"/>
  <c r="AI42" i="22"/>
  <c r="AI41" i="22"/>
  <c r="AI40" i="22"/>
  <c r="AI39" i="22"/>
  <c r="AI38" i="22"/>
  <c r="AI37" i="22"/>
  <c r="AI36" i="22"/>
  <c r="AI35" i="22"/>
  <c r="AI34" i="22"/>
  <c r="AI33" i="22"/>
  <c r="AI32" i="22"/>
  <c r="AI31" i="22"/>
  <c r="AI30" i="22"/>
  <c r="AI29" i="22"/>
  <c r="AI28" i="22"/>
  <c r="AI27" i="22"/>
  <c r="AI26" i="22"/>
  <c r="AI25" i="22"/>
  <c r="AI24" i="22"/>
  <c r="AI23" i="22"/>
  <c r="AI22" i="22"/>
  <c r="AI21" i="22"/>
  <c r="AI20" i="22"/>
  <c r="AI19" i="22"/>
  <c r="AI18" i="22"/>
  <c r="AI17" i="22"/>
  <c r="AI16" i="22"/>
  <c r="AI15" i="22"/>
  <c r="AI14" i="22"/>
  <c r="AI13" i="22"/>
  <c r="AI12" i="22"/>
  <c r="AI11" i="22"/>
  <c r="AI10" i="22"/>
  <c r="AF115" i="22"/>
  <c r="AF114" i="22"/>
  <c r="AF10" i="22"/>
  <c r="AC115" i="22"/>
  <c r="AC114" i="22"/>
  <c r="AC10" i="22"/>
  <c r="Z115" i="22"/>
  <c r="Z114" i="22"/>
  <c r="Z113" i="22"/>
  <c r="Z112" i="22"/>
  <c r="Z111" i="22"/>
  <c r="Z110" i="22"/>
  <c r="Z109" i="22"/>
  <c r="Z108" i="22"/>
  <c r="Z107" i="22"/>
  <c r="Z106" i="22"/>
  <c r="Z105" i="22"/>
  <c r="Z104" i="22"/>
  <c r="Z103" i="22"/>
  <c r="Z102" i="22"/>
  <c r="Z101" i="22"/>
  <c r="Z100" i="22"/>
  <c r="Z99" i="22"/>
  <c r="Z98" i="22"/>
  <c r="Z97" i="22"/>
  <c r="Z96" i="22"/>
  <c r="Z95" i="22"/>
  <c r="Z94" i="22"/>
  <c r="Z93" i="22"/>
  <c r="Z92" i="22"/>
  <c r="Z91" i="22"/>
  <c r="Z90" i="22"/>
  <c r="Z89" i="22"/>
  <c r="Z88" i="22"/>
  <c r="Z87" i="22"/>
  <c r="Z86" i="22"/>
  <c r="Z85" i="22"/>
  <c r="Z84" i="22"/>
  <c r="Z83" i="22"/>
  <c r="Z82" i="22"/>
  <c r="Z81" i="22"/>
  <c r="Z80" i="22"/>
  <c r="Z79" i="22"/>
  <c r="Z78" i="22"/>
  <c r="Z77" i="22"/>
  <c r="Z76" i="22"/>
  <c r="Z75" i="22"/>
  <c r="Z74" i="22"/>
  <c r="Z73" i="22"/>
  <c r="Z72" i="22"/>
  <c r="Z71" i="22"/>
  <c r="Z70" i="22"/>
  <c r="Z69" i="22"/>
  <c r="Z68" i="22"/>
  <c r="Z67" i="22"/>
  <c r="Z66" i="22"/>
  <c r="Z65" i="22"/>
  <c r="Z64" i="22"/>
  <c r="Z63" i="22"/>
  <c r="Z62" i="22"/>
  <c r="Z61" i="22"/>
  <c r="Z60" i="22"/>
  <c r="Z59" i="22"/>
  <c r="Z58" i="22"/>
  <c r="Z57" i="22"/>
  <c r="Z56" i="22"/>
  <c r="Z55" i="22"/>
  <c r="Z54" i="22"/>
  <c r="Z53" i="22"/>
  <c r="Z52" i="22"/>
  <c r="Z51" i="22"/>
  <c r="Z50" i="22"/>
  <c r="Z49" i="22"/>
  <c r="Z48" i="22"/>
  <c r="Z47" i="22"/>
  <c r="Z46" i="22"/>
  <c r="Z45" i="22"/>
  <c r="Z44" i="22"/>
  <c r="Z43" i="22"/>
  <c r="Z42" i="22"/>
  <c r="Z41" i="22"/>
  <c r="Z40" i="22"/>
  <c r="Z39" i="22"/>
  <c r="Z38" i="22"/>
  <c r="Z37" i="22"/>
  <c r="Z36" i="22"/>
  <c r="Z35" i="22"/>
  <c r="Z34" i="22"/>
  <c r="Z33" i="22"/>
  <c r="Z32" i="22"/>
  <c r="Z31" i="22"/>
  <c r="Z30" i="22"/>
  <c r="Z29" i="22"/>
  <c r="Z28" i="22"/>
  <c r="Z27" i="22"/>
  <c r="Z26" i="22"/>
  <c r="Z25" i="22"/>
  <c r="Z24" i="22"/>
  <c r="Z23" i="22"/>
  <c r="Z22" i="22"/>
  <c r="Z21" i="22"/>
  <c r="Z20" i="22"/>
  <c r="Z19" i="22"/>
  <c r="Z18" i="22"/>
  <c r="Z17" i="22"/>
  <c r="Z16" i="22"/>
  <c r="Z15" i="22"/>
  <c r="Z14" i="22"/>
  <c r="Z13" i="22"/>
  <c r="Z12" i="22"/>
  <c r="Z11" i="22"/>
  <c r="Z10" i="22"/>
  <c r="W113" i="22"/>
  <c r="W112" i="22"/>
  <c r="W111" i="22"/>
  <c r="W110" i="22"/>
  <c r="W109" i="22"/>
  <c r="W108" i="22"/>
  <c r="W107" i="22"/>
  <c r="W106" i="22"/>
  <c r="W105" i="22"/>
  <c r="W104" i="22"/>
  <c r="W103" i="22"/>
  <c r="W102" i="22"/>
  <c r="W101" i="22"/>
  <c r="W100" i="22"/>
  <c r="W99" i="22"/>
  <c r="W98" i="22"/>
  <c r="W97" i="22"/>
  <c r="W96" i="22"/>
  <c r="W95" i="22"/>
  <c r="W94" i="22"/>
  <c r="W93" i="22"/>
  <c r="W92" i="22"/>
  <c r="W91" i="22"/>
  <c r="W90" i="22"/>
  <c r="W89" i="22"/>
  <c r="W88" i="22"/>
  <c r="W87" i="22"/>
  <c r="W86" i="22"/>
  <c r="W85" i="22"/>
  <c r="W84" i="22"/>
  <c r="W83" i="22"/>
  <c r="W82" i="22"/>
  <c r="W81" i="22"/>
  <c r="W80" i="22"/>
  <c r="W79" i="22"/>
  <c r="W78" i="22"/>
  <c r="W77" i="22"/>
  <c r="W76" i="22"/>
  <c r="W75" i="22"/>
  <c r="W74" i="22"/>
  <c r="W73" i="22"/>
  <c r="W72" i="22"/>
  <c r="W71" i="22"/>
  <c r="W70" i="22"/>
  <c r="W69" i="22"/>
  <c r="W68" i="22"/>
  <c r="W67" i="22"/>
  <c r="W66" i="22"/>
  <c r="W65" i="22"/>
  <c r="W64" i="22"/>
  <c r="W63" i="22"/>
  <c r="W62" i="22"/>
  <c r="W61" i="22"/>
  <c r="W60" i="22"/>
  <c r="W59" i="22"/>
  <c r="W58" i="22"/>
  <c r="W57" i="22"/>
  <c r="W56" i="22"/>
  <c r="W55" i="22"/>
  <c r="W54" i="22"/>
  <c r="W53" i="22"/>
  <c r="W52" i="22"/>
  <c r="W51" i="22"/>
  <c r="W50" i="22"/>
  <c r="W49" i="22"/>
  <c r="W48" i="22"/>
  <c r="W47" i="22"/>
  <c r="W46" i="22"/>
  <c r="W45" i="22"/>
  <c r="W44" i="22"/>
  <c r="W43" i="22"/>
  <c r="W42" i="22"/>
  <c r="W41" i="22"/>
  <c r="W40" i="22"/>
  <c r="W39" i="22"/>
  <c r="W38" i="22"/>
  <c r="W37" i="22"/>
  <c r="W36" i="22"/>
  <c r="W35" i="22"/>
  <c r="W34" i="22"/>
  <c r="W33" i="22"/>
  <c r="W32" i="22"/>
  <c r="W31" i="22"/>
  <c r="W30" i="22"/>
  <c r="W29" i="22"/>
  <c r="W28" i="22"/>
  <c r="W27" i="22"/>
  <c r="W26" i="22"/>
  <c r="W25" i="22"/>
  <c r="W24" i="22"/>
  <c r="W23" i="22"/>
  <c r="W22" i="22"/>
  <c r="W21" i="22"/>
  <c r="W20" i="22"/>
  <c r="W19" i="22"/>
  <c r="W18" i="22"/>
  <c r="W17" i="22"/>
  <c r="W16" i="22"/>
  <c r="W15" i="22"/>
  <c r="W14" i="22"/>
  <c r="W13" i="22"/>
  <c r="W12" i="22"/>
  <c r="W11" i="22"/>
  <c r="W115" i="22"/>
  <c r="W114" i="22"/>
  <c r="W10" i="22"/>
  <c r="T115" i="22"/>
  <c r="T114" i="22"/>
  <c r="Q115" i="22"/>
  <c r="Q114" i="22"/>
  <c r="N115" i="22"/>
  <c r="N114" i="22"/>
  <c r="K115" i="22"/>
  <c r="K114" i="22"/>
  <c r="K113" i="22"/>
  <c r="K112" i="22"/>
  <c r="K111" i="22"/>
  <c r="K110" i="22"/>
  <c r="K109" i="22"/>
  <c r="K108" i="22"/>
  <c r="K107" i="22"/>
  <c r="K106" i="22"/>
  <c r="K105" i="22"/>
  <c r="K104" i="22"/>
  <c r="K103" i="22"/>
  <c r="K102" i="22"/>
  <c r="K101" i="22"/>
  <c r="K100" i="22"/>
  <c r="K99" i="22"/>
  <c r="K98" i="22"/>
  <c r="K97" i="22"/>
  <c r="K96" i="22"/>
  <c r="K95" i="22"/>
  <c r="K94" i="22"/>
  <c r="K93" i="22"/>
  <c r="K92" i="22"/>
  <c r="K91" i="22"/>
  <c r="K90" i="22"/>
  <c r="K89" i="22"/>
  <c r="K88" i="22"/>
  <c r="K87" i="22"/>
  <c r="K86" i="22"/>
  <c r="K85" i="22"/>
  <c r="K84" i="22"/>
  <c r="K83" i="22"/>
  <c r="K82" i="22"/>
  <c r="K81" i="22"/>
  <c r="K80" i="22"/>
  <c r="K79" i="22"/>
  <c r="K78" i="22"/>
  <c r="K77" i="22"/>
  <c r="K76" i="22"/>
  <c r="K75" i="22"/>
  <c r="K74" i="22"/>
  <c r="K73" i="22"/>
  <c r="K72" i="22"/>
  <c r="K71" i="22"/>
  <c r="K70" i="22"/>
  <c r="K69" i="22"/>
  <c r="K68" i="22"/>
  <c r="K67" i="22"/>
  <c r="K66" i="22"/>
  <c r="K65" i="22"/>
  <c r="K64" i="22"/>
  <c r="K63" i="22"/>
  <c r="K62" i="22"/>
  <c r="K61" i="22"/>
  <c r="K60" i="22"/>
  <c r="K59" i="22"/>
  <c r="K58" i="22"/>
  <c r="K57" i="22"/>
  <c r="K56" i="22"/>
  <c r="K55" i="22"/>
  <c r="K54" i="22"/>
  <c r="K53" i="22"/>
  <c r="K52" i="22"/>
  <c r="K51" i="22"/>
  <c r="K50" i="22"/>
  <c r="K49" i="22"/>
  <c r="K48" i="22"/>
  <c r="K47" i="22"/>
  <c r="K46" i="22"/>
  <c r="K45" i="22"/>
  <c r="K44" i="22"/>
  <c r="K43" i="22"/>
  <c r="K42" i="22"/>
  <c r="K41" i="22"/>
  <c r="K40" i="22"/>
  <c r="K39" i="22"/>
  <c r="K38" i="22"/>
  <c r="K37" i="22"/>
  <c r="K36" i="22"/>
  <c r="K35" i="22"/>
  <c r="K34" i="22"/>
  <c r="K33" i="22"/>
  <c r="K32" i="22"/>
  <c r="K31" i="22"/>
  <c r="K30" i="22"/>
  <c r="K29" i="22"/>
  <c r="K28" i="22"/>
  <c r="K27" i="22"/>
  <c r="K26" i="22"/>
  <c r="K25" i="22"/>
  <c r="K24" i="22"/>
  <c r="K23" i="22"/>
  <c r="K22" i="22"/>
  <c r="K21" i="22"/>
  <c r="K20" i="22"/>
  <c r="K19" i="22"/>
  <c r="K18" i="22"/>
  <c r="K17" i="22"/>
  <c r="K16" i="22"/>
  <c r="K15" i="22"/>
  <c r="K14" i="22"/>
  <c r="K13" i="22"/>
  <c r="K12" i="22"/>
  <c r="K11" i="22"/>
  <c r="K10" i="22"/>
  <c r="H115" i="22"/>
  <c r="H114" i="22"/>
  <c r="H113" i="22"/>
  <c r="H112" i="22"/>
  <c r="H111" i="22"/>
  <c r="H110" i="22"/>
  <c r="H109" i="22"/>
  <c r="H108" i="22"/>
  <c r="H107" i="22"/>
  <c r="H106" i="22"/>
  <c r="H105" i="22"/>
  <c r="H104" i="22"/>
  <c r="H103" i="22"/>
  <c r="H102" i="22"/>
  <c r="H101" i="22"/>
  <c r="H100" i="22"/>
  <c r="H99" i="22"/>
  <c r="H98" i="22"/>
  <c r="H97" i="22"/>
  <c r="H96" i="22"/>
  <c r="H95" i="22"/>
  <c r="H94" i="22"/>
  <c r="H93" i="22"/>
  <c r="H92" i="22"/>
  <c r="H91" i="22"/>
  <c r="H90" i="22"/>
  <c r="H89" i="22"/>
  <c r="H88" i="22"/>
  <c r="H87" i="22"/>
  <c r="H86" i="22"/>
  <c r="H85" i="22"/>
  <c r="H84" i="22"/>
  <c r="H83" i="22"/>
  <c r="H82" i="22"/>
  <c r="H81" i="22"/>
  <c r="H80" i="22"/>
  <c r="H79" i="22"/>
  <c r="H78" i="22"/>
  <c r="H77" i="22"/>
  <c r="H76" i="22"/>
  <c r="H75" i="22"/>
  <c r="H74" i="22"/>
  <c r="H73" i="22"/>
  <c r="H72" i="22"/>
  <c r="H71" i="22"/>
  <c r="H70" i="22"/>
  <c r="H69" i="22"/>
  <c r="H68" i="22"/>
  <c r="H67" i="22"/>
  <c r="H66" i="22"/>
  <c r="H65" i="22"/>
  <c r="H64" i="22"/>
  <c r="H63" i="22"/>
  <c r="H62" i="22"/>
  <c r="H61" i="22"/>
  <c r="H60" i="22"/>
  <c r="H59" i="22"/>
  <c r="H58" i="22"/>
  <c r="H57" i="22"/>
  <c r="H56" i="22"/>
  <c r="H55" i="22"/>
  <c r="H54" i="22"/>
  <c r="H53" i="22"/>
  <c r="H52" i="22"/>
  <c r="H51" i="22"/>
  <c r="H50" i="22"/>
  <c r="H49" i="22"/>
  <c r="H48" i="22"/>
  <c r="H47" i="22"/>
  <c r="H46" i="22"/>
  <c r="H45" i="22"/>
  <c r="H44" i="22"/>
  <c r="H43" i="22"/>
  <c r="H42" i="22"/>
  <c r="H41" i="22"/>
  <c r="H40" i="22"/>
  <c r="H39" i="22"/>
  <c r="H38" i="22"/>
  <c r="H37" i="22"/>
  <c r="H36" i="22"/>
  <c r="H35" i="22"/>
  <c r="H34" i="22"/>
  <c r="H33" i="22"/>
  <c r="H32" i="22"/>
  <c r="H31" i="22"/>
  <c r="H30" i="22"/>
  <c r="H29" i="22"/>
  <c r="H28" i="22"/>
  <c r="H27" i="22"/>
  <c r="H26" i="22"/>
  <c r="H25" i="22"/>
  <c r="H24" i="22"/>
  <c r="H23" i="22"/>
  <c r="H22" i="22"/>
  <c r="H21" i="22"/>
  <c r="H20" i="22"/>
  <c r="H19" i="22"/>
  <c r="H18" i="22"/>
  <c r="H17" i="22"/>
  <c r="H16" i="22"/>
  <c r="H15" i="22"/>
  <c r="H14" i="22"/>
  <c r="H13" i="22"/>
  <c r="H12" i="22"/>
  <c r="H11" i="22"/>
  <c r="E115" i="22"/>
  <c r="E114" i="22"/>
  <c r="E113" i="22"/>
  <c r="E112" i="22"/>
  <c r="E111" i="22"/>
  <c r="E110" i="22"/>
  <c r="E109" i="22"/>
  <c r="E108" i="22"/>
  <c r="E107" i="22"/>
  <c r="E106" i="22"/>
  <c r="E105" i="22"/>
  <c r="E104" i="22"/>
  <c r="E103" i="22"/>
  <c r="E102" i="22"/>
  <c r="E101" i="22"/>
  <c r="E100" i="22"/>
  <c r="E99" i="22"/>
  <c r="E98" i="22"/>
  <c r="E97" i="22"/>
  <c r="E96" i="22"/>
  <c r="E95" i="22"/>
  <c r="E94" i="22"/>
  <c r="E93" i="22"/>
  <c r="E92" i="22"/>
  <c r="E91" i="22"/>
  <c r="E90" i="22"/>
  <c r="E89" i="22"/>
  <c r="E88" i="22"/>
  <c r="E87" i="22"/>
  <c r="E86" i="22"/>
  <c r="E85" i="22"/>
  <c r="E84" i="22"/>
  <c r="E83" i="22"/>
  <c r="E82" i="22"/>
  <c r="E81" i="22"/>
  <c r="E80" i="22"/>
  <c r="E79" i="22"/>
  <c r="E78" i="22"/>
  <c r="E77" i="22"/>
  <c r="E76" i="22"/>
  <c r="E75" i="22"/>
  <c r="E74" i="22"/>
  <c r="E73" i="22"/>
  <c r="E72" i="22"/>
  <c r="E71" i="22"/>
  <c r="E70" i="22"/>
  <c r="E69" i="22"/>
  <c r="E68" i="22"/>
  <c r="E67" i="22"/>
  <c r="E66" i="22"/>
  <c r="E65" i="22"/>
  <c r="E64" i="22"/>
  <c r="E63" i="22"/>
  <c r="E62" i="22"/>
  <c r="E61" i="22"/>
  <c r="E60" i="22"/>
  <c r="E59" i="22"/>
  <c r="E58" i="22"/>
  <c r="E57" i="22"/>
  <c r="E56" i="22"/>
  <c r="E55" i="22"/>
  <c r="E54" i="22"/>
  <c r="E53" i="22"/>
  <c r="E52" i="22"/>
  <c r="E51" i="22"/>
  <c r="E50" i="22"/>
  <c r="E49" i="22"/>
  <c r="E48" i="22"/>
  <c r="E47" i="22"/>
  <c r="E46" i="22"/>
  <c r="E45" i="22"/>
  <c r="E44" i="22"/>
  <c r="E43" i="22"/>
  <c r="E42" i="22"/>
  <c r="E41" i="22"/>
  <c r="E40" i="22"/>
  <c r="E39" i="22"/>
  <c r="E38" i="22"/>
  <c r="E37" i="22"/>
  <c r="E36" i="22"/>
  <c r="E35" i="22"/>
  <c r="E34" i="22"/>
  <c r="E33" i="22"/>
  <c r="E32" i="22"/>
  <c r="E31" i="22"/>
  <c r="E30" i="22"/>
  <c r="E29" i="22"/>
  <c r="E28" i="22"/>
  <c r="E27" i="22"/>
  <c r="E26" i="22"/>
  <c r="E25" i="22"/>
  <c r="E24" i="22"/>
  <c r="E23" i="22"/>
  <c r="E22" i="22"/>
  <c r="E21" i="22"/>
  <c r="E20" i="22"/>
  <c r="E19" i="22"/>
  <c r="E18" i="22"/>
  <c r="E17" i="22"/>
  <c r="E16" i="22"/>
  <c r="E15" i="22"/>
  <c r="E14" i="22"/>
  <c r="E13" i="22"/>
  <c r="E12" i="22"/>
  <c r="E11" i="22"/>
  <c r="E10" i="22"/>
  <c r="N112" i="22"/>
  <c r="Q112" i="22"/>
  <c r="T112" i="22"/>
  <c r="AC112" i="22"/>
  <c r="AF112" i="22"/>
  <c r="N113" i="22"/>
  <c r="Q113" i="22"/>
  <c r="T113" i="22"/>
  <c r="AC113" i="22"/>
  <c r="AF113" i="22"/>
  <c r="L199" i="12"/>
  <c r="L198" i="12"/>
  <c r="L197" i="12"/>
  <c r="L196" i="12"/>
  <c r="L195" i="12"/>
  <c r="L194" i="12"/>
  <c r="L193" i="12"/>
  <c r="L191" i="12"/>
  <c r="L190" i="12"/>
  <c r="L189" i="12"/>
  <c r="L188" i="12"/>
  <c r="L187" i="12"/>
  <c r="L186" i="12"/>
  <c r="L185" i="12"/>
  <c r="L184" i="12"/>
  <c r="L183" i="12"/>
  <c r="L182" i="12"/>
  <c r="L181" i="12"/>
  <c r="L180" i="12"/>
  <c r="L179" i="12"/>
  <c r="L178" i="12"/>
  <c r="L177" i="12"/>
  <c r="L176" i="12"/>
  <c r="L175" i="12"/>
  <c r="L174" i="12"/>
  <c r="L173" i="12"/>
  <c r="L172" i="12"/>
  <c r="L171" i="12"/>
  <c r="L170" i="12"/>
  <c r="L169" i="12"/>
  <c r="L168" i="12"/>
  <c r="L167" i="12"/>
  <c r="L166" i="12"/>
  <c r="L165" i="12"/>
  <c r="L164" i="12"/>
  <c r="L163" i="12"/>
  <c r="L162" i="12"/>
  <c r="L161" i="12"/>
  <c r="L160" i="12"/>
  <c r="L159" i="12"/>
  <c r="L158" i="12"/>
  <c r="L157" i="12"/>
  <c r="L156" i="12"/>
  <c r="L155" i="12"/>
  <c r="L154" i="12"/>
  <c r="L153" i="12"/>
  <c r="L152" i="12"/>
  <c r="L151" i="12"/>
  <c r="L150" i="12"/>
  <c r="L149" i="12"/>
  <c r="L148" i="12"/>
  <c r="L147" i="12"/>
  <c r="L146" i="12"/>
  <c r="L145" i="12"/>
  <c r="L144" i="12"/>
  <c r="L143" i="12"/>
  <c r="L142" i="12"/>
  <c r="L141" i="12"/>
  <c r="L140" i="12"/>
  <c r="L139" i="12"/>
  <c r="L138" i="12"/>
  <c r="L137" i="12"/>
  <c r="L136" i="12"/>
  <c r="L135" i="12"/>
  <c r="L134" i="12"/>
  <c r="L133" i="12"/>
  <c r="L132" i="12"/>
  <c r="L131" i="12"/>
  <c r="L130" i="12"/>
  <c r="L129" i="12"/>
  <c r="L128" i="12"/>
  <c r="L127" i="12"/>
  <c r="L126" i="12"/>
  <c r="L125" i="12"/>
  <c r="L124" i="12"/>
  <c r="L123" i="12"/>
  <c r="L122" i="12"/>
  <c r="L121" i="12"/>
  <c r="L120" i="12"/>
  <c r="L119" i="12"/>
  <c r="L118" i="12"/>
  <c r="L117" i="12"/>
  <c r="L116" i="12"/>
  <c r="L115" i="12"/>
  <c r="L114" i="12"/>
  <c r="L113" i="12"/>
  <c r="L112" i="12"/>
  <c r="L111" i="12"/>
  <c r="L110" i="12"/>
  <c r="L109" i="12"/>
  <c r="L108" i="12"/>
  <c r="L107" i="12"/>
  <c r="L106" i="12"/>
  <c r="L105" i="12"/>
  <c r="L104" i="12"/>
  <c r="L103" i="12"/>
  <c r="L102" i="12"/>
  <c r="L101" i="12"/>
  <c r="L100" i="12"/>
  <c r="L99" i="12"/>
  <c r="L98" i="12"/>
  <c r="L97" i="12"/>
  <c r="L96" i="12"/>
  <c r="L95" i="12"/>
  <c r="L94" i="12"/>
  <c r="L93" i="12"/>
  <c r="L92" i="12"/>
  <c r="L91" i="12"/>
  <c r="L90" i="12"/>
  <c r="L89" i="12"/>
  <c r="L88" i="12"/>
  <c r="L87" i="12"/>
  <c r="L86" i="12"/>
  <c r="L85" i="12"/>
  <c r="L84" i="12"/>
  <c r="L83" i="12"/>
  <c r="L82" i="12"/>
  <c r="L81" i="12"/>
  <c r="L80" i="12"/>
  <c r="L79" i="12"/>
  <c r="L78" i="12"/>
  <c r="L77" i="12"/>
  <c r="L76" i="12"/>
  <c r="L75" i="12"/>
  <c r="L74" i="12"/>
  <c r="L73" i="12"/>
  <c r="L72" i="12"/>
  <c r="L71" i="12"/>
  <c r="L70" i="12"/>
  <c r="L69" i="12"/>
  <c r="L68" i="12"/>
  <c r="L67" i="12"/>
  <c r="L66" i="12"/>
  <c r="L65" i="12"/>
  <c r="L64" i="12"/>
  <c r="L63" i="12"/>
  <c r="L62" i="12"/>
  <c r="L61" i="12"/>
  <c r="L60" i="12"/>
  <c r="L59" i="12"/>
  <c r="L58" i="12"/>
  <c r="L57" i="12"/>
  <c r="L56" i="12"/>
  <c r="L55" i="12"/>
  <c r="L54" i="12"/>
  <c r="L53" i="12"/>
  <c r="L52" i="12"/>
  <c r="L51" i="12"/>
  <c r="L50" i="12"/>
  <c r="L49" i="12"/>
  <c r="L48" i="12"/>
  <c r="L47" i="12"/>
  <c r="L46" i="12"/>
  <c r="L45" i="12"/>
  <c r="L44" i="12"/>
  <c r="L43" i="12"/>
  <c r="L42" i="12"/>
  <c r="L41" i="12"/>
  <c r="L40" i="12"/>
  <c r="L39" i="12"/>
  <c r="L38" i="12"/>
  <c r="L37" i="12"/>
  <c r="L36" i="12"/>
  <c r="L35" i="12"/>
  <c r="L34" i="12"/>
  <c r="L33" i="12"/>
  <c r="L32" i="12"/>
  <c r="L31" i="12"/>
  <c r="L30" i="12"/>
  <c r="L29" i="12"/>
  <c r="L28" i="12"/>
  <c r="L27" i="12"/>
  <c r="L26" i="12"/>
  <c r="L25" i="12"/>
  <c r="L24" i="12"/>
  <c r="L23" i="12"/>
  <c r="L22" i="12"/>
  <c r="L21" i="12"/>
  <c r="L20" i="12"/>
  <c r="L19" i="12"/>
  <c r="L18" i="12"/>
  <c r="L17" i="12"/>
  <c r="L16" i="12"/>
  <c r="L15" i="12"/>
  <c r="L14" i="12"/>
  <c r="L13" i="12"/>
  <c r="L12" i="12"/>
  <c r="L11" i="12"/>
  <c r="L10" i="12"/>
  <c r="L9" i="12"/>
  <c r="L192" i="12"/>
  <c r="K199" i="12"/>
  <c r="K198" i="12"/>
  <c r="K197" i="12"/>
  <c r="K196" i="12"/>
  <c r="K195" i="12"/>
  <c r="K194" i="12"/>
  <c r="K193" i="12"/>
  <c r="K192" i="12"/>
  <c r="K191" i="12"/>
  <c r="K190" i="12"/>
  <c r="K189" i="12"/>
  <c r="K188" i="12"/>
  <c r="K187" i="12"/>
  <c r="K186" i="12"/>
  <c r="K185" i="12"/>
  <c r="K184" i="12"/>
  <c r="K183" i="12"/>
  <c r="K182" i="12"/>
  <c r="K181" i="12"/>
  <c r="K180" i="12"/>
  <c r="K179" i="12"/>
  <c r="K178" i="12"/>
  <c r="K177" i="12"/>
  <c r="K176" i="12"/>
  <c r="K175" i="12"/>
  <c r="K174" i="12"/>
  <c r="K173" i="12"/>
  <c r="K172" i="12"/>
  <c r="K171" i="12"/>
  <c r="K170" i="12"/>
  <c r="K168" i="12"/>
  <c r="K167" i="12"/>
  <c r="K166" i="12"/>
  <c r="K165" i="12"/>
  <c r="K164" i="12"/>
  <c r="K163" i="12"/>
  <c r="K162" i="12"/>
  <c r="K161" i="12"/>
  <c r="K160" i="12"/>
  <c r="K159" i="12"/>
  <c r="K158" i="12"/>
  <c r="K157" i="12"/>
  <c r="K156" i="12"/>
  <c r="K155" i="12"/>
  <c r="K154" i="12"/>
  <c r="K153" i="12"/>
  <c r="K152" i="12"/>
  <c r="K151" i="12"/>
  <c r="K150" i="12"/>
  <c r="K149" i="12"/>
  <c r="K148" i="12"/>
  <c r="K147" i="12"/>
  <c r="K146" i="12"/>
  <c r="K145" i="12"/>
  <c r="K144" i="12"/>
  <c r="K143" i="12"/>
  <c r="K142" i="12"/>
  <c r="K141" i="12"/>
  <c r="K140" i="12"/>
  <c r="K139" i="12"/>
  <c r="K138" i="12"/>
  <c r="K137" i="12"/>
  <c r="K136" i="12"/>
  <c r="K135" i="12"/>
  <c r="K134" i="12"/>
  <c r="K133" i="12"/>
  <c r="K132" i="12"/>
  <c r="K131" i="12"/>
  <c r="K130" i="12"/>
  <c r="K129" i="12"/>
  <c r="K128" i="12"/>
  <c r="K127" i="12"/>
  <c r="K126" i="12"/>
  <c r="K125" i="12"/>
  <c r="K124" i="12"/>
  <c r="K123" i="12"/>
  <c r="K122" i="12"/>
  <c r="K121" i="12"/>
  <c r="K120" i="12"/>
  <c r="K119" i="12"/>
  <c r="K118" i="12"/>
  <c r="K117" i="12"/>
  <c r="K116" i="12"/>
  <c r="K115" i="12"/>
  <c r="K114" i="12"/>
  <c r="K113" i="12"/>
  <c r="K112" i="12"/>
  <c r="K111" i="12"/>
  <c r="K110" i="12"/>
  <c r="K109" i="12"/>
  <c r="K108" i="12"/>
  <c r="K107" i="12"/>
  <c r="K106" i="12"/>
  <c r="K105" i="12"/>
  <c r="K104" i="12"/>
  <c r="K103" i="12"/>
  <c r="K102" i="12"/>
  <c r="K101" i="12"/>
  <c r="K100" i="12"/>
  <c r="K99" i="12"/>
  <c r="K98" i="12"/>
  <c r="K97" i="12"/>
  <c r="K96" i="12"/>
  <c r="K95" i="12"/>
  <c r="K94" i="12"/>
  <c r="K93" i="12"/>
  <c r="K92" i="12"/>
  <c r="K91" i="12"/>
  <c r="K90" i="12"/>
  <c r="K89" i="12"/>
  <c r="K88" i="12"/>
  <c r="K87" i="12"/>
  <c r="K86" i="12"/>
  <c r="K85" i="12"/>
  <c r="K84" i="12"/>
  <c r="K83" i="12"/>
  <c r="K82" i="12"/>
  <c r="K81" i="12"/>
  <c r="K80" i="12"/>
  <c r="K79" i="12"/>
  <c r="K78" i="12"/>
  <c r="K77" i="12"/>
  <c r="K76" i="12"/>
  <c r="K75" i="12"/>
  <c r="K74" i="12"/>
  <c r="K73" i="12"/>
  <c r="K72" i="12"/>
  <c r="K71" i="12"/>
  <c r="K70" i="12"/>
  <c r="K69" i="12"/>
  <c r="K68" i="12"/>
  <c r="K67" i="12"/>
  <c r="K66" i="12"/>
  <c r="K65" i="12"/>
  <c r="K64" i="12"/>
  <c r="K63" i="12"/>
  <c r="K62" i="12"/>
  <c r="K61" i="12"/>
  <c r="K60" i="12"/>
  <c r="K59" i="12"/>
  <c r="K58" i="12"/>
  <c r="K57" i="12"/>
  <c r="K56" i="12"/>
  <c r="K55" i="12"/>
  <c r="K54" i="12"/>
  <c r="K53" i="12"/>
  <c r="K52" i="12"/>
  <c r="K51" i="12"/>
  <c r="K50" i="12"/>
  <c r="K49" i="12"/>
  <c r="K48" i="12"/>
  <c r="K47" i="12"/>
  <c r="K46" i="12"/>
  <c r="K45" i="12"/>
  <c r="K44" i="12"/>
  <c r="K43" i="12"/>
  <c r="K42" i="12"/>
  <c r="K41" i="12"/>
  <c r="K40" i="12"/>
  <c r="K39" i="12"/>
  <c r="K38" i="12"/>
  <c r="K37" i="12"/>
  <c r="K36" i="12"/>
  <c r="K35" i="12"/>
  <c r="K34" i="12"/>
  <c r="K33" i="12"/>
  <c r="K32" i="12"/>
  <c r="K31" i="12"/>
  <c r="K30" i="12"/>
  <c r="K29" i="12"/>
  <c r="K28" i="12"/>
  <c r="K27" i="12"/>
  <c r="K26" i="12"/>
  <c r="K25" i="12"/>
  <c r="K24" i="12"/>
  <c r="K23" i="12"/>
  <c r="K22" i="12"/>
  <c r="K21" i="12"/>
  <c r="K20" i="12"/>
  <c r="K19" i="12"/>
  <c r="K18" i="12"/>
  <c r="K17" i="12"/>
  <c r="K16" i="12"/>
  <c r="K15" i="12"/>
  <c r="K14" i="12"/>
  <c r="K13" i="12"/>
  <c r="K12" i="12"/>
  <c r="K11" i="12"/>
  <c r="K10" i="12"/>
  <c r="K9" i="12"/>
  <c r="K169" i="12"/>
  <c r="I18" i="11"/>
  <c r="F134" i="11"/>
  <c r="F133" i="11"/>
  <c r="F132" i="11"/>
  <c r="F131" i="11"/>
  <c r="F130" i="11"/>
  <c r="F129" i="11"/>
  <c r="F128" i="11"/>
  <c r="F127" i="11"/>
  <c r="F126" i="11"/>
  <c r="F125" i="11"/>
  <c r="F124" i="11"/>
  <c r="F123" i="11"/>
  <c r="F122" i="11"/>
  <c r="F121" i="11"/>
  <c r="F120" i="11"/>
  <c r="F119" i="11"/>
  <c r="F118" i="11"/>
  <c r="F117" i="11"/>
  <c r="F116" i="11"/>
  <c r="F115" i="11"/>
  <c r="F114" i="11"/>
  <c r="F113" i="11"/>
  <c r="F112" i="11"/>
  <c r="F111" i="11"/>
  <c r="F110" i="11"/>
  <c r="F109" i="11"/>
  <c r="F108" i="11"/>
  <c r="F107" i="11"/>
  <c r="F106" i="11"/>
  <c r="F105" i="11"/>
  <c r="F104" i="11"/>
  <c r="F103" i="11"/>
  <c r="F102" i="11"/>
  <c r="F101" i="11"/>
  <c r="F100" i="11"/>
  <c r="F99" i="11"/>
  <c r="F98" i="11"/>
  <c r="F97" i="11"/>
  <c r="F96" i="11"/>
  <c r="F95" i="11"/>
  <c r="F94" i="11"/>
  <c r="F93" i="11"/>
  <c r="F92" i="11"/>
  <c r="F91" i="11"/>
  <c r="F90" i="11"/>
  <c r="F89" i="11"/>
  <c r="F88" i="11"/>
  <c r="F87" i="11"/>
  <c r="F86" i="11"/>
  <c r="F85" i="11"/>
  <c r="F84" i="11"/>
  <c r="F83" i="11"/>
  <c r="F82" i="11"/>
  <c r="F81" i="11"/>
  <c r="F80" i="11"/>
  <c r="F79" i="11"/>
  <c r="F78" i="11"/>
  <c r="F77" i="11"/>
  <c r="F76" i="11"/>
  <c r="F75" i="11"/>
  <c r="F74" i="11"/>
  <c r="F73" i="11"/>
  <c r="F72" i="11"/>
  <c r="F71" i="11"/>
  <c r="F70" i="11"/>
  <c r="F69" i="11"/>
  <c r="F68" i="11"/>
  <c r="F67" i="11"/>
  <c r="F66" i="11"/>
  <c r="F65" i="11"/>
  <c r="F64" i="11"/>
  <c r="F63" i="11"/>
  <c r="F62" i="11"/>
  <c r="F61" i="11"/>
  <c r="F60" i="11"/>
  <c r="F59" i="11"/>
  <c r="F58" i="11"/>
  <c r="F57" i="11"/>
  <c r="F56" i="11"/>
  <c r="F55" i="11"/>
  <c r="F54" i="11"/>
  <c r="F53" i="11"/>
  <c r="F52" i="11"/>
  <c r="F51" i="11"/>
  <c r="F50" i="11"/>
  <c r="F49" i="11"/>
  <c r="F48" i="11"/>
  <c r="F47" i="11"/>
  <c r="F46" i="11"/>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11" i="11"/>
  <c r="F10" i="11"/>
  <c r="D134" i="11"/>
  <c r="D133" i="11"/>
  <c r="D132" i="11"/>
  <c r="D131" i="11"/>
  <c r="D130" i="11"/>
  <c r="D129" i="11"/>
  <c r="D128" i="11"/>
  <c r="D127" i="11"/>
  <c r="D126" i="11"/>
  <c r="D125" i="11"/>
  <c r="D124" i="11"/>
  <c r="D123" i="11"/>
  <c r="D122" i="11"/>
  <c r="D121" i="11"/>
  <c r="D120" i="11"/>
  <c r="D119" i="11"/>
  <c r="D118" i="11"/>
  <c r="D117" i="11"/>
  <c r="D116" i="11"/>
  <c r="D115" i="11"/>
  <c r="D114" i="11"/>
  <c r="D113" i="11"/>
  <c r="D112" i="11"/>
  <c r="D111" i="11"/>
  <c r="D110" i="11"/>
  <c r="D109" i="11"/>
  <c r="D108" i="11"/>
  <c r="D107" i="11"/>
  <c r="D106" i="11"/>
  <c r="D105" i="11"/>
  <c r="D104" i="11"/>
  <c r="D103" i="11"/>
  <c r="D102" i="11"/>
  <c r="D101" i="11"/>
  <c r="D100" i="11"/>
  <c r="D99" i="11"/>
  <c r="D98" i="11"/>
  <c r="D97" i="11"/>
  <c r="D96" i="11"/>
  <c r="D95" i="11"/>
  <c r="D94" i="11"/>
  <c r="D93" i="11"/>
  <c r="D92" i="11"/>
  <c r="D91" i="11"/>
  <c r="D90" i="11"/>
  <c r="D89" i="11"/>
  <c r="D88" i="11"/>
  <c r="D87" i="11"/>
  <c r="D86" i="11"/>
  <c r="D85" i="11"/>
  <c r="D84" i="11"/>
  <c r="D83" i="11"/>
  <c r="D82" i="11"/>
  <c r="D81" i="11"/>
  <c r="D80" i="11"/>
  <c r="D79" i="11"/>
  <c r="D78" i="11"/>
  <c r="D77" i="11"/>
  <c r="D76" i="11"/>
  <c r="D75" i="11"/>
  <c r="D74" i="11"/>
  <c r="D73" i="11"/>
  <c r="D72" i="11"/>
  <c r="D71" i="11"/>
  <c r="D70" i="11"/>
  <c r="D69" i="11"/>
  <c r="D68" i="11"/>
  <c r="D67" i="11"/>
  <c r="D66" i="11"/>
  <c r="D65" i="11"/>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H154" i="7"/>
  <c r="H155" i="7"/>
  <c r="F154" i="7"/>
  <c r="F155"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9" i="7"/>
  <c r="B44" i="4"/>
  <c r="A44" i="4"/>
  <c r="L18"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G44"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E44"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C9" i="4"/>
  <c r="J37" i="6"/>
  <c r="J41" i="6" s="1"/>
  <c r="L37" i="6"/>
  <c r="L39" i="6" s="1"/>
  <c r="K39" i="6" l="1"/>
  <c r="F115" i="8"/>
  <c r="F116" i="8"/>
  <c r="J39" i="6"/>
  <c r="C10" i="5" l="1" a="1"/>
  <c r="C10" i="5" s="1"/>
  <c r="B11" i="5" a="1"/>
  <c r="B11" i="5" s="1"/>
  <c r="A171" i="20"/>
  <c r="A170" i="20"/>
  <c r="A169" i="20"/>
  <c r="A168" i="20"/>
  <c r="A167" i="20"/>
  <c r="A166" i="20"/>
  <c r="A165" i="20"/>
  <c r="A164" i="20"/>
  <c r="A163" i="20"/>
  <c r="A162" i="20"/>
  <c r="A161" i="20"/>
  <c r="A160" i="20"/>
  <c r="A159" i="20"/>
  <c r="A158" i="20"/>
  <c r="A157" i="20"/>
  <c r="A156" i="20"/>
  <c r="A155" i="20"/>
  <c r="A154" i="20"/>
  <c r="A153" i="20"/>
  <c r="A152" i="20"/>
  <c r="A151" i="20"/>
  <c r="A150" i="20"/>
  <c r="A149" i="20"/>
  <c r="A148" i="20"/>
  <c r="A147"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A102" i="20"/>
  <c r="A101" i="20"/>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BS76" i="17"/>
  <c r="BR76" i="17"/>
  <c r="BQ76" i="17"/>
  <c r="BP76" i="17"/>
  <c r="BO76" i="17"/>
  <c r="BN76" i="17"/>
  <c r="BM76" i="17"/>
  <c r="BL76" i="17"/>
  <c r="BK76" i="17"/>
  <c r="BJ76" i="17"/>
  <c r="BI76" i="17"/>
  <c r="BH76" i="17"/>
  <c r="BG76" i="17"/>
  <c r="BF76" i="17"/>
  <c r="BE76" i="17"/>
  <c r="BD76" i="17"/>
  <c r="BC76" i="17"/>
  <c r="BB76" i="17"/>
  <c r="BA76" i="17"/>
  <c r="AZ76" i="17"/>
  <c r="AY76" i="17"/>
  <c r="AX76" i="17"/>
  <c r="AW76" i="17"/>
  <c r="AV76" i="17"/>
  <c r="AU76" i="17"/>
  <c r="AT76" i="17"/>
  <c r="AS76" i="17"/>
  <c r="AR76" i="17"/>
  <c r="AQ76" i="17"/>
  <c r="AP76" i="17"/>
  <c r="AO76" i="17"/>
  <c r="AN76" i="17"/>
  <c r="AM76" i="17"/>
  <c r="AL76" i="17"/>
  <c r="AK76" i="17"/>
  <c r="AJ76" i="17"/>
  <c r="AI76" i="17"/>
  <c r="AH76" i="17"/>
  <c r="AG76" i="17"/>
  <c r="AF76" i="17"/>
  <c r="AE76" i="17"/>
  <c r="AD76" i="17"/>
  <c r="AC76" i="17"/>
  <c r="AB76" i="17"/>
  <c r="AA76" i="17"/>
  <c r="Z76" i="17"/>
  <c r="Y76" i="17"/>
  <c r="X76" i="17"/>
  <c r="W76" i="17"/>
  <c r="V76" i="17"/>
  <c r="U76" i="17"/>
  <c r="T76" i="17"/>
  <c r="S76" i="17"/>
  <c r="R76" i="17"/>
  <c r="Q76" i="17"/>
  <c r="P76" i="17"/>
  <c r="O76" i="17"/>
  <c r="N76" i="17"/>
  <c r="M76" i="17"/>
  <c r="L76" i="17"/>
  <c r="K76" i="17"/>
  <c r="J76" i="17"/>
  <c r="I76" i="17"/>
  <c r="H76" i="17"/>
  <c r="G76" i="17"/>
  <c r="F76" i="17"/>
  <c r="E76" i="17"/>
  <c r="D76" i="17"/>
  <c r="C76" i="17"/>
  <c r="B76" i="17"/>
  <c r="JG59" i="17"/>
  <c r="JD59" i="17"/>
  <c r="JC59" i="17"/>
  <c r="JB59" i="17"/>
  <c r="JA59" i="17"/>
  <c r="IZ59" i="17"/>
  <c r="IY59" i="17"/>
  <c r="IX59" i="17"/>
  <c r="IW59" i="17"/>
  <c r="IV59" i="17"/>
  <c r="IU59" i="17"/>
  <c r="IT59" i="17"/>
  <c r="IN59" i="17"/>
  <c r="IM59" i="17"/>
  <c r="IL59" i="17"/>
  <c r="IK59" i="17"/>
  <c r="IJ59" i="17"/>
  <c r="II59" i="17"/>
  <c r="IH59" i="17"/>
  <c r="IG59" i="17"/>
  <c r="IF59" i="17"/>
  <c r="IE59" i="17"/>
  <c r="ID59" i="17"/>
  <c r="IC59" i="17"/>
  <c r="IB59" i="17"/>
  <c r="IA59" i="17"/>
  <c r="HZ59" i="17"/>
  <c r="HY59" i="17"/>
  <c r="HX59" i="17"/>
  <c r="HW59" i="17"/>
  <c r="HV59" i="17"/>
  <c r="HU59" i="17"/>
  <c r="HT59" i="17"/>
  <c r="HS59" i="17"/>
  <c r="HR59" i="17"/>
  <c r="HQ59" i="17"/>
  <c r="HP59" i="17"/>
  <c r="HO59" i="17"/>
  <c r="HN59" i="17"/>
  <c r="HM59" i="17"/>
  <c r="HL59" i="17"/>
  <c r="HK59" i="17"/>
  <c r="HJ59" i="17"/>
  <c r="HI59" i="17"/>
  <c r="HH59" i="17"/>
  <c r="HG59" i="17"/>
  <c r="HF59" i="17"/>
  <c r="HE59" i="17"/>
  <c r="HD59" i="17"/>
  <c r="HC59" i="17"/>
  <c r="HB59" i="17"/>
  <c r="HA59" i="17"/>
  <c r="GZ59" i="17"/>
  <c r="GY59" i="17"/>
  <c r="GX59" i="17"/>
  <c r="GW59" i="17"/>
  <c r="GV59" i="17"/>
  <c r="GU59" i="17"/>
  <c r="GT59" i="17"/>
  <c r="GS59" i="17"/>
  <c r="GR59" i="17"/>
  <c r="GQ59" i="17"/>
  <c r="GP59" i="17"/>
  <c r="GO59" i="17"/>
  <c r="GN59" i="17"/>
  <c r="GM59" i="17"/>
  <c r="GL59" i="17"/>
  <c r="GK59" i="17"/>
  <c r="GJ59" i="17"/>
  <c r="GI59" i="17"/>
  <c r="GH59" i="17"/>
  <c r="GG59" i="17"/>
  <c r="GF59" i="17"/>
  <c r="GE59" i="17"/>
  <c r="GD59" i="17"/>
  <c r="GC59" i="17"/>
  <c r="GB59" i="17"/>
  <c r="GA59" i="17"/>
  <c r="FZ59" i="17"/>
  <c r="FY59" i="17"/>
  <c r="FX59" i="17"/>
  <c r="FW59" i="17"/>
  <c r="FV59" i="17"/>
  <c r="FU59" i="17"/>
  <c r="FT59" i="17"/>
  <c r="FS59" i="17"/>
  <c r="FR59" i="17"/>
  <c r="FQ59" i="17"/>
  <c r="FP59" i="17"/>
  <c r="FO59" i="17"/>
  <c r="FN59" i="17"/>
  <c r="FM59" i="17"/>
  <c r="FL59" i="17"/>
  <c r="FK59" i="17"/>
  <c r="FJ59" i="17"/>
  <c r="FI59" i="17"/>
  <c r="FH59" i="17"/>
  <c r="FG59" i="17"/>
  <c r="FF59" i="17"/>
  <c r="FE59" i="17"/>
  <c r="FD59" i="17"/>
  <c r="FC59" i="17"/>
  <c r="FB59" i="17"/>
  <c r="FA59" i="17"/>
  <c r="EZ59" i="17"/>
  <c r="EY59" i="17"/>
  <c r="EX59" i="17"/>
  <c r="EW59" i="17"/>
  <c r="EV59" i="17"/>
  <c r="EU59" i="17"/>
  <c r="ET59" i="17"/>
  <c r="ES59" i="17"/>
  <c r="ER59" i="17"/>
  <c r="EQ59" i="17"/>
  <c r="EP59" i="17"/>
  <c r="EO59" i="17"/>
  <c r="EN59" i="17"/>
  <c r="EM59" i="17"/>
  <c r="EL59" i="17"/>
  <c r="EK59" i="17"/>
  <c r="EJ59" i="17"/>
  <c r="EI59" i="17"/>
  <c r="EH59" i="17"/>
  <c r="EG59" i="17"/>
  <c r="EF59" i="17"/>
  <c r="EE59" i="17"/>
  <c r="ED59" i="17"/>
  <c r="EC59" i="17"/>
  <c r="EB59" i="17"/>
  <c r="EA59" i="17"/>
  <c r="DZ59" i="17"/>
  <c r="DY59" i="17"/>
  <c r="DX59" i="17"/>
  <c r="DW59" i="17"/>
  <c r="DV59" i="17"/>
  <c r="DU59" i="17"/>
  <c r="DT59" i="17"/>
  <c r="DS59" i="17"/>
  <c r="DR59" i="17"/>
  <c r="DQ59" i="17"/>
  <c r="DP59" i="17"/>
  <c r="DO59" i="17"/>
  <c r="DN59" i="17"/>
  <c r="DM59" i="17"/>
  <c r="DL59" i="17"/>
  <c r="DK59" i="17"/>
  <c r="DJ59" i="17"/>
  <c r="DI59" i="17"/>
  <c r="DH59" i="17"/>
  <c r="DG59" i="17"/>
  <c r="DF59" i="17"/>
  <c r="DE59" i="17"/>
  <c r="DD59" i="17"/>
  <c r="DC59" i="17"/>
  <c r="DB59" i="17"/>
  <c r="DA59" i="17"/>
  <c r="CZ59" i="17"/>
  <c r="CY59" i="17"/>
  <c r="CX59" i="17"/>
  <c r="CW59" i="17"/>
  <c r="CV59" i="17"/>
  <c r="CU59" i="17"/>
  <c r="CT59" i="17"/>
  <c r="CS59" i="17"/>
  <c r="CR59" i="17"/>
  <c r="CQ59" i="17"/>
  <c r="CP59" i="17"/>
  <c r="CO59" i="17"/>
  <c r="CN59" i="17"/>
  <c r="CM59" i="17"/>
  <c r="CL59" i="17"/>
  <c r="CK59" i="17"/>
  <c r="CJ59" i="17"/>
  <c r="CI59" i="17"/>
  <c r="CH59" i="17"/>
  <c r="CG59" i="17"/>
  <c r="CF59" i="17"/>
  <c r="CE59" i="17"/>
  <c r="CD59" i="17"/>
  <c r="CC59" i="17"/>
  <c r="CB59" i="17"/>
  <c r="CA59" i="17"/>
  <c r="BZ59" i="17"/>
  <c r="BY59" i="17"/>
  <c r="BX59" i="17"/>
  <c r="BW59" i="17"/>
  <c r="BV59" i="17"/>
  <c r="BU59" i="17"/>
  <c r="BT59" i="17"/>
  <c r="BS59" i="17"/>
  <c r="BR59" i="17"/>
  <c r="BQ59" i="17"/>
  <c r="BP59" i="17"/>
  <c r="BO59" i="17"/>
  <c r="BN59" i="17"/>
  <c r="BM59" i="17"/>
  <c r="BL59" i="17"/>
  <c r="BK59" i="17"/>
  <c r="BJ59" i="17"/>
  <c r="BI59" i="17"/>
  <c r="BH59" i="17"/>
  <c r="BG59" i="17"/>
  <c r="BF59" i="17"/>
  <c r="BE59" i="17"/>
  <c r="BD59" i="17"/>
  <c r="BC59" i="17"/>
  <c r="BB59" i="17"/>
  <c r="BA59" i="17"/>
  <c r="AZ59" i="17"/>
  <c r="AY59" i="17"/>
  <c r="AX59" i="17"/>
  <c r="AW59" i="17"/>
  <c r="AV59" i="17"/>
  <c r="AU59" i="17"/>
  <c r="AT59" i="17"/>
  <c r="AS59" i="17"/>
  <c r="AR59" i="17"/>
  <c r="AQ59" i="17"/>
  <c r="AP59" i="17"/>
  <c r="AO59" i="17"/>
  <c r="AN59" i="17"/>
  <c r="AM59" i="17"/>
  <c r="AL59" i="17"/>
  <c r="AK59" i="17"/>
  <c r="AJ59" i="17"/>
  <c r="AI59" i="17"/>
  <c r="AH59" i="17"/>
  <c r="AG59" i="17"/>
  <c r="AF59" i="17"/>
  <c r="AE59" i="17"/>
  <c r="AD59" i="17"/>
  <c r="AC59" i="17"/>
  <c r="AB59" i="17"/>
  <c r="AA59" i="17"/>
  <c r="Z59" i="17"/>
  <c r="Y59" i="17"/>
  <c r="X59" i="17"/>
  <c r="W59" i="17"/>
  <c r="V59" i="17"/>
  <c r="U59" i="17"/>
  <c r="T59" i="17"/>
  <c r="S59" i="17"/>
  <c r="R59" i="17"/>
  <c r="Q59" i="17"/>
  <c r="P59" i="17"/>
  <c r="O59" i="17"/>
  <c r="N59" i="17"/>
  <c r="M59" i="17"/>
  <c r="L59" i="17"/>
  <c r="K59" i="17"/>
  <c r="J59" i="17"/>
  <c r="I59" i="17"/>
  <c r="H59" i="17"/>
  <c r="G59" i="17"/>
  <c r="F59" i="17"/>
  <c r="E59" i="17"/>
  <c r="D59" i="17"/>
  <c r="C59" i="17"/>
  <c r="B59" i="17"/>
  <c r="JG58" i="17"/>
  <c r="JD58" i="17"/>
  <c r="JC58" i="17"/>
  <c r="JB58" i="17"/>
  <c r="JA58" i="17"/>
  <c r="IZ58" i="17"/>
  <c r="IY58" i="17"/>
  <c r="IX58" i="17"/>
  <c r="IW58" i="17"/>
  <c r="IV58" i="17"/>
  <c r="IU58" i="17"/>
  <c r="IT58" i="17"/>
  <c r="IS58" i="17"/>
  <c r="IR58" i="17"/>
  <c r="IQ58" i="17"/>
  <c r="IP58" i="17"/>
  <c r="IO58" i="17"/>
  <c r="IN58" i="17"/>
  <c r="IM58" i="17"/>
  <c r="IL58" i="17"/>
  <c r="IK58" i="17"/>
  <c r="IJ58" i="17"/>
  <c r="II58" i="17"/>
  <c r="IH58" i="17"/>
  <c r="IG58" i="17"/>
  <c r="IF58" i="17"/>
  <c r="IE58" i="17"/>
  <c r="ID58" i="17"/>
  <c r="IC58" i="17"/>
  <c r="IB58" i="17"/>
  <c r="IA58" i="17"/>
  <c r="HZ58" i="17"/>
  <c r="HY58" i="17"/>
  <c r="HX58" i="17"/>
  <c r="HW58" i="17"/>
  <c r="HV58" i="17"/>
  <c r="HU58" i="17"/>
  <c r="HT58" i="17"/>
  <c r="HS58" i="17"/>
  <c r="HR58" i="17"/>
  <c r="HQ58" i="17"/>
  <c r="HP58" i="17"/>
  <c r="HO58" i="17"/>
  <c r="HN58" i="17"/>
  <c r="HM58" i="17"/>
  <c r="HL58" i="17"/>
  <c r="HK58" i="17"/>
  <c r="HJ58" i="17"/>
  <c r="HI58" i="17"/>
  <c r="HH58" i="17"/>
  <c r="HG58" i="17"/>
  <c r="HF58" i="17"/>
  <c r="HE58" i="17"/>
  <c r="HD58" i="17"/>
  <c r="HC58" i="17"/>
  <c r="HB58" i="17"/>
  <c r="HA58" i="17"/>
  <c r="GZ58" i="17"/>
  <c r="GY58" i="17"/>
  <c r="GX58" i="17"/>
  <c r="GW58" i="17"/>
  <c r="GV58" i="17"/>
  <c r="GU58" i="17"/>
  <c r="GT58" i="17"/>
  <c r="GS58" i="17"/>
  <c r="GR58" i="17"/>
  <c r="GQ58" i="17"/>
  <c r="GP58" i="17"/>
  <c r="GO58" i="17"/>
  <c r="GN58" i="17"/>
  <c r="GM58" i="17"/>
  <c r="GL58" i="17"/>
  <c r="GK58" i="17"/>
  <c r="GJ58" i="17"/>
  <c r="GI58" i="17"/>
  <c r="GH58" i="17"/>
  <c r="GG58" i="17"/>
  <c r="GF58" i="17"/>
  <c r="GE58" i="17"/>
  <c r="GD58" i="17"/>
  <c r="GC58" i="17"/>
  <c r="GB58" i="17"/>
  <c r="GA58" i="17"/>
  <c r="FZ58" i="17"/>
  <c r="FY58" i="17"/>
  <c r="FX58" i="17"/>
  <c r="FW58" i="17"/>
  <c r="FV58" i="17"/>
  <c r="FU58" i="17"/>
  <c r="FT58" i="17"/>
  <c r="FS58" i="17"/>
  <c r="FR58" i="17"/>
  <c r="FQ58" i="17"/>
  <c r="FP58" i="17"/>
  <c r="FO58" i="17"/>
  <c r="FN58" i="17"/>
  <c r="FM58" i="17"/>
  <c r="FL58" i="17"/>
  <c r="FK58" i="17"/>
  <c r="FJ58" i="17"/>
  <c r="FI58" i="17"/>
  <c r="FH58" i="17"/>
  <c r="FG58" i="17"/>
  <c r="FF58" i="17"/>
  <c r="FE58" i="17"/>
  <c r="FD58" i="17"/>
  <c r="FC58" i="17"/>
  <c r="FB58" i="17"/>
  <c r="FA58" i="17"/>
  <c r="EZ58" i="17"/>
  <c r="EY58" i="17"/>
  <c r="EX58" i="17"/>
  <c r="EW58" i="17"/>
  <c r="EV58" i="17"/>
  <c r="EU58" i="17"/>
  <c r="ET58" i="17"/>
  <c r="ES58" i="17"/>
  <c r="ER58" i="17"/>
  <c r="EQ58" i="17"/>
  <c r="EP58" i="17"/>
  <c r="EO58" i="17"/>
  <c r="EN58" i="17"/>
  <c r="EM58" i="17"/>
  <c r="EL58" i="17"/>
  <c r="EK58" i="17"/>
  <c r="EJ58" i="17"/>
  <c r="EI58" i="17"/>
  <c r="EH58" i="17"/>
  <c r="EG58" i="17"/>
  <c r="EF58" i="17"/>
  <c r="EE58" i="17"/>
  <c r="ED58" i="17"/>
  <c r="EC58" i="17"/>
  <c r="EB58" i="17"/>
  <c r="EA58" i="17"/>
  <c r="DZ58" i="17"/>
  <c r="DY58" i="17"/>
  <c r="DX58" i="17"/>
  <c r="DW58" i="17"/>
  <c r="DV58" i="17"/>
  <c r="DU58" i="17"/>
  <c r="DT58" i="17"/>
  <c r="DS58" i="17"/>
  <c r="DR58" i="17"/>
  <c r="DQ58" i="17"/>
  <c r="DP58" i="17"/>
  <c r="DO58" i="17"/>
  <c r="DN58" i="17"/>
  <c r="DM58" i="17"/>
  <c r="DL58" i="17"/>
  <c r="DK58" i="17"/>
  <c r="DJ58" i="17"/>
  <c r="DI58" i="17"/>
  <c r="DH58" i="17"/>
  <c r="DG58" i="17"/>
  <c r="DF58" i="17"/>
  <c r="DE58" i="17"/>
  <c r="DD58" i="17"/>
  <c r="DC58" i="17"/>
  <c r="DB58" i="17"/>
  <c r="DA58" i="17"/>
  <c r="CZ58" i="17"/>
  <c r="CY58" i="17"/>
  <c r="CX58" i="17"/>
  <c r="CW58" i="17"/>
  <c r="CV58" i="17"/>
  <c r="CU58" i="17"/>
  <c r="CT58" i="17"/>
  <c r="CS58" i="17"/>
  <c r="CR58" i="17"/>
  <c r="CQ58" i="17"/>
  <c r="CP58" i="17"/>
  <c r="CO58" i="17"/>
  <c r="CN58" i="17"/>
  <c r="CM58" i="17"/>
  <c r="CL58" i="17"/>
  <c r="CK58" i="17"/>
  <c r="CJ58" i="17"/>
  <c r="CI58" i="17"/>
  <c r="CH58" i="17"/>
  <c r="CG58" i="17"/>
  <c r="CF58" i="17"/>
  <c r="CE58" i="17"/>
  <c r="CD58" i="17"/>
  <c r="CC58" i="17"/>
  <c r="CB58" i="17"/>
  <c r="CA58" i="17"/>
  <c r="BZ58" i="17"/>
  <c r="BY58" i="17"/>
  <c r="BX58" i="17"/>
  <c r="BW58" i="17"/>
  <c r="BV58" i="17"/>
  <c r="BU58" i="17"/>
  <c r="BT58" i="17"/>
  <c r="BS58" i="17"/>
  <c r="BR58" i="17"/>
  <c r="BQ58" i="17"/>
  <c r="BP58" i="17"/>
  <c r="BO58" i="17"/>
  <c r="BN58" i="17"/>
  <c r="BM58" i="17"/>
  <c r="BL58" i="17"/>
  <c r="BK58" i="17"/>
  <c r="BJ58" i="17"/>
  <c r="BI58" i="17"/>
  <c r="BH58" i="17"/>
  <c r="BG58" i="17"/>
  <c r="BF58" i="17"/>
  <c r="BE58" i="17"/>
  <c r="BD58" i="17"/>
  <c r="BC58" i="17"/>
  <c r="BB58" i="17"/>
  <c r="BA58" i="17"/>
  <c r="AZ58" i="17"/>
  <c r="AY58" i="17"/>
  <c r="AX58" i="17"/>
  <c r="AW58" i="17"/>
  <c r="AV58" i="17"/>
  <c r="AU58" i="17"/>
  <c r="AT58" i="17"/>
  <c r="AS58" i="17"/>
  <c r="AR58" i="17"/>
  <c r="AQ58" i="17"/>
  <c r="AP58" i="17"/>
  <c r="AO58" i="17"/>
  <c r="AN58" i="17"/>
  <c r="AM58" i="17"/>
  <c r="AL58" i="17"/>
  <c r="AK58" i="17"/>
  <c r="AJ58" i="17"/>
  <c r="AI58" i="17"/>
  <c r="AH58" i="17"/>
  <c r="AG58" i="17"/>
  <c r="AF58" i="17"/>
  <c r="AE58" i="17"/>
  <c r="AD58" i="17"/>
  <c r="AC58" i="17"/>
  <c r="AB58" i="17"/>
  <c r="AA58" i="17"/>
  <c r="Z58" i="17"/>
  <c r="Y58" i="17"/>
  <c r="X58" i="17"/>
  <c r="W58" i="17"/>
  <c r="V58" i="17"/>
  <c r="U58" i="17"/>
  <c r="T58" i="17"/>
  <c r="S58" i="17"/>
  <c r="R58" i="17"/>
  <c r="Q58" i="17"/>
  <c r="P58" i="17"/>
  <c r="O58" i="17"/>
  <c r="N58" i="17"/>
  <c r="M58" i="17"/>
  <c r="L58" i="17"/>
  <c r="K58" i="17"/>
  <c r="J58" i="17"/>
  <c r="I58" i="17"/>
  <c r="H58" i="17"/>
  <c r="G58" i="17"/>
  <c r="F58" i="17"/>
  <c r="E58" i="17"/>
  <c r="D58" i="17"/>
  <c r="C58" i="17"/>
  <c r="B58" i="17"/>
  <c r="Y2" i="16"/>
  <c r="Z2" i="16"/>
  <c r="X2" i="16"/>
  <c r="AQ21" i="14"/>
  <c r="AQ22" i="14" s="1"/>
  <c r="AP21" i="14"/>
  <c r="AP22" i="14" s="1"/>
  <c r="F9" i="11"/>
  <c r="D9" i="11"/>
  <c r="K94" i="9"/>
  <c r="J94" i="9"/>
  <c r="I94" i="9"/>
  <c r="G94" i="9"/>
  <c r="D94" i="9"/>
  <c r="K93" i="9"/>
  <c r="J93" i="9"/>
  <c r="I93" i="9"/>
  <c r="G93" i="9"/>
  <c r="D93" i="9"/>
  <c r="K92" i="9"/>
  <c r="J92" i="9"/>
  <c r="I92" i="9"/>
  <c r="G92" i="9"/>
  <c r="D92" i="9"/>
  <c r="K91" i="9"/>
  <c r="J91" i="9"/>
  <c r="I91" i="9"/>
  <c r="G91" i="9"/>
  <c r="D91" i="9"/>
  <c r="K90" i="9"/>
  <c r="J90" i="9"/>
  <c r="I90" i="9"/>
  <c r="G90" i="9"/>
  <c r="D90" i="9"/>
  <c r="K89" i="9"/>
  <c r="J89" i="9"/>
  <c r="I89" i="9"/>
  <c r="G89" i="9"/>
  <c r="D89" i="9"/>
  <c r="K88" i="9"/>
  <c r="J88" i="9"/>
  <c r="I88" i="9"/>
  <c r="G88" i="9"/>
  <c r="D88" i="9"/>
  <c r="K87" i="9"/>
  <c r="J87" i="9"/>
  <c r="I87" i="9"/>
  <c r="G87" i="9"/>
  <c r="D87" i="9"/>
  <c r="K86" i="9"/>
  <c r="J86" i="9"/>
  <c r="I86" i="9"/>
  <c r="G86" i="9"/>
  <c r="D86" i="9"/>
  <c r="K85" i="9"/>
  <c r="J85" i="9"/>
  <c r="I85" i="9"/>
  <c r="G85" i="9"/>
  <c r="D85" i="9"/>
  <c r="K84" i="9"/>
  <c r="J84" i="9"/>
  <c r="I84" i="9"/>
  <c r="G84" i="9"/>
  <c r="D84" i="9"/>
  <c r="K83" i="9"/>
  <c r="J83" i="9"/>
  <c r="I83" i="9"/>
  <c r="G83" i="9"/>
  <c r="D83" i="9"/>
  <c r="K82" i="9"/>
  <c r="J82" i="9"/>
  <c r="I82" i="9"/>
  <c r="G82" i="9"/>
  <c r="D82" i="9"/>
  <c r="K81" i="9"/>
  <c r="J81" i="9"/>
  <c r="I81" i="9"/>
  <c r="G81" i="9"/>
  <c r="D81" i="9"/>
  <c r="K80" i="9"/>
  <c r="J80" i="9"/>
  <c r="I80" i="9"/>
  <c r="G80" i="9"/>
  <c r="D80" i="9"/>
  <c r="K79" i="9"/>
  <c r="J79" i="9"/>
  <c r="I79" i="9"/>
  <c r="G79" i="9"/>
  <c r="D79" i="9"/>
  <c r="K78" i="9"/>
  <c r="J78" i="9"/>
  <c r="I78" i="9"/>
  <c r="G78" i="9"/>
  <c r="D78" i="9"/>
  <c r="K77" i="9"/>
  <c r="J77" i="9"/>
  <c r="I77" i="9"/>
  <c r="G77" i="9"/>
  <c r="D77" i="9"/>
  <c r="K76" i="9"/>
  <c r="J76" i="9"/>
  <c r="I76" i="9"/>
  <c r="G76" i="9"/>
  <c r="D76" i="9"/>
  <c r="K75" i="9"/>
  <c r="J75" i="9"/>
  <c r="I75" i="9"/>
  <c r="G75" i="9"/>
  <c r="D75" i="9"/>
  <c r="K74" i="9"/>
  <c r="J74" i="9"/>
  <c r="I74" i="9"/>
  <c r="G74" i="9"/>
  <c r="D74" i="9"/>
  <c r="K73" i="9"/>
  <c r="J73" i="9"/>
  <c r="I73" i="9"/>
  <c r="G73" i="9"/>
  <c r="D73" i="9"/>
  <c r="K72" i="9"/>
  <c r="J72" i="9"/>
  <c r="I72" i="9"/>
  <c r="G72" i="9"/>
  <c r="D72" i="9"/>
  <c r="K71" i="9"/>
  <c r="J71" i="9"/>
  <c r="I71" i="9"/>
  <c r="G71" i="9"/>
  <c r="D71" i="9"/>
  <c r="K70" i="9"/>
  <c r="J70" i="9"/>
  <c r="I70" i="9"/>
  <c r="G70" i="9"/>
  <c r="D70" i="9"/>
  <c r="K69" i="9"/>
  <c r="J69" i="9"/>
  <c r="I69" i="9"/>
  <c r="G69" i="9"/>
  <c r="D69" i="9"/>
  <c r="K68" i="9"/>
  <c r="J68" i="9"/>
  <c r="I68" i="9"/>
  <c r="G68" i="9"/>
  <c r="D68" i="9"/>
  <c r="K67" i="9"/>
  <c r="J67" i="9"/>
  <c r="I67" i="9"/>
  <c r="G67" i="9"/>
  <c r="D67" i="9"/>
  <c r="K66" i="9"/>
  <c r="J66" i="9"/>
  <c r="I66" i="9"/>
  <c r="G66" i="9"/>
  <c r="D66" i="9"/>
  <c r="K65" i="9"/>
  <c r="J65" i="9"/>
  <c r="I65" i="9"/>
  <c r="G65" i="9"/>
  <c r="D65" i="9"/>
  <c r="K64" i="9"/>
  <c r="J64" i="9"/>
  <c r="I64" i="9"/>
  <c r="G64" i="9"/>
  <c r="D64" i="9"/>
  <c r="K63" i="9"/>
  <c r="J63" i="9"/>
  <c r="I63" i="9"/>
  <c r="G63" i="9"/>
  <c r="D63" i="9"/>
  <c r="K62" i="9"/>
  <c r="J62" i="9"/>
  <c r="I62" i="9"/>
  <c r="G62" i="9"/>
  <c r="D62" i="9"/>
  <c r="K61" i="9"/>
  <c r="J61" i="9"/>
  <c r="I61" i="9"/>
  <c r="G61" i="9"/>
  <c r="D61" i="9"/>
  <c r="K60" i="9"/>
  <c r="J60" i="9"/>
  <c r="I60" i="9"/>
  <c r="G60" i="9"/>
  <c r="D60" i="9"/>
  <c r="K59" i="9"/>
  <c r="J59" i="9"/>
  <c r="I59" i="9"/>
  <c r="G59" i="9"/>
  <c r="D59" i="9"/>
  <c r="K58" i="9"/>
  <c r="J58" i="9"/>
  <c r="I58" i="9"/>
  <c r="G58" i="9"/>
  <c r="D58" i="9"/>
  <c r="K57" i="9"/>
  <c r="J57" i="9"/>
  <c r="I57" i="9"/>
  <c r="G57" i="9"/>
  <c r="D57" i="9"/>
  <c r="K56" i="9"/>
  <c r="J56" i="9"/>
  <c r="I56" i="9"/>
  <c r="G56" i="9"/>
  <c r="D56" i="9"/>
  <c r="K55" i="9"/>
  <c r="J55" i="9"/>
  <c r="I55" i="9"/>
  <c r="G55" i="9"/>
  <c r="D55" i="9"/>
  <c r="K54" i="9"/>
  <c r="J54" i="9"/>
  <c r="I54" i="9"/>
  <c r="G54" i="9"/>
  <c r="D54" i="9"/>
  <c r="K53" i="9"/>
  <c r="J53" i="9"/>
  <c r="I53" i="9"/>
  <c r="G53" i="9"/>
  <c r="D53" i="9"/>
  <c r="K52" i="9"/>
  <c r="J52" i="9"/>
  <c r="I52" i="9"/>
  <c r="G52" i="9"/>
  <c r="D52" i="9"/>
  <c r="K51" i="9"/>
  <c r="J51" i="9"/>
  <c r="I51" i="9"/>
  <c r="G51" i="9"/>
  <c r="D51" i="9"/>
  <c r="K50" i="9"/>
  <c r="J50" i="9"/>
  <c r="I50" i="9"/>
  <c r="G50" i="9"/>
  <c r="D50" i="9"/>
  <c r="K49" i="9"/>
  <c r="J49" i="9"/>
  <c r="I49" i="9"/>
  <c r="G49" i="9"/>
  <c r="D49" i="9"/>
  <c r="K48" i="9"/>
  <c r="J48" i="9"/>
  <c r="I48" i="9"/>
  <c r="G48" i="9"/>
  <c r="D48" i="9"/>
  <c r="K47" i="9"/>
  <c r="J47" i="9"/>
  <c r="I47" i="9"/>
  <c r="G47" i="9"/>
  <c r="D47" i="9"/>
  <c r="K46" i="9"/>
  <c r="J46" i="9"/>
  <c r="I46" i="9"/>
  <c r="G46" i="9"/>
  <c r="D46" i="9"/>
  <c r="K45" i="9"/>
  <c r="J45" i="9"/>
  <c r="I45" i="9"/>
  <c r="G45" i="9"/>
  <c r="D45" i="9"/>
  <c r="K44" i="9"/>
  <c r="J44" i="9"/>
  <c r="I44" i="9"/>
  <c r="G44" i="9"/>
  <c r="D44" i="9"/>
  <c r="K43" i="9"/>
  <c r="J43" i="9"/>
  <c r="I43" i="9"/>
  <c r="G43" i="9"/>
  <c r="D43" i="9"/>
  <c r="K42" i="9"/>
  <c r="J42" i="9"/>
  <c r="I42" i="9"/>
  <c r="G42" i="9"/>
  <c r="D42" i="9"/>
  <c r="K41" i="9"/>
  <c r="J41" i="9"/>
  <c r="I41" i="9"/>
  <c r="G41" i="9"/>
  <c r="D41" i="9"/>
  <c r="K40" i="9"/>
  <c r="J40" i="9"/>
  <c r="I40" i="9"/>
  <c r="G40" i="9"/>
  <c r="D40" i="9"/>
  <c r="K39" i="9"/>
  <c r="J39" i="9"/>
  <c r="I39" i="9"/>
  <c r="G39" i="9"/>
  <c r="D39" i="9"/>
  <c r="K38" i="9"/>
  <c r="J38" i="9"/>
  <c r="I38" i="9"/>
  <c r="G38" i="9"/>
  <c r="D38" i="9"/>
  <c r="K37" i="9"/>
  <c r="J37" i="9"/>
  <c r="I37" i="9"/>
  <c r="G37" i="9"/>
  <c r="D37" i="9"/>
  <c r="K36" i="9"/>
  <c r="J36" i="9"/>
  <c r="I36" i="9"/>
  <c r="G36" i="9"/>
  <c r="D36" i="9"/>
  <c r="K35" i="9"/>
  <c r="J35" i="9"/>
  <c r="I35" i="9"/>
  <c r="G35" i="9"/>
  <c r="D35" i="9"/>
  <c r="K34" i="9"/>
  <c r="J34" i="9"/>
  <c r="I34" i="9"/>
  <c r="G34" i="9"/>
  <c r="D34" i="9"/>
  <c r="K33" i="9"/>
  <c r="J33" i="9"/>
  <c r="I33" i="9"/>
  <c r="G33" i="9"/>
  <c r="D33" i="9"/>
  <c r="K32" i="9"/>
  <c r="J32" i="9"/>
  <c r="I32" i="9"/>
  <c r="G32" i="9"/>
  <c r="D32" i="9"/>
  <c r="K31" i="9"/>
  <c r="J31" i="9"/>
  <c r="I31" i="9"/>
  <c r="G31" i="9"/>
  <c r="D31" i="9"/>
  <c r="K30" i="9"/>
  <c r="J30" i="9"/>
  <c r="I30" i="9"/>
  <c r="G30" i="9"/>
  <c r="D30" i="9"/>
  <c r="K29" i="9"/>
  <c r="J29" i="9"/>
  <c r="I29" i="9"/>
  <c r="G29" i="9"/>
  <c r="D29" i="9"/>
  <c r="K28" i="9"/>
  <c r="J28" i="9"/>
  <c r="I28" i="9"/>
  <c r="G28" i="9"/>
  <c r="D28" i="9"/>
  <c r="K27" i="9"/>
  <c r="J27" i="9"/>
  <c r="I27" i="9"/>
  <c r="G27" i="9"/>
  <c r="D27" i="9"/>
  <c r="K26" i="9"/>
  <c r="J26" i="9"/>
  <c r="I26" i="9"/>
  <c r="G26" i="9"/>
  <c r="D26" i="9"/>
  <c r="K25" i="9"/>
  <c r="J25" i="9"/>
  <c r="I25" i="9"/>
  <c r="G25" i="9"/>
  <c r="D25" i="9"/>
  <c r="K24" i="9"/>
  <c r="J24" i="9"/>
  <c r="I24" i="9"/>
  <c r="G24" i="9"/>
  <c r="D24" i="9"/>
  <c r="K23" i="9"/>
  <c r="J23" i="9"/>
  <c r="I23" i="9"/>
  <c r="G23" i="9"/>
  <c r="D23" i="9"/>
  <c r="K22" i="9"/>
  <c r="J22" i="9"/>
  <c r="I22" i="9"/>
  <c r="G22" i="9"/>
  <c r="D22" i="9"/>
  <c r="K21" i="9"/>
  <c r="J21" i="9"/>
  <c r="I21" i="9"/>
  <c r="G21" i="9"/>
  <c r="D21" i="9"/>
  <c r="K20" i="9"/>
  <c r="J20" i="9"/>
  <c r="I20" i="9"/>
  <c r="G20" i="9"/>
  <c r="D20" i="9"/>
  <c r="K19" i="9"/>
  <c r="J19" i="9"/>
  <c r="I19" i="9"/>
  <c r="G19" i="9"/>
  <c r="D19" i="9"/>
  <c r="K18" i="9"/>
  <c r="J18" i="9"/>
  <c r="I18" i="9"/>
  <c r="G18" i="9"/>
  <c r="D18" i="9"/>
  <c r="K17" i="9"/>
  <c r="J17" i="9"/>
  <c r="I17" i="9"/>
  <c r="G17" i="9"/>
  <c r="D17" i="9"/>
  <c r="K16" i="9"/>
  <c r="J16" i="9"/>
  <c r="I16" i="9"/>
  <c r="G16" i="9"/>
  <c r="D16" i="9"/>
  <c r="K15" i="9"/>
  <c r="J15" i="9"/>
  <c r="I15" i="9"/>
  <c r="G15" i="9"/>
  <c r="D15" i="9"/>
  <c r="K14" i="9"/>
  <c r="J14" i="9"/>
  <c r="I14" i="9"/>
  <c r="G14" i="9"/>
  <c r="D14" i="9"/>
  <c r="K13" i="9"/>
  <c r="J13" i="9"/>
  <c r="I13" i="9"/>
  <c r="G13" i="9"/>
  <c r="D13" i="9"/>
  <c r="K12" i="9"/>
  <c r="J12" i="9"/>
  <c r="I12" i="9"/>
  <c r="G12" i="9"/>
  <c r="D12" i="9"/>
  <c r="K11" i="9"/>
  <c r="J11" i="9"/>
  <c r="I11" i="9"/>
  <c r="G11" i="9"/>
  <c r="D11" i="9"/>
  <c r="K10" i="9"/>
  <c r="J10" i="9"/>
  <c r="I10" i="9"/>
  <c r="G10" i="9"/>
  <c r="D10" i="9"/>
  <c r="K9" i="9"/>
  <c r="J9" i="9"/>
  <c r="I9" i="9"/>
  <c r="G9" i="9"/>
  <c r="D9" i="9"/>
  <c r="E114" i="8"/>
  <c r="D114" i="8"/>
  <c r="C114" i="8"/>
  <c r="E113" i="8"/>
  <c r="D113" i="8"/>
  <c r="C113" i="8"/>
  <c r="E112" i="8"/>
  <c r="C112" i="8"/>
  <c r="E111" i="8"/>
  <c r="D111" i="8"/>
  <c r="C111" i="8"/>
  <c r="D112" i="8"/>
  <c r="AF111" i="22"/>
  <c r="AC111" i="22"/>
  <c r="T111" i="22"/>
  <c r="Q111" i="22"/>
  <c r="N111" i="22"/>
  <c r="AF110" i="22"/>
  <c r="AC110" i="22"/>
  <c r="T110" i="22"/>
  <c r="Q110" i="22"/>
  <c r="N110" i="22"/>
  <c r="AF109" i="22"/>
  <c r="AC109" i="22"/>
  <c r="T109" i="22"/>
  <c r="Q109" i="22"/>
  <c r="N109" i="22"/>
  <c r="AF108" i="22"/>
  <c r="AC108" i="22"/>
  <c r="T108" i="22"/>
  <c r="Q108" i="22"/>
  <c r="N108" i="22"/>
  <c r="AF107" i="22"/>
  <c r="AC107" i="22"/>
  <c r="T107" i="22"/>
  <c r="Q107" i="22"/>
  <c r="N107" i="22"/>
  <c r="AF106" i="22"/>
  <c r="AC106" i="22"/>
  <c r="T106" i="22"/>
  <c r="Q106" i="22"/>
  <c r="N106" i="22"/>
  <c r="AF105" i="22"/>
  <c r="AC105" i="22"/>
  <c r="T105" i="22"/>
  <c r="Q105" i="22"/>
  <c r="N105" i="22"/>
  <c r="AF104" i="22"/>
  <c r="AC104" i="22"/>
  <c r="T104" i="22"/>
  <c r="Q104" i="22"/>
  <c r="N104" i="22"/>
  <c r="AF103" i="22"/>
  <c r="AC103" i="22"/>
  <c r="T103" i="22"/>
  <c r="Q103" i="22"/>
  <c r="N103" i="22"/>
  <c r="AF102" i="22"/>
  <c r="AC102" i="22"/>
  <c r="T102" i="22"/>
  <c r="Q102" i="22"/>
  <c r="N102" i="22"/>
  <c r="AF101" i="22"/>
  <c r="AC101" i="22"/>
  <c r="T101" i="22"/>
  <c r="Q101" i="22"/>
  <c r="N101" i="22"/>
  <c r="AF100" i="22"/>
  <c r="AC100" i="22"/>
  <c r="T100" i="22"/>
  <c r="Q100" i="22"/>
  <c r="N100" i="22"/>
  <c r="AF99" i="22"/>
  <c r="AC99" i="22"/>
  <c r="T99" i="22"/>
  <c r="Q99" i="22"/>
  <c r="N99" i="22"/>
  <c r="AF98" i="22"/>
  <c r="AC98" i="22"/>
  <c r="T98" i="22"/>
  <c r="Q98" i="22"/>
  <c r="N98" i="22"/>
  <c r="AF97" i="22"/>
  <c r="AC97" i="22"/>
  <c r="T97" i="22"/>
  <c r="Q97" i="22"/>
  <c r="N97" i="22"/>
  <c r="AF96" i="22"/>
  <c r="AC96" i="22"/>
  <c r="T96" i="22"/>
  <c r="Q96" i="22"/>
  <c r="N96" i="22"/>
  <c r="AF95" i="22"/>
  <c r="AC95" i="22"/>
  <c r="T95" i="22"/>
  <c r="Q95" i="22"/>
  <c r="N95" i="22"/>
  <c r="AF94" i="22"/>
  <c r="AC94" i="22"/>
  <c r="T94" i="22"/>
  <c r="Q94" i="22"/>
  <c r="N94" i="22"/>
  <c r="AF93" i="22"/>
  <c r="AC93" i="22"/>
  <c r="T93" i="22"/>
  <c r="Q93" i="22"/>
  <c r="N93" i="22"/>
  <c r="AF92" i="22"/>
  <c r="AC92" i="22"/>
  <c r="T92" i="22"/>
  <c r="Q92" i="22"/>
  <c r="N92" i="22"/>
  <c r="AF91" i="22"/>
  <c r="AC91" i="22"/>
  <c r="T91" i="22"/>
  <c r="Q91" i="22"/>
  <c r="N91" i="22"/>
  <c r="AF90" i="22"/>
  <c r="AC90" i="22"/>
  <c r="T90" i="22"/>
  <c r="Q90" i="22"/>
  <c r="N90" i="22"/>
  <c r="AF89" i="22"/>
  <c r="AC89" i="22"/>
  <c r="T89" i="22"/>
  <c r="Q89" i="22"/>
  <c r="N89" i="22"/>
  <c r="AF88" i="22"/>
  <c r="AC88" i="22"/>
  <c r="T88" i="22"/>
  <c r="Q88" i="22"/>
  <c r="N88" i="22"/>
  <c r="AF87" i="22"/>
  <c r="AC87" i="22"/>
  <c r="T87" i="22"/>
  <c r="Q87" i="22"/>
  <c r="N87" i="22"/>
  <c r="AF86" i="22"/>
  <c r="AC86" i="22"/>
  <c r="T86" i="22"/>
  <c r="Q86" i="22"/>
  <c r="N86" i="22"/>
  <c r="AF85" i="22"/>
  <c r="AC85" i="22"/>
  <c r="T85" i="22"/>
  <c r="Q85" i="22"/>
  <c r="N85" i="22"/>
  <c r="AF84" i="22"/>
  <c r="AC84" i="22"/>
  <c r="T84" i="22"/>
  <c r="Q84" i="22"/>
  <c r="N84" i="22"/>
  <c r="AF83" i="22"/>
  <c r="AC83" i="22"/>
  <c r="T83" i="22"/>
  <c r="Q83" i="22"/>
  <c r="N83" i="22"/>
  <c r="AF82" i="22"/>
  <c r="AC82" i="22"/>
  <c r="T82" i="22"/>
  <c r="Q82" i="22"/>
  <c r="N82" i="22"/>
  <c r="AF81" i="22"/>
  <c r="AC81" i="22"/>
  <c r="T81" i="22"/>
  <c r="Q81" i="22"/>
  <c r="N81" i="22"/>
  <c r="AF80" i="22"/>
  <c r="AC80" i="22"/>
  <c r="T80" i="22"/>
  <c r="Q80" i="22"/>
  <c r="N80" i="22"/>
  <c r="AF79" i="22"/>
  <c r="AC79" i="22"/>
  <c r="T79" i="22"/>
  <c r="Q79" i="22"/>
  <c r="N79" i="22"/>
  <c r="AF78" i="22"/>
  <c r="AC78" i="22"/>
  <c r="T78" i="22"/>
  <c r="Q78" i="22"/>
  <c r="N78" i="22"/>
  <c r="AF77" i="22"/>
  <c r="AC77" i="22"/>
  <c r="T77" i="22"/>
  <c r="Q77" i="22"/>
  <c r="N77" i="22"/>
  <c r="AF76" i="22"/>
  <c r="AC76" i="22"/>
  <c r="T76" i="22"/>
  <c r="Q76" i="22"/>
  <c r="N76" i="22"/>
  <c r="AF75" i="22"/>
  <c r="AC75" i="22"/>
  <c r="T75" i="22"/>
  <c r="Q75" i="22"/>
  <c r="N75" i="22"/>
  <c r="AF74" i="22"/>
  <c r="AC74" i="22"/>
  <c r="T74" i="22"/>
  <c r="Q74" i="22"/>
  <c r="N74" i="22"/>
  <c r="AF73" i="22"/>
  <c r="AC73" i="22"/>
  <c r="T73" i="22"/>
  <c r="Q73" i="22"/>
  <c r="N73" i="22"/>
  <c r="AF72" i="22"/>
  <c r="AC72" i="22"/>
  <c r="T72" i="22"/>
  <c r="Q72" i="22"/>
  <c r="N72" i="22"/>
  <c r="AF71" i="22"/>
  <c r="AC71" i="22"/>
  <c r="T71" i="22"/>
  <c r="Q71" i="22"/>
  <c r="N71" i="22"/>
  <c r="AF70" i="22"/>
  <c r="AC70" i="22"/>
  <c r="T70" i="22"/>
  <c r="Q70" i="22"/>
  <c r="N70" i="22"/>
  <c r="AF69" i="22"/>
  <c r="AC69" i="22"/>
  <c r="T69" i="22"/>
  <c r="Q69" i="22"/>
  <c r="N69" i="22"/>
  <c r="AF68" i="22"/>
  <c r="AC68" i="22"/>
  <c r="T68" i="22"/>
  <c r="Q68" i="22"/>
  <c r="N68" i="22"/>
  <c r="AF67" i="22"/>
  <c r="AC67" i="22"/>
  <c r="T67" i="22"/>
  <c r="Q67" i="22"/>
  <c r="N67" i="22"/>
  <c r="AF66" i="22"/>
  <c r="AC66" i="22"/>
  <c r="T66" i="22"/>
  <c r="Q66" i="22"/>
  <c r="N66" i="22"/>
  <c r="AF65" i="22"/>
  <c r="AC65" i="22"/>
  <c r="T65" i="22"/>
  <c r="Q65" i="22"/>
  <c r="N65" i="22"/>
  <c r="AF64" i="22"/>
  <c r="AC64" i="22"/>
  <c r="T64" i="22"/>
  <c r="Q64" i="22"/>
  <c r="N64" i="22"/>
  <c r="AF63" i="22"/>
  <c r="AC63" i="22"/>
  <c r="T63" i="22"/>
  <c r="Q63" i="22"/>
  <c r="N63" i="22"/>
  <c r="AF62" i="22"/>
  <c r="AC62" i="22"/>
  <c r="T62" i="22"/>
  <c r="Q62" i="22"/>
  <c r="N62" i="22"/>
  <c r="AF61" i="22"/>
  <c r="AC61" i="22"/>
  <c r="T61" i="22"/>
  <c r="Q61" i="22"/>
  <c r="N61" i="22"/>
  <c r="AF60" i="22"/>
  <c r="AC60" i="22"/>
  <c r="T60" i="22"/>
  <c r="Q60" i="22"/>
  <c r="N60" i="22"/>
  <c r="AF59" i="22"/>
  <c r="AC59" i="22"/>
  <c r="T59" i="22"/>
  <c r="Q59" i="22"/>
  <c r="N59" i="22"/>
  <c r="AF58" i="22"/>
  <c r="AC58" i="22"/>
  <c r="T58" i="22"/>
  <c r="Q58" i="22"/>
  <c r="N58" i="22"/>
  <c r="AF57" i="22"/>
  <c r="AC57" i="22"/>
  <c r="T57" i="22"/>
  <c r="Q57" i="22"/>
  <c r="N57" i="22"/>
  <c r="AF56" i="22"/>
  <c r="AC56" i="22"/>
  <c r="T56" i="22"/>
  <c r="Q56" i="22"/>
  <c r="N56" i="22"/>
  <c r="AF55" i="22"/>
  <c r="AC55" i="22"/>
  <c r="T55" i="22"/>
  <c r="Q55" i="22"/>
  <c r="N55" i="22"/>
  <c r="AF54" i="22"/>
  <c r="AC54" i="22"/>
  <c r="T54" i="22"/>
  <c r="Q54" i="22"/>
  <c r="N54" i="22"/>
  <c r="AF53" i="22"/>
  <c r="AC53" i="22"/>
  <c r="T53" i="22"/>
  <c r="Q53" i="22"/>
  <c r="N53" i="22"/>
  <c r="AF52" i="22"/>
  <c r="AC52" i="22"/>
  <c r="T52" i="22"/>
  <c r="Q52" i="22"/>
  <c r="N52" i="22"/>
  <c r="AF51" i="22"/>
  <c r="AC51" i="22"/>
  <c r="T51" i="22"/>
  <c r="Q51" i="22"/>
  <c r="N51" i="22"/>
  <c r="AF50" i="22"/>
  <c r="AC50" i="22"/>
  <c r="T50" i="22"/>
  <c r="Q50" i="22"/>
  <c r="N50" i="22"/>
  <c r="AF49" i="22"/>
  <c r="AC49" i="22"/>
  <c r="T49" i="22"/>
  <c r="Q49" i="22"/>
  <c r="N49" i="22"/>
  <c r="AF48" i="22"/>
  <c r="AC48" i="22"/>
  <c r="T48" i="22"/>
  <c r="Q48" i="22"/>
  <c r="N48" i="22"/>
  <c r="AF47" i="22"/>
  <c r="AC47" i="22"/>
  <c r="T47" i="22"/>
  <c r="Q47" i="22"/>
  <c r="N47" i="22"/>
  <c r="AF46" i="22"/>
  <c r="AC46" i="22"/>
  <c r="T46" i="22"/>
  <c r="Q46" i="22"/>
  <c r="N46" i="22"/>
  <c r="AF45" i="22"/>
  <c r="AC45" i="22"/>
  <c r="T45" i="22"/>
  <c r="Q45" i="22"/>
  <c r="N45" i="22"/>
  <c r="AF44" i="22"/>
  <c r="AC44" i="22"/>
  <c r="T44" i="22"/>
  <c r="Q44" i="22"/>
  <c r="N44" i="22"/>
  <c r="AF43" i="22"/>
  <c r="AC43" i="22"/>
  <c r="T43" i="22"/>
  <c r="Q43" i="22"/>
  <c r="N43" i="22"/>
  <c r="AF42" i="22"/>
  <c r="AC42" i="22"/>
  <c r="T42" i="22"/>
  <c r="Q42" i="22"/>
  <c r="N42" i="22"/>
  <c r="AF41" i="22"/>
  <c r="AC41" i="22"/>
  <c r="T41" i="22"/>
  <c r="Q41" i="22"/>
  <c r="N41" i="22"/>
  <c r="AF40" i="22"/>
  <c r="AC40" i="22"/>
  <c r="T40" i="22"/>
  <c r="Q40" i="22"/>
  <c r="N40" i="22"/>
  <c r="AF39" i="22"/>
  <c r="AC39" i="22"/>
  <c r="T39" i="22"/>
  <c r="Q39" i="22"/>
  <c r="N39" i="22"/>
  <c r="AF38" i="22"/>
  <c r="AC38" i="22"/>
  <c r="T38" i="22"/>
  <c r="Q38" i="22"/>
  <c r="N38" i="22"/>
  <c r="AF37" i="22"/>
  <c r="AC37" i="22"/>
  <c r="T37" i="22"/>
  <c r="Q37" i="22"/>
  <c r="N37" i="22"/>
  <c r="AF36" i="22"/>
  <c r="AC36" i="22"/>
  <c r="T36" i="22"/>
  <c r="Q36" i="22"/>
  <c r="N36" i="22"/>
  <c r="AF35" i="22"/>
  <c r="AC35" i="22"/>
  <c r="T35" i="22"/>
  <c r="Q35" i="22"/>
  <c r="N35" i="22"/>
  <c r="AF34" i="22"/>
  <c r="AC34" i="22"/>
  <c r="T34" i="22"/>
  <c r="Q34" i="22"/>
  <c r="N34" i="22"/>
  <c r="AF33" i="22"/>
  <c r="AC33" i="22"/>
  <c r="T33" i="22"/>
  <c r="Q33" i="22"/>
  <c r="N33" i="22"/>
  <c r="AF32" i="22"/>
  <c r="AC32" i="22"/>
  <c r="T32" i="22"/>
  <c r="Q32" i="22"/>
  <c r="N32" i="22"/>
  <c r="AF31" i="22"/>
  <c r="AC31" i="22"/>
  <c r="T31" i="22"/>
  <c r="Q31" i="22"/>
  <c r="N31" i="22"/>
  <c r="AF30" i="22"/>
  <c r="AC30" i="22"/>
  <c r="T30" i="22"/>
  <c r="Q30" i="22"/>
  <c r="N30" i="22"/>
  <c r="AF29" i="22"/>
  <c r="AC29" i="22"/>
  <c r="T29" i="22"/>
  <c r="Q29" i="22"/>
  <c r="N29" i="22"/>
  <c r="AF28" i="22"/>
  <c r="AC28" i="22"/>
  <c r="T28" i="22"/>
  <c r="Q28" i="22"/>
  <c r="N28" i="22"/>
  <c r="AF27" i="22"/>
  <c r="AC27" i="22"/>
  <c r="T27" i="22"/>
  <c r="Q27" i="22"/>
  <c r="N27" i="22"/>
  <c r="AF26" i="22"/>
  <c r="AC26" i="22"/>
  <c r="T26" i="22"/>
  <c r="Q26" i="22"/>
  <c r="N26" i="22"/>
  <c r="AF25" i="22"/>
  <c r="AC25" i="22"/>
  <c r="T25" i="22"/>
  <c r="Q25" i="22"/>
  <c r="N25" i="22"/>
  <c r="AF24" i="22"/>
  <c r="AC24" i="22"/>
  <c r="T24" i="22"/>
  <c r="Q24" i="22"/>
  <c r="N24" i="22"/>
  <c r="AF23" i="22"/>
  <c r="AC23" i="22"/>
  <c r="T23" i="22"/>
  <c r="Q23" i="22"/>
  <c r="N23" i="22"/>
  <c r="AF22" i="22"/>
  <c r="AC22" i="22"/>
  <c r="T22" i="22"/>
  <c r="Q22" i="22"/>
  <c r="N22" i="22"/>
  <c r="AF21" i="22"/>
  <c r="AC21" i="22"/>
  <c r="T21" i="22"/>
  <c r="Q21" i="22"/>
  <c r="N21" i="22"/>
  <c r="AF20" i="22"/>
  <c r="AC20" i="22"/>
  <c r="T20" i="22"/>
  <c r="Q20" i="22"/>
  <c r="N20" i="22"/>
  <c r="AF19" i="22"/>
  <c r="AC19" i="22"/>
  <c r="T19" i="22"/>
  <c r="Q19" i="22"/>
  <c r="N19" i="22"/>
  <c r="AF18" i="22"/>
  <c r="AC18" i="22"/>
  <c r="T18" i="22"/>
  <c r="Q18" i="22"/>
  <c r="N18" i="22"/>
  <c r="AF17" i="22"/>
  <c r="AC17" i="22"/>
  <c r="T17" i="22"/>
  <c r="Q17" i="22"/>
  <c r="N17" i="22"/>
  <c r="AF16" i="22"/>
  <c r="AC16" i="22"/>
  <c r="T16" i="22"/>
  <c r="Q16" i="22"/>
  <c r="N16" i="22"/>
  <c r="AF15" i="22"/>
  <c r="AC15" i="22"/>
  <c r="T15" i="22"/>
  <c r="Q15" i="22"/>
  <c r="N15" i="22"/>
  <c r="AF14" i="22"/>
  <c r="AC14" i="22"/>
  <c r="T14" i="22"/>
  <c r="Q14" i="22"/>
  <c r="N14" i="22"/>
  <c r="AF13" i="22"/>
  <c r="AC13" i="22"/>
  <c r="T13" i="22"/>
  <c r="Q13" i="22"/>
  <c r="N13" i="22"/>
  <c r="AF12" i="22"/>
  <c r="AC12" i="22"/>
  <c r="T12" i="22"/>
  <c r="Q12" i="22"/>
  <c r="N12" i="22"/>
  <c r="AF11" i="22"/>
  <c r="AC11" i="22"/>
  <c r="T11" i="22"/>
  <c r="Q11" i="22"/>
  <c r="N11" i="22"/>
  <c r="T10" i="22"/>
  <c r="Q10" i="22"/>
  <c r="N10" i="22"/>
  <c r="H10" i="22"/>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F9" i="7"/>
  <c r="K19" i="6"/>
  <c r="K23" i="6" s="1"/>
  <c r="AQ1" i="14"/>
  <c r="AP1" i="14"/>
  <c r="AO1" i="14"/>
  <c r="Y1" i="16"/>
  <c r="AL1" i="14"/>
  <c r="AN1" i="14"/>
  <c r="AM1" i="14"/>
  <c r="X1" i="16"/>
  <c r="Z1" i="16"/>
  <c r="B10" i="5" l="1" a="1"/>
  <c r="B10" i="5" s="1"/>
  <c r="D10" i="5" s="1"/>
  <c r="F114" i="8"/>
  <c r="F111" i="8"/>
  <c r="F113" i="8"/>
  <c r="F112" i="8"/>
  <c r="K21" i="6"/>
  <c r="B38" i="14" l="1"/>
  <c r="C38" i="14"/>
  <c r="D38" i="14"/>
  <c r="E38" i="14"/>
  <c r="F38" i="14"/>
  <c r="F39" i="14" s="1"/>
  <c r="G38" i="14"/>
  <c r="G39" i="14" s="1"/>
  <c r="H38" i="14"/>
  <c r="H39" i="14" s="1"/>
  <c r="I38" i="14"/>
  <c r="I39" i="14" s="1"/>
  <c r="J38" i="14"/>
  <c r="K38" i="14"/>
  <c r="L38" i="14"/>
  <c r="M38" i="14"/>
  <c r="N38" i="14"/>
  <c r="N39" i="14" s="1"/>
  <c r="O38" i="14"/>
  <c r="O39" i="14" s="1"/>
  <c r="P38" i="14"/>
  <c r="P39" i="14" s="1"/>
  <c r="Q38" i="14"/>
  <c r="Q39" i="14" s="1"/>
  <c r="R38" i="14"/>
  <c r="S38" i="14"/>
  <c r="T38" i="14"/>
  <c r="U38" i="14"/>
  <c r="U39" i="14" s="1"/>
  <c r="V38" i="14"/>
  <c r="V39" i="14" s="1"/>
  <c r="W38" i="14"/>
  <c r="W39" i="14" s="1"/>
  <c r="X38" i="14"/>
  <c r="X39" i="14" s="1"/>
  <c r="Y38" i="14"/>
  <c r="Y39" i="14" s="1"/>
  <c r="Z38" i="14"/>
  <c r="Z39" i="14" s="1"/>
  <c r="AA38" i="14"/>
  <c r="AA39" i="14" s="1"/>
  <c r="AB38" i="14"/>
  <c r="AB39" i="14" s="1"/>
  <c r="AC38" i="14"/>
  <c r="AC39" i="14" s="1"/>
  <c r="AD38" i="14"/>
  <c r="AD39" i="14" s="1"/>
  <c r="AE38" i="14"/>
  <c r="AE39" i="14" s="1"/>
  <c r="AF38" i="14"/>
  <c r="AF39" i="14" s="1"/>
  <c r="AG38" i="14"/>
  <c r="AG39" i="14" s="1"/>
  <c r="AH38" i="14"/>
  <c r="AI38" i="14"/>
  <c r="AJ38" i="14"/>
  <c r="AK38" i="14"/>
  <c r="AL38" i="14"/>
  <c r="AL39" i="14" s="1"/>
  <c r="AM38" i="14"/>
  <c r="AN38" i="14"/>
  <c r="AN39" i="14" s="1"/>
  <c r="B39" i="14"/>
  <c r="C39" i="14"/>
  <c r="D39" i="14"/>
  <c r="E39" i="14"/>
  <c r="J39" i="14"/>
  <c r="K39" i="14"/>
  <c r="L39" i="14"/>
  <c r="M39" i="14"/>
  <c r="R39" i="14"/>
  <c r="S39" i="14"/>
  <c r="T39" i="14"/>
  <c r="AH39" i="14"/>
  <c r="AI39" i="14"/>
  <c r="AJ39" i="14"/>
  <c r="AK39" i="14"/>
  <c r="AM39" i="14"/>
  <c r="AQ39" i="14"/>
  <c r="B21" i="14"/>
  <c r="C21" i="14"/>
  <c r="D21" i="14"/>
  <c r="E21" i="14"/>
  <c r="E22" i="14" s="1"/>
  <c r="F21" i="14"/>
  <c r="F22" i="14" s="1"/>
  <c r="G21" i="14"/>
  <c r="G22" i="14" s="1"/>
  <c r="H21" i="14"/>
  <c r="H22" i="14" s="1"/>
  <c r="I21" i="14"/>
  <c r="I22" i="14" s="1"/>
  <c r="J21" i="14"/>
  <c r="J22" i="14" s="1"/>
  <c r="K21" i="14"/>
  <c r="K22" i="14" s="1"/>
  <c r="L21" i="14"/>
  <c r="L22" i="14" s="1"/>
  <c r="M21" i="14"/>
  <c r="M22" i="14" s="1"/>
  <c r="N21" i="14"/>
  <c r="N22" i="14" s="1"/>
  <c r="O21" i="14"/>
  <c r="O22" i="14" s="1"/>
  <c r="P21" i="14"/>
  <c r="P22" i="14" s="1"/>
  <c r="Q21" i="14"/>
  <c r="Q22" i="14" s="1"/>
  <c r="R21" i="14"/>
  <c r="S21" i="14"/>
  <c r="T21" i="14"/>
  <c r="U21" i="14"/>
  <c r="V21" i="14"/>
  <c r="V22" i="14" s="1"/>
  <c r="W21" i="14"/>
  <c r="W22" i="14" s="1"/>
  <c r="X21" i="14"/>
  <c r="X22" i="14" s="1"/>
  <c r="Y21" i="14"/>
  <c r="Y22" i="14" s="1"/>
  <c r="Z21" i="14"/>
  <c r="Z22" i="14" s="1"/>
  <c r="AA21" i="14"/>
  <c r="AA22" i="14" s="1"/>
  <c r="AB21" i="14"/>
  <c r="AB22" i="14" s="1"/>
  <c r="AC21" i="14"/>
  <c r="AC22" i="14" s="1"/>
  <c r="AD21" i="14"/>
  <c r="AD22" i="14" s="1"/>
  <c r="AE21" i="14"/>
  <c r="AE22" i="14" s="1"/>
  <c r="AF21" i="14"/>
  <c r="AF22" i="14" s="1"/>
  <c r="AG21" i="14"/>
  <c r="AG22" i="14" s="1"/>
  <c r="C22" i="14"/>
  <c r="D22" i="14"/>
  <c r="R22" i="14"/>
  <c r="S22" i="14"/>
  <c r="T22" i="14"/>
  <c r="U22" i="14"/>
  <c r="AH22" i="14"/>
  <c r="AI22" i="14"/>
  <c r="AJ22" i="14"/>
  <c r="AK22" i="14"/>
  <c r="AL22" i="14"/>
  <c r="AM22" i="14"/>
  <c r="AN22" i="14"/>
  <c r="AO22" i="14"/>
  <c r="B22" i="14"/>
  <c r="AR32" i="14"/>
  <c r="AR27" i="14"/>
  <c r="AR20" i="14"/>
  <c r="AR19" i="14"/>
  <c r="AR18" i="14"/>
  <c r="AR17" i="14"/>
  <c r="AR16" i="14"/>
  <c r="AR15" i="14"/>
  <c r="AR14" i="14"/>
  <c r="AR13" i="14"/>
  <c r="AR12" i="14"/>
  <c r="AR11" i="14"/>
  <c r="AR10" i="14"/>
  <c r="AR22" i="14" l="1"/>
  <c r="AR21" i="14"/>
  <c r="AS21" i="14" s="1"/>
  <c r="I19" i="6"/>
  <c r="C21" i="5" a="1"/>
  <c r="C21" i="5" s="1"/>
  <c r="D1" i="6"/>
  <c r="J1" i="6"/>
  <c r="F1" i="6"/>
  <c r="G1" i="6"/>
  <c r="E1" i="6"/>
  <c r="I1" i="6"/>
  <c r="H1" i="6"/>
  <c r="I21" i="6" l="1"/>
  <c r="I23" i="6"/>
  <c r="E110" i="8"/>
  <c r="D110" i="8"/>
  <c r="C110" i="8"/>
  <c r="E109" i="8"/>
  <c r="D109" i="8"/>
  <c r="C109" i="8"/>
  <c r="F109" i="8" l="1"/>
  <c r="F110" i="8"/>
  <c r="M18" i="20" l="1"/>
  <c r="M17" i="20" s="1"/>
  <c r="M16" i="20" s="1"/>
  <c r="M15" i="20" s="1"/>
  <c r="M14" i="20" s="1"/>
  <c r="M13" i="20" s="1"/>
  <c r="M12" i="20" s="1"/>
  <c r="M11" i="20" s="1"/>
  <c r="M10" i="20" s="1"/>
  <c r="M9" i="20" s="1"/>
  <c r="W18" i="12" l="1"/>
  <c r="W17" i="12" s="1"/>
  <c r="W16" i="12" s="1"/>
  <c r="W15" i="12" s="1"/>
  <c r="W14" i="12" s="1"/>
  <c r="W13" i="12" s="1"/>
  <c r="W12" i="12" s="1"/>
  <c r="W11" i="12" s="1"/>
  <c r="W10" i="12" s="1"/>
  <c r="W9" i="12" s="1"/>
  <c r="N18" i="11"/>
  <c r="N17" i="11" s="1"/>
  <c r="N16" i="11" s="1"/>
  <c r="N15" i="11" s="1"/>
  <c r="N14" i="11" s="1"/>
  <c r="N13" i="11" s="1"/>
  <c r="N12" i="11" s="1"/>
  <c r="N11" i="11" s="1"/>
  <c r="N10" i="11" s="1"/>
  <c r="N9" i="11" s="1"/>
  <c r="C11" i="8"/>
  <c r="E108" i="8" l="1"/>
  <c r="C108" i="8"/>
  <c r="E107" i="8"/>
  <c r="C107" i="8"/>
  <c r="E106" i="8"/>
  <c r="C106" i="8"/>
  <c r="E105" i="8"/>
  <c r="C105" i="8"/>
  <c r="E104" i="8"/>
  <c r="C104" i="8"/>
  <c r="E103" i="8"/>
  <c r="C103" i="8"/>
  <c r="E102" i="8"/>
  <c r="C102" i="8"/>
  <c r="E101" i="8"/>
  <c r="C101" i="8"/>
  <c r="E100" i="8"/>
  <c r="C100" i="8"/>
  <c r="E99" i="8"/>
  <c r="C99" i="8"/>
  <c r="E98" i="8"/>
  <c r="C98" i="8"/>
  <c r="E97" i="8"/>
  <c r="C97" i="8"/>
  <c r="E96" i="8"/>
  <c r="C96" i="8"/>
  <c r="E95" i="8"/>
  <c r="C95" i="8"/>
  <c r="E94" i="8"/>
  <c r="C94" i="8"/>
  <c r="E93" i="8"/>
  <c r="C93" i="8"/>
  <c r="E92" i="8"/>
  <c r="C92" i="8"/>
  <c r="E91" i="8"/>
  <c r="C91" i="8"/>
  <c r="E90" i="8"/>
  <c r="C90" i="8"/>
  <c r="E89" i="8"/>
  <c r="C89" i="8"/>
  <c r="E88" i="8"/>
  <c r="C88" i="8"/>
  <c r="E87" i="8"/>
  <c r="C87" i="8"/>
  <c r="E86" i="8"/>
  <c r="C86" i="8"/>
  <c r="E85" i="8"/>
  <c r="C85" i="8"/>
  <c r="E84" i="8"/>
  <c r="C84" i="8"/>
  <c r="E83" i="8"/>
  <c r="C83" i="8"/>
  <c r="E82" i="8"/>
  <c r="C82" i="8"/>
  <c r="E81" i="8"/>
  <c r="C81" i="8"/>
  <c r="E80" i="8"/>
  <c r="C80" i="8"/>
  <c r="E79" i="8"/>
  <c r="C79" i="8"/>
  <c r="E78" i="8"/>
  <c r="C78" i="8"/>
  <c r="E77" i="8"/>
  <c r="C77" i="8"/>
  <c r="E76" i="8"/>
  <c r="C76" i="8"/>
  <c r="E75" i="8"/>
  <c r="C75" i="8"/>
  <c r="E74" i="8"/>
  <c r="C74" i="8"/>
  <c r="E73" i="8"/>
  <c r="C73" i="8"/>
  <c r="E72" i="8"/>
  <c r="C72" i="8"/>
  <c r="E71" i="8"/>
  <c r="C71" i="8"/>
  <c r="E70" i="8"/>
  <c r="C70" i="8"/>
  <c r="E69" i="8"/>
  <c r="C69" i="8"/>
  <c r="E68" i="8"/>
  <c r="C68" i="8"/>
  <c r="E67" i="8"/>
  <c r="C67" i="8"/>
  <c r="E66" i="8"/>
  <c r="C66" i="8"/>
  <c r="E65" i="8"/>
  <c r="C65" i="8"/>
  <c r="E64" i="8"/>
  <c r="C64" i="8"/>
  <c r="E63" i="8"/>
  <c r="C63" i="8"/>
  <c r="E62" i="8"/>
  <c r="C62" i="8"/>
  <c r="E61" i="8"/>
  <c r="C61" i="8"/>
  <c r="E60" i="8"/>
  <c r="C60" i="8"/>
  <c r="E59" i="8"/>
  <c r="C59" i="8"/>
  <c r="E58" i="8"/>
  <c r="C58" i="8"/>
  <c r="E57" i="8"/>
  <c r="C57" i="8"/>
  <c r="E56" i="8"/>
  <c r="C56" i="8"/>
  <c r="E55" i="8"/>
  <c r="C55" i="8"/>
  <c r="E54" i="8"/>
  <c r="C54" i="8"/>
  <c r="E53" i="8"/>
  <c r="C53" i="8"/>
  <c r="E52" i="8"/>
  <c r="C52" i="8"/>
  <c r="E51" i="8"/>
  <c r="C51" i="8"/>
  <c r="E50" i="8"/>
  <c r="C50" i="8"/>
  <c r="E49" i="8"/>
  <c r="C49" i="8"/>
  <c r="E48" i="8"/>
  <c r="C48" i="8"/>
  <c r="E47" i="8"/>
  <c r="C47" i="8"/>
  <c r="E46" i="8"/>
  <c r="C46" i="8"/>
  <c r="E45" i="8"/>
  <c r="C45" i="8"/>
  <c r="E44" i="8"/>
  <c r="C44" i="8"/>
  <c r="E43" i="8"/>
  <c r="C43" i="8"/>
  <c r="E42" i="8"/>
  <c r="C42" i="8"/>
  <c r="E41" i="8"/>
  <c r="C41" i="8"/>
  <c r="E40" i="8"/>
  <c r="C40" i="8"/>
  <c r="E39" i="8"/>
  <c r="C39" i="8"/>
  <c r="E38" i="8"/>
  <c r="C38" i="8"/>
  <c r="E37" i="8"/>
  <c r="C37" i="8"/>
  <c r="E36" i="8"/>
  <c r="C36" i="8"/>
  <c r="E35" i="8"/>
  <c r="C35" i="8"/>
  <c r="E34" i="8"/>
  <c r="C34" i="8"/>
  <c r="E33" i="8"/>
  <c r="C33" i="8"/>
  <c r="E32" i="8"/>
  <c r="C32" i="8"/>
  <c r="E31" i="8"/>
  <c r="C31" i="8"/>
  <c r="E30" i="8"/>
  <c r="C30" i="8"/>
  <c r="E29" i="8"/>
  <c r="C29" i="8"/>
  <c r="E28" i="8"/>
  <c r="C28" i="8"/>
  <c r="E27" i="8"/>
  <c r="C27" i="8"/>
  <c r="E26" i="8"/>
  <c r="C26" i="8"/>
  <c r="E25" i="8"/>
  <c r="C25" i="8"/>
  <c r="E24" i="8"/>
  <c r="C24" i="8"/>
  <c r="E23" i="8"/>
  <c r="C23" i="8"/>
  <c r="E22" i="8"/>
  <c r="C22" i="8"/>
  <c r="E21" i="8"/>
  <c r="C21" i="8"/>
  <c r="E20" i="8"/>
  <c r="C20" i="8"/>
  <c r="E19" i="8"/>
  <c r="C19" i="8"/>
  <c r="E18" i="8"/>
  <c r="C18" i="8"/>
  <c r="E17" i="8"/>
  <c r="C17" i="8"/>
  <c r="E16" i="8"/>
  <c r="C16" i="8"/>
  <c r="E15" i="8"/>
  <c r="C15" i="8"/>
  <c r="E14" i="8"/>
  <c r="C14" i="8"/>
  <c r="E13" i="8"/>
  <c r="C13" i="8"/>
  <c r="E12" i="8"/>
  <c r="C12" i="8"/>
  <c r="E11" i="8"/>
  <c r="D108" i="8"/>
  <c r="D107" i="8"/>
  <c r="D106" i="8"/>
  <c r="D105" i="8"/>
  <c r="D104" i="8"/>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AG4" i="22"/>
  <c r="AG3" i="22"/>
  <c r="AH1" i="22"/>
  <c r="F102" i="8" l="1"/>
  <c r="F94" i="8"/>
  <c r="F56" i="8"/>
  <c r="F60" i="8"/>
  <c r="F52" i="8"/>
  <c r="F82" i="8"/>
  <c r="F18" i="8"/>
  <c r="F14" i="8"/>
  <c r="F25" i="8"/>
  <c r="F63" i="8"/>
  <c r="F74" i="8"/>
  <c r="F78" i="8"/>
  <c r="F44" i="8"/>
  <c r="F38" i="8"/>
  <c r="F89" i="8"/>
  <c r="F93" i="8"/>
  <c r="F22" i="8"/>
  <c r="F33" i="8"/>
  <c r="F37" i="8"/>
  <c r="F71" i="8"/>
  <c r="F29" i="8"/>
  <c r="F26" i="8"/>
  <c r="F15" i="8"/>
  <c r="F45" i="8"/>
  <c r="F79" i="8"/>
  <c r="F90" i="8"/>
  <c r="F105" i="8"/>
  <c r="F108" i="8"/>
  <c r="F17" i="8"/>
  <c r="F21" i="8"/>
  <c r="F55" i="8"/>
  <c r="F104" i="8"/>
  <c r="F103" i="8"/>
  <c r="F48" i="8"/>
  <c r="F86" i="8"/>
  <c r="F97" i="8"/>
  <c r="F101" i="8"/>
  <c r="F11" i="8"/>
  <c r="F42" i="8"/>
  <c r="F46" i="8"/>
  <c r="F57" i="8"/>
  <c r="F61" i="8"/>
  <c r="F76" i="8"/>
  <c r="F91" i="8"/>
  <c r="F66" i="8"/>
  <c r="F20" i="8"/>
  <c r="F12" i="8"/>
  <c r="F27" i="8"/>
  <c r="F31" i="8"/>
  <c r="F70" i="8"/>
  <c r="F53" i="8"/>
  <c r="F68" i="8"/>
  <c r="F87" i="8"/>
  <c r="F98" i="8"/>
  <c r="F32" i="8"/>
  <c r="F81" i="8"/>
  <c r="F95" i="8"/>
  <c r="F65" i="8"/>
  <c r="F106" i="8"/>
  <c r="F88" i="8"/>
  <c r="F39" i="8"/>
  <c r="F100" i="8"/>
  <c r="F84" i="8"/>
  <c r="F28" i="8"/>
  <c r="F43" i="8"/>
  <c r="F47" i="8"/>
  <c r="F36" i="8"/>
  <c r="F58" i="8"/>
  <c r="F62" i="8"/>
  <c r="F92" i="8"/>
  <c r="F64" i="8"/>
  <c r="F40" i="8"/>
  <c r="F67" i="8"/>
  <c r="F30" i="8"/>
  <c r="F41" i="8"/>
  <c r="F13" i="8"/>
  <c r="F96" i="8"/>
  <c r="F85" i="8"/>
  <c r="F72" i="8"/>
  <c r="F73" i="8"/>
  <c r="F77" i="8"/>
  <c r="F107" i="8"/>
  <c r="F59" i="8"/>
  <c r="F16" i="8"/>
  <c r="F23" i="8"/>
  <c r="F34" i="8"/>
  <c r="F49" i="8"/>
  <c r="F80" i="8"/>
  <c r="F24" i="8"/>
  <c r="F35" i="8"/>
  <c r="F50" i="8"/>
  <c r="F54" i="8"/>
  <c r="F69" i="8"/>
  <c r="F99" i="8"/>
  <c r="F19" i="8"/>
  <c r="F83" i="8"/>
  <c r="F51" i="8"/>
  <c r="F75" i="8"/>
  <c r="JD2" i="21"/>
  <c r="JC2" i="21"/>
  <c r="JB2" i="21"/>
  <c r="JA2" i="21"/>
  <c r="IZ2" i="21"/>
  <c r="IY2" i="21"/>
  <c r="IX2" i="21"/>
  <c r="IW2" i="21"/>
  <c r="IV2" i="21"/>
  <c r="IU2" i="21"/>
  <c r="IT2" i="21"/>
  <c r="IS2" i="21"/>
  <c r="IR2" i="21"/>
  <c r="IQ2" i="21"/>
  <c r="IP2" i="21"/>
  <c r="IO2" i="21"/>
  <c r="IN2" i="21"/>
  <c r="IM2" i="21"/>
  <c r="IL2" i="21"/>
  <c r="IK2" i="21"/>
  <c r="IJ2" i="21"/>
  <c r="II2" i="21"/>
  <c r="IH2" i="21"/>
  <c r="IG2" i="21"/>
  <c r="IF2" i="21"/>
  <c r="IE2" i="21"/>
  <c r="ID2" i="21"/>
  <c r="IC2" i="21"/>
  <c r="IB2" i="21"/>
  <c r="IA2" i="21"/>
  <c r="HZ2" i="21"/>
  <c r="HY2" i="21"/>
  <c r="HX2" i="21"/>
  <c r="HW2" i="21"/>
  <c r="HV2" i="21"/>
  <c r="HU2" i="21"/>
  <c r="HT2" i="21"/>
  <c r="HS2" i="21"/>
  <c r="HR2" i="21"/>
  <c r="HQ2" i="21"/>
  <c r="HP2" i="21"/>
  <c r="HO2" i="21"/>
  <c r="HN2" i="21"/>
  <c r="HM2" i="21"/>
  <c r="HL2" i="21"/>
  <c r="HK2" i="21"/>
  <c r="HJ2" i="21"/>
  <c r="HI2" i="21"/>
  <c r="HH2" i="21"/>
  <c r="HG2" i="21"/>
  <c r="HF2" i="21"/>
  <c r="HE2" i="21"/>
  <c r="HD2" i="21"/>
  <c r="HC2" i="21"/>
  <c r="HB2" i="21"/>
  <c r="HA2" i="21"/>
  <c r="GZ2" i="21"/>
  <c r="GY2" i="21"/>
  <c r="GX2" i="21"/>
  <c r="GW2" i="21"/>
  <c r="GV2" i="21"/>
  <c r="GU2" i="21"/>
  <c r="GT2" i="21"/>
  <c r="GS2" i="21"/>
  <c r="GR2" i="21"/>
  <c r="GQ2" i="21"/>
  <c r="GP2" i="21"/>
  <c r="GO2" i="21"/>
  <c r="GN2" i="21"/>
  <c r="GM2" i="21"/>
  <c r="GL2" i="21"/>
  <c r="GK2" i="21"/>
  <c r="GJ2" i="21"/>
  <c r="GI2" i="21"/>
  <c r="GH2" i="21"/>
  <c r="GG2" i="21"/>
  <c r="GF2" i="21"/>
  <c r="GE2" i="21"/>
  <c r="GD2" i="21"/>
  <c r="GC2" i="21"/>
  <c r="GB2" i="21"/>
  <c r="GA2" i="21"/>
  <c r="FZ2" i="21"/>
  <c r="FY2" i="21"/>
  <c r="FX2" i="21"/>
  <c r="FW2" i="21"/>
  <c r="FV2" i="21"/>
  <c r="FU2" i="21"/>
  <c r="FT2" i="21"/>
  <c r="FS2" i="21"/>
  <c r="FR2" i="21"/>
  <c r="FQ2" i="21"/>
  <c r="FP2" i="21"/>
  <c r="FO2" i="21"/>
  <c r="FN2" i="21"/>
  <c r="FM2" i="21"/>
  <c r="FL2" i="21"/>
  <c r="FK2" i="21"/>
  <c r="FJ2" i="21"/>
  <c r="FI2" i="21"/>
  <c r="FH2" i="21"/>
  <c r="FG2" i="21"/>
  <c r="FF2" i="21"/>
  <c r="FE2" i="21"/>
  <c r="FD2" i="21"/>
  <c r="FC2" i="21"/>
  <c r="FB2" i="21"/>
  <c r="FA2" i="21"/>
  <c r="EZ2" i="21"/>
  <c r="EY2" i="21"/>
  <c r="EX2" i="21"/>
  <c r="EW2" i="21"/>
  <c r="EV2" i="21"/>
  <c r="EU2" i="21"/>
  <c r="ET2" i="21"/>
  <c r="ES2" i="21"/>
  <c r="ER2" i="21"/>
  <c r="EQ2" i="21"/>
  <c r="EP2" i="21"/>
  <c r="EO2" i="21"/>
  <c r="EN2" i="21"/>
  <c r="EM2" i="21"/>
  <c r="EL2" i="21"/>
  <c r="EK2" i="21"/>
  <c r="EJ2" i="21"/>
  <c r="EI2" i="21"/>
  <c r="EH2" i="21"/>
  <c r="EG2" i="21"/>
  <c r="EF2" i="21"/>
  <c r="EE2" i="21"/>
  <c r="ED2" i="21"/>
  <c r="EC2" i="21"/>
  <c r="EB2" i="21"/>
  <c r="EA2" i="21"/>
  <c r="DZ2" i="21"/>
  <c r="DY2" i="21"/>
  <c r="DX2" i="21"/>
  <c r="DW2" i="21"/>
  <c r="DV2" i="21"/>
  <c r="DU2" i="21"/>
  <c r="DT2" i="21"/>
  <c r="DS2" i="21"/>
  <c r="DR2" i="21"/>
  <c r="DQ2" i="21"/>
  <c r="DP2" i="21"/>
  <c r="DO2" i="21"/>
  <c r="DN2" i="21"/>
  <c r="DM2" i="21"/>
  <c r="DL2" i="21"/>
  <c r="DK2" i="21"/>
  <c r="DJ2" i="21"/>
  <c r="DI2" i="21"/>
  <c r="DH2" i="21"/>
  <c r="DG2" i="21"/>
  <c r="DF2" i="21"/>
  <c r="DE2" i="21"/>
  <c r="DD2" i="21"/>
  <c r="DC2" i="21"/>
  <c r="DB2" i="21"/>
  <c r="DA2" i="21"/>
  <c r="CZ2" i="21"/>
  <c r="CY2" i="21"/>
  <c r="CX2" i="21"/>
  <c r="CW2" i="21"/>
  <c r="CV2" i="21"/>
  <c r="CU2" i="21"/>
  <c r="CT2" i="21"/>
  <c r="CS2" i="21"/>
  <c r="CR2" i="21"/>
  <c r="CQ2" i="21"/>
  <c r="CP2" i="21"/>
  <c r="CO2" i="21"/>
  <c r="CN2" i="21"/>
  <c r="CM2" i="21"/>
  <c r="CL2" i="21"/>
  <c r="CK2" i="21"/>
  <c r="CJ2" i="21"/>
  <c r="CI2" i="21"/>
  <c r="CH2" i="21"/>
  <c r="CG2" i="21"/>
  <c r="CF2" i="21"/>
  <c r="CE2" i="21"/>
  <c r="CD2" i="21"/>
  <c r="CC2" i="21"/>
  <c r="CB2" i="21"/>
  <c r="CA2" i="21"/>
  <c r="BZ2" i="21"/>
  <c r="BY2" i="21"/>
  <c r="BX2" i="21"/>
  <c r="BW2" i="21"/>
  <c r="BV2" i="21"/>
  <c r="BU2" i="21"/>
  <c r="BT2" i="21"/>
  <c r="BS2" i="21"/>
  <c r="BR2" i="21"/>
  <c r="BQ2" i="21"/>
  <c r="BP2" i="21"/>
  <c r="BO2" i="21"/>
  <c r="BN2" i="21"/>
  <c r="BM2" i="21"/>
  <c r="BL2" i="21"/>
  <c r="BK2" i="21"/>
  <c r="BJ2" i="21"/>
  <c r="BI2" i="21"/>
  <c r="BH2" i="21"/>
  <c r="BG2" i="21"/>
  <c r="BF2" i="21"/>
  <c r="BE2" i="21"/>
  <c r="BD2" i="21"/>
  <c r="BC2" i="21"/>
  <c r="BB2" i="21"/>
  <c r="BA2" i="21"/>
  <c r="AZ2" i="21"/>
  <c r="AY2" i="21"/>
  <c r="AX2" i="21"/>
  <c r="AW2" i="21"/>
  <c r="AV2" i="21"/>
  <c r="AU2" i="21"/>
  <c r="AT2" i="21"/>
  <c r="AS2" i="21"/>
  <c r="AR2" i="21"/>
  <c r="AQ2" i="21"/>
  <c r="AP2" i="21"/>
  <c r="AO2" i="21"/>
  <c r="AN2" i="21"/>
  <c r="AM2" i="21"/>
  <c r="AL2" i="21"/>
  <c r="AK2" i="21"/>
  <c r="AJ2" i="21"/>
  <c r="AI2" i="21"/>
  <c r="AH2" i="21"/>
  <c r="AG2" i="21"/>
  <c r="AF2" i="21"/>
  <c r="AE2" i="21"/>
  <c r="AD2" i="21"/>
  <c r="AC2" i="21"/>
  <c r="AB2" i="21"/>
  <c r="AA2" i="21"/>
  <c r="Z2" i="21"/>
  <c r="Y2" i="21"/>
  <c r="X2" i="21"/>
  <c r="W2" i="21"/>
  <c r="V2" i="21"/>
  <c r="U2" i="21"/>
  <c r="T2" i="21"/>
  <c r="S2" i="21"/>
  <c r="R2" i="21"/>
  <c r="Q2" i="21"/>
  <c r="P2" i="21"/>
  <c r="O2" i="21"/>
  <c r="N2" i="21"/>
  <c r="M2" i="21"/>
  <c r="L2" i="21"/>
  <c r="K2" i="21"/>
  <c r="J2" i="21"/>
  <c r="I2" i="21"/>
  <c r="H2" i="21"/>
  <c r="G2" i="21"/>
  <c r="F2" i="21"/>
  <c r="E2" i="21"/>
  <c r="D2" i="21"/>
  <c r="C2" i="21"/>
  <c r="B2" i="21"/>
  <c r="JD1" i="21"/>
  <c r="JC1" i="21"/>
  <c r="JB1" i="21"/>
  <c r="JA1" i="21"/>
  <c r="IZ1" i="21"/>
  <c r="IY1" i="21"/>
  <c r="IX1" i="21"/>
  <c r="IW1" i="21"/>
  <c r="IV1" i="21"/>
  <c r="IU1" i="21"/>
  <c r="IT1" i="21"/>
  <c r="IS1" i="21"/>
  <c r="IR1" i="21"/>
  <c r="IQ1" i="21"/>
  <c r="IP1" i="21"/>
  <c r="IO1" i="21"/>
  <c r="IN1" i="21"/>
  <c r="IM1" i="21"/>
  <c r="IL1" i="21"/>
  <c r="IK1" i="21"/>
  <c r="IJ1" i="21"/>
  <c r="II1" i="21"/>
  <c r="IH1" i="21"/>
  <c r="IG1" i="21"/>
  <c r="IF1" i="21"/>
  <c r="IE1" i="21"/>
  <c r="ID1" i="21"/>
  <c r="IC1" i="21"/>
  <c r="IB1" i="21"/>
  <c r="IA1" i="21"/>
  <c r="HZ1" i="21"/>
  <c r="HY1" i="21"/>
  <c r="HX1" i="21"/>
  <c r="HW1" i="21"/>
  <c r="HV1" i="21"/>
  <c r="HU1" i="21"/>
  <c r="HT1" i="21"/>
  <c r="HS1" i="21"/>
  <c r="HR1" i="21"/>
  <c r="HQ1" i="21"/>
  <c r="HP1" i="21"/>
  <c r="HO1" i="21"/>
  <c r="HN1" i="21"/>
  <c r="HM1" i="21"/>
  <c r="HL1" i="21"/>
  <c r="HK1" i="21"/>
  <c r="HJ1" i="21"/>
  <c r="HI1" i="21"/>
  <c r="HH1" i="21"/>
  <c r="HG1" i="21"/>
  <c r="HF1" i="21"/>
  <c r="HE1" i="21"/>
  <c r="HD1" i="21"/>
  <c r="HC1" i="21"/>
  <c r="HB1" i="21"/>
  <c r="HA1" i="21"/>
  <c r="GZ1" i="21"/>
  <c r="GY1" i="21"/>
  <c r="GX1" i="21"/>
  <c r="GW1" i="21"/>
  <c r="GV1" i="21"/>
  <c r="GU1" i="21"/>
  <c r="GT1" i="21"/>
  <c r="GS1" i="21"/>
  <c r="GR1" i="21"/>
  <c r="GQ1" i="21"/>
  <c r="GP1" i="21"/>
  <c r="GO1" i="21"/>
  <c r="GN1" i="21"/>
  <c r="GM1" i="21"/>
  <c r="GL1" i="21"/>
  <c r="GK1" i="21"/>
  <c r="GJ1" i="21"/>
  <c r="GI1" i="21"/>
  <c r="GH1" i="21"/>
  <c r="GG1" i="21"/>
  <c r="GF1" i="21"/>
  <c r="GE1" i="21"/>
  <c r="GD1" i="21"/>
  <c r="GC1" i="21"/>
  <c r="GB1" i="21"/>
  <c r="GA1" i="21"/>
  <c r="FZ1" i="21"/>
  <c r="FY1" i="21"/>
  <c r="FX1" i="21"/>
  <c r="FW1" i="21"/>
  <c r="FV1" i="21"/>
  <c r="FU1" i="21"/>
  <c r="FT1" i="21"/>
  <c r="FS1" i="21"/>
  <c r="FR1" i="21"/>
  <c r="FQ1" i="21"/>
  <c r="FP1" i="21"/>
  <c r="FO1" i="21"/>
  <c r="FN1" i="21"/>
  <c r="FM1" i="21"/>
  <c r="FL1" i="21"/>
  <c r="FK1" i="21"/>
  <c r="FJ1" i="21"/>
  <c r="FI1" i="21"/>
  <c r="FH1" i="21"/>
  <c r="FG1" i="21"/>
  <c r="FF1" i="21"/>
  <c r="FE1" i="21"/>
  <c r="FD1" i="21"/>
  <c r="FC1" i="21"/>
  <c r="FB1" i="21"/>
  <c r="FA1" i="21"/>
  <c r="EZ1" i="21"/>
  <c r="EY1" i="21"/>
  <c r="EX1" i="21"/>
  <c r="EW1" i="21"/>
  <c r="EV1" i="21"/>
  <c r="EU1" i="21"/>
  <c r="ET1" i="21"/>
  <c r="ES1" i="21"/>
  <c r="ER1" i="21"/>
  <c r="EQ1" i="21"/>
  <c r="EP1" i="21"/>
  <c r="EO1" i="21"/>
  <c r="EN1" i="21"/>
  <c r="EM1" i="21"/>
  <c r="EL1" i="21"/>
  <c r="EK1" i="21"/>
  <c r="EJ1" i="21"/>
  <c r="EI1" i="21"/>
  <c r="EH1" i="21"/>
  <c r="EG1" i="21"/>
  <c r="EF1" i="21"/>
  <c r="EE1" i="21"/>
  <c r="ED1" i="21"/>
  <c r="EC1" i="21"/>
  <c r="EB1" i="21"/>
  <c r="EA1" i="21"/>
  <c r="DZ1" i="21"/>
  <c r="DY1" i="21"/>
  <c r="DX1" i="21"/>
  <c r="DW1" i="21"/>
  <c r="DV1" i="21"/>
  <c r="DU1" i="21"/>
  <c r="DT1" i="21"/>
  <c r="DS1" i="21"/>
  <c r="DR1" i="21"/>
  <c r="DQ1" i="21"/>
  <c r="DP1" i="21"/>
  <c r="DO1" i="21"/>
  <c r="DN1" i="21"/>
  <c r="DM1" i="21"/>
  <c r="DL1" i="21"/>
  <c r="DK1" i="21"/>
  <c r="DJ1" i="21"/>
  <c r="DI1" i="21"/>
  <c r="DH1" i="21"/>
  <c r="DG1" i="21"/>
  <c r="DF1" i="21"/>
  <c r="DE1" i="21"/>
  <c r="DD1" i="21"/>
  <c r="DC1" i="21"/>
  <c r="DB1" i="21"/>
  <c r="DA1" i="21"/>
  <c r="CZ1" i="21"/>
  <c r="CY1" i="21"/>
  <c r="CX1" i="21"/>
  <c r="CW1" i="21"/>
  <c r="CV1" i="21"/>
  <c r="CU1" i="21"/>
  <c r="CT1" i="21"/>
  <c r="CS1" i="21"/>
  <c r="CR1" i="21"/>
  <c r="CQ1" i="21"/>
  <c r="CP1" i="21"/>
  <c r="CO1" i="21"/>
  <c r="CN1" i="21"/>
  <c r="CM1" i="21"/>
  <c r="CL1" i="21"/>
  <c r="CK1" i="21"/>
  <c r="CJ1" i="21"/>
  <c r="CI1" i="21"/>
  <c r="CH1" i="21"/>
  <c r="CG1" i="21"/>
  <c r="CF1" i="21"/>
  <c r="CE1" i="21"/>
  <c r="CD1" i="21"/>
  <c r="CC1" i="21"/>
  <c r="CB1" i="21"/>
  <c r="CA1" i="21"/>
  <c r="BZ1" i="21"/>
  <c r="BY1" i="21"/>
  <c r="BX1" i="21"/>
  <c r="BW1" i="21"/>
  <c r="BV1" i="21"/>
  <c r="BU1" i="21"/>
  <c r="BT1" i="21"/>
  <c r="BS1" i="21"/>
  <c r="BR1" i="21"/>
  <c r="BQ1" i="21"/>
  <c r="BP1" i="21"/>
  <c r="BO1" i="21"/>
  <c r="BN1" i="21"/>
  <c r="BM1" i="21"/>
  <c r="BL1" i="21"/>
  <c r="BK1" i="21"/>
  <c r="BJ1" i="21"/>
  <c r="BI1" i="21"/>
  <c r="BH1" i="21"/>
  <c r="BG1" i="21"/>
  <c r="BF1" i="21"/>
  <c r="BE1" i="21"/>
  <c r="BD1" i="21"/>
  <c r="BC1" i="21"/>
  <c r="BB1" i="21"/>
  <c r="BA1" i="21"/>
  <c r="AZ1" i="21"/>
  <c r="AY1" i="21"/>
  <c r="AX1" i="21"/>
  <c r="AW1" i="21"/>
  <c r="AV1" i="21"/>
  <c r="AU1" i="21"/>
  <c r="AT1" i="21"/>
  <c r="AS1" i="21"/>
  <c r="AR1" i="21"/>
  <c r="AQ1" i="21"/>
  <c r="AP1" i="21"/>
  <c r="AO1" i="21"/>
  <c r="AN1" i="21"/>
  <c r="AM1" i="21"/>
  <c r="AL1" i="21"/>
  <c r="AK1" i="21"/>
  <c r="AJ1" i="21"/>
  <c r="AI1" i="21"/>
  <c r="AH1" i="21"/>
  <c r="AG1" i="21"/>
  <c r="AF1" i="21"/>
  <c r="AE1" i="21"/>
  <c r="AD1" i="21"/>
  <c r="AC1" i="21"/>
  <c r="AB1" i="21"/>
  <c r="AA1" i="21"/>
  <c r="Z1" i="21"/>
  <c r="Y1" i="21"/>
  <c r="X1" i="21"/>
  <c r="W1" i="21"/>
  <c r="V1" i="21"/>
  <c r="U1" i="21"/>
  <c r="T1" i="21"/>
  <c r="S1" i="21"/>
  <c r="R1" i="21"/>
  <c r="Q1" i="21"/>
  <c r="P1" i="21"/>
  <c r="O1" i="21"/>
  <c r="N1" i="21"/>
  <c r="M1" i="21"/>
  <c r="L1" i="21"/>
  <c r="K1" i="21"/>
  <c r="J1" i="21"/>
  <c r="I1" i="21"/>
  <c r="H1" i="21"/>
  <c r="G1" i="21"/>
  <c r="F1" i="21"/>
  <c r="E1" i="21"/>
  <c r="D1" i="21"/>
  <c r="C1" i="21"/>
  <c r="B1" i="21"/>
  <c r="P18" i="20"/>
  <c r="H18" i="20"/>
  <c r="H17" i="20" s="1"/>
  <c r="H16" i="20" s="1"/>
  <c r="O19" i="19"/>
  <c r="N19" i="19"/>
  <c r="M19" i="19"/>
  <c r="L19" i="19"/>
  <c r="K19" i="19"/>
  <c r="J19" i="19"/>
  <c r="I19" i="19"/>
  <c r="H19" i="19"/>
  <c r="G19" i="19"/>
  <c r="F19" i="19"/>
  <c r="E19" i="19"/>
  <c r="D19" i="19"/>
  <c r="C19" i="19"/>
  <c r="B19" i="19"/>
  <c r="Q285" i="18"/>
  <c r="YW59" i="17"/>
  <c r="YV59" i="17"/>
  <c r="YU59" i="17"/>
  <c r="YT59" i="17"/>
  <c r="YS59" i="17"/>
  <c r="YR59" i="17"/>
  <c r="YQ59" i="17"/>
  <c r="YP59" i="17"/>
  <c r="YO59" i="17"/>
  <c r="YN59" i="17"/>
  <c r="YM59" i="17"/>
  <c r="YL59" i="17"/>
  <c r="YK59" i="17"/>
  <c r="YJ59" i="17"/>
  <c r="YI59" i="17"/>
  <c r="YH59" i="17"/>
  <c r="YG59" i="17"/>
  <c r="YF59" i="17"/>
  <c r="YE59" i="17"/>
  <c r="YD59" i="17"/>
  <c r="YC59" i="17"/>
  <c r="YB59" i="17"/>
  <c r="YA59" i="17"/>
  <c r="XZ59" i="17"/>
  <c r="XY59" i="17"/>
  <c r="XX59" i="17"/>
  <c r="XW59" i="17"/>
  <c r="XV59" i="17"/>
  <c r="XU59" i="17"/>
  <c r="XT59" i="17"/>
  <c r="XS59" i="17"/>
  <c r="XR59" i="17"/>
  <c r="XQ59" i="17"/>
  <c r="XP59" i="17"/>
  <c r="XO59" i="17"/>
  <c r="XN59" i="17"/>
  <c r="XM59" i="17"/>
  <c r="XL59" i="17"/>
  <c r="XK59" i="17"/>
  <c r="XJ59" i="17"/>
  <c r="XI59" i="17"/>
  <c r="XH59" i="17"/>
  <c r="XG59" i="17"/>
  <c r="XF59" i="17"/>
  <c r="XE59" i="17"/>
  <c r="XD59" i="17"/>
  <c r="XC59" i="17"/>
  <c r="XB59" i="17"/>
  <c r="XA59" i="17"/>
  <c r="WZ59" i="17"/>
  <c r="WY59" i="17"/>
  <c r="WX59" i="17"/>
  <c r="WW59" i="17"/>
  <c r="WV59" i="17"/>
  <c r="WU59" i="17"/>
  <c r="WT59" i="17"/>
  <c r="WS59" i="17"/>
  <c r="WR59" i="17"/>
  <c r="WQ59" i="17"/>
  <c r="WP59" i="17"/>
  <c r="WO59" i="17"/>
  <c r="WN59" i="17"/>
  <c r="WM59" i="17"/>
  <c r="WL59" i="17"/>
  <c r="WK59" i="17"/>
  <c r="WJ59" i="17"/>
  <c r="WI59" i="17"/>
  <c r="WH59" i="17"/>
  <c r="WG59" i="17"/>
  <c r="WF59" i="17"/>
  <c r="WE59" i="17"/>
  <c r="WD59" i="17"/>
  <c r="WC59" i="17"/>
  <c r="WB59" i="17"/>
  <c r="WA59" i="17"/>
  <c r="VZ59" i="17"/>
  <c r="VY59" i="17"/>
  <c r="VX59" i="17"/>
  <c r="VW59" i="17"/>
  <c r="VV59" i="17"/>
  <c r="VU59" i="17"/>
  <c r="VT59" i="17"/>
  <c r="VS59" i="17"/>
  <c r="VR59" i="17"/>
  <c r="VQ59" i="17"/>
  <c r="VP59" i="17"/>
  <c r="VO59" i="17"/>
  <c r="VN59" i="17"/>
  <c r="VM59" i="17"/>
  <c r="VL59" i="17"/>
  <c r="VK59" i="17"/>
  <c r="VJ59" i="17"/>
  <c r="VI59" i="17"/>
  <c r="VH59" i="17"/>
  <c r="VG59" i="17"/>
  <c r="VF59" i="17"/>
  <c r="VE59" i="17"/>
  <c r="VD59" i="17"/>
  <c r="VC59" i="17"/>
  <c r="VB59" i="17"/>
  <c r="VA59" i="17"/>
  <c r="UZ59" i="17"/>
  <c r="UY59" i="17"/>
  <c r="UX59" i="17"/>
  <c r="UW59" i="17"/>
  <c r="UV59" i="17"/>
  <c r="UU59" i="17"/>
  <c r="UT59" i="17"/>
  <c r="US59" i="17"/>
  <c r="UR59" i="17"/>
  <c r="UQ59" i="17"/>
  <c r="UP59" i="17"/>
  <c r="UO59" i="17"/>
  <c r="UN59" i="17"/>
  <c r="UM59" i="17"/>
  <c r="UL59" i="17"/>
  <c r="UK59" i="17"/>
  <c r="UJ59" i="17"/>
  <c r="UI59" i="17"/>
  <c r="UH59" i="17"/>
  <c r="UG59" i="17"/>
  <c r="UF59" i="17"/>
  <c r="UE59" i="17"/>
  <c r="UD59" i="17"/>
  <c r="UC59" i="17"/>
  <c r="UB59" i="17"/>
  <c r="UA59" i="17"/>
  <c r="TZ59" i="17"/>
  <c r="TY59" i="17"/>
  <c r="TX59" i="17"/>
  <c r="TW59" i="17"/>
  <c r="TV59" i="17"/>
  <c r="TU59" i="17"/>
  <c r="TT59" i="17"/>
  <c r="TS59" i="17"/>
  <c r="TR59" i="17"/>
  <c r="TQ59" i="17"/>
  <c r="TP59" i="17"/>
  <c r="TO59" i="17"/>
  <c r="TN59" i="17"/>
  <c r="TM59" i="17"/>
  <c r="TL59" i="17"/>
  <c r="TK59" i="17"/>
  <c r="TJ59" i="17"/>
  <c r="TI59" i="17"/>
  <c r="TH59" i="17"/>
  <c r="TG59" i="17"/>
  <c r="TF59" i="17"/>
  <c r="TE59" i="17"/>
  <c r="TD59" i="17"/>
  <c r="YW58" i="17"/>
  <c r="YV58" i="17"/>
  <c r="YU58" i="17"/>
  <c r="YT58" i="17"/>
  <c r="YS58" i="17"/>
  <c r="YR58" i="17"/>
  <c r="YQ58" i="17"/>
  <c r="YP58" i="17"/>
  <c r="YO58" i="17"/>
  <c r="YN58" i="17"/>
  <c r="YM58" i="17"/>
  <c r="YL58" i="17"/>
  <c r="YK58" i="17"/>
  <c r="YJ58" i="17"/>
  <c r="YI58" i="17"/>
  <c r="YH58" i="17"/>
  <c r="YG58" i="17"/>
  <c r="YF58" i="17"/>
  <c r="YE58" i="17"/>
  <c r="YD58" i="17"/>
  <c r="YC58" i="17"/>
  <c r="YB58" i="17"/>
  <c r="YA58" i="17"/>
  <c r="XZ58" i="17"/>
  <c r="XY58" i="17"/>
  <c r="XX58" i="17"/>
  <c r="XW58" i="17"/>
  <c r="XV58" i="17"/>
  <c r="XU58" i="17"/>
  <c r="XT58" i="17"/>
  <c r="XS58" i="17"/>
  <c r="XR58" i="17"/>
  <c r="XQ58" i="17"/>
  <c r="XP58" i="17"/>
  <c r="XO58" i="17"/>
  <c r="XN58" i="17"/>
  <c r="XM58" i="17"/>
  <c r="XL58" i="17"/>
  <c r="XK58" i="17"/>
  <c r="XJ58" i="17"/>
  <c r="XI58" i="17"/>
  <c r="XH58" i="17"/>
  <c r="XG58" i="17"/>
  <c r="XF58" i="17"/>
  <c r="XE58" i="17"/>
  <c r="XD58" i="17"/>
  <c r="XC58" i="17"/>
  <c r="XB58" i="17"/>
  <c r="XA58" i="17"/>
  <c r="WZ58" i="17"/>
  <c r="WY58" i="17"/>
  <c r="WX58" i="17"/>
  <c r="WW58" i="17"/>
  <c r="WV58" i="17"/>
  <c r="WU58" i="17"/>
  <c r="WT58" i="17"/>
  <c r="WS58" i="17"/>
  <c r="WR58" i="17"/>
  <c r="WQ58" i="17"/>
  <c r="WP58" i="17"/>
  <c r="WO58" i="17"/>
  <c r="WN58" i="17"/>
  <c r="WM58" i="17"/>
  <c r="WL58" i="17"/>
  <c r="WK58" i="17"/>
  <c r="WJ58" i="17"/>
  <c r="WI58" i="17"/>
  <c r="WH58" i="17"/>
  <c r="WG58" i="17"/>
  <c r="WF58" i="17"/>
  <c r="WE58" i="17"/>
  <c r="WD58" i="17"/>
  <c r="WC58" i="17"/>
  <c r="WB58" i="17"/>
  <c r="WA58" i="17"/>
  <c r="VZ58" i="17"/>
  <c r="VY58" i="17"/>
  <c r="VX58" i="17"/>
  <c r="VW58" i="17"/>
  <c r="VV58" i="17"/>
  <c r="VU58" i="17"/>
  <c r="VT58" i="17"/>
  <c r="VS58" i="17"/>
  <c r="VR58" i="17"/>
  <c r="VQ58" i="17"/>
  <c r="VP58" i="17"/>
  <c r="VO58" i="17"/>
  <c r="VN58" i="17"/>
  <c r="VM58" i="17"/>
  <c r="VL58" i="17"/>
  <c r="VK58" i="17"/>
  <c r="VJ58" i="17"/>
  <c r="VI58" i="17"/>
  <c r="VH58" i="17"/>
  <c r="VG58" i="17"/>
  <c r="VF58" i="17"/>
  <c r="VE58" i="17"/>
  <c r="VD58" i="17"/>
  <c r="VC58" i="17"/>
  <c r="VB58" i="17"/>
  <c r="VA58" i="17"/>
  <c r="UZ58" i="17"/>
  <c r="UY58" i="17"/>
  <c r="UX58" i="17"/>
  <c r="UW58" i="17"/>
  <c r="UV58" i="17"/>
  <c r="UU58" i="17"/>
  <c r="UT58" i="17"/>
  <c r="US58" i="17"/>
  <c r="UR58" i="17"/>
  <c r="UQ58" i="17"/>
  <c r="UP58" i="17"/>
  <c r="UO58" i="17"/>
  <c r="UN58" i="17"/>
  <c r="UM58" i="17"/>
  <c r="UL58" i="17"/>
  <c r="UK58" i="17"/>
  <c r="UJ58" i="17"/>
  <c r="UI58" i="17"/>
  <c r="UH58" i="17"/>
  <c r="UG58" i="17"/>
  <c r="UF58" i="17"/>
  <c r="UE58" i="17"/>
  <c r="UD58" i="17"/>
  <c r="UC58" i="17"/>
  <c r="UB58" i="17"/>
  <c r="UA58" i="17"/>
  <c r="TZ58" i="17"/>
  <c r="TY58" i="17"/>
  <c r="TX58" i="17"/>
  <c r="TW58" i="17"/>
  <c r="TV58" i="17"/>
  <c r="TU58" i="17"/>
  <c r="TT58" i="17"/>
  <c r="TS58" i="17"/>
  <c r="TR58" i="17"/>
  <c r="TQ58" i="17"/>
  <c r="TP58" i="17"/>
  <c r="TO58" i="17"/>
  <c r="TN58" i="17"/>
  <c r="TM58" i="17"/>
  <c r="TL58" i="17"/>
  <c r="TK58" i="17"/>
  <c r="TJ58" i="17"/>
  <c r="TI58" i="17"/>
  <c r="TH58" i="17"/>
  <c r="TG58" i="17"/>
  <c r="TF58" i="17"/>
  <c r="TE58" i="17"/>
  <c r="TD58" i="17"/>
  <c r="X52" i="16"/>
  <c r="BC2" i="16"/>
  <c r="BB2" i="16"/>
  <c r="BA2" i="16"/>
  <c r="AZ2" i="16"/>
  <c r="AY2" i="16"/>
  <c r="AX2" i="16"/>
  <c r="AW2" i="16"/>
  <c r="AV2" i="16"/>
  <c r="AU2" i="16"/>
  <c r="AT2" i="16"/>
  <c r="AS2" i="16"/>
  <c r="AR2" i="16"/>
  <c r="AQ2" i="16"/>
  <c r="AP2" i="16"/>
  <c r="AO2" i="16"/>
  <c r="AN2" i="16"/>
  <c r="AM2" i="16"/>
  <c r="AL2" i="16"/>
  <c r="AK2" i="16"/>
  <c r="AJ2" i="16"/>
  <c r="AI2" i="16"/>
  <c r="AH2" i="16"/>
  <c r="AG2" i="16"/>
  <c r="AF2" i="16"/>
  <c r="AE2" i="16"/>
  <c r="AD2" i="16"/>
  <c r="AC2" i="16"/>
  <c r="AB2" i="16"/>
  <c r="AA2" i="16"/>
  <c r="W2" i="16"/>
  <c r="V2" i="16"/>
  <c r="U2" i="16"/>
  <c r="T2" i="16"/>
  <c r="S2" i="16"/>
  <c r="R2" i="16"/>
  <c r="Q2" i="16"/>
  <c r="P2" i="16"/>
  <c r="O2" i="16"/>
  <c r="N2" i="16"/>
  <c r="M2" i="16"/>
  <c r="L2" i="16"/>
  <c r="K2" i="16"/>
  <c r="J2" i="16"/>
  <c r="I2" i="16"/>
  <c r="H2" i="16"/>
  <c r="G2" i="16"/>
  <c r="F2" i="16"/>
  <c r="E2" i="16"/>
  <c r="D2" i="16"/>
  <c r="C2" i="16"/>
  <c r="B2" i="16"/>
  <c r="V103" i="15"/>
  <c r="U103" i="15"/>
  <c r="T103" i="15"/>
  <c r="S103" i="15"/>
  <c r="R103" i="15"/>
  <c r="Q103" i="15"/>
  <c r="P103" i="15"/>
  <c r="O103" i="15"/>
  <c r="N103" i="15"/>
  <c r="M103" i="15"/>
  <c r="X53" i="15"/>
  <c r="AR37" i="14"/>
  <c r="AR36" i="14"/>
  <c r="AR35" i="14"/>
  <c r="AR34" i="14"/>
  <c r="AR33" i="14"/>
  <c r="AR31" i="14"/>
  <c r="AR30" i="14"/>
  <c r="AR29" i="14"/>
  <c r="AR28" i="14"/>
  <c r="A3" i="14"/>
  <c r="A2" i="14" s="1"/>
  <c r="B278" i="12"/>
  <c r="A278" i="12"/>
  <c r="C278" i="12" s="1"/>
  <c r="B277" i="12"/>
  <c r="A277" i="12"/>
  <c r="B276" i="12"/>
  <c r="C276" i="12" s="1"/>
  <c r="A276" i="12"/>
  <c r="B275" i="12"/>
  <c r="A275" i="12"/>
  <c r="C274" i="12"/>
  <c r="B274" i="12"/>
  <c r="A274" i="12"/>
  <c r="B273" i="12"/>
  <c r="A273" i="12"/>
  <c r="C273" i="12" s="1"/>
  <c r="B272" i="12"/>
  <c r="A272" i="12"/>
  <c r="C272" i="12" s="1"/>
  <c r="B271" i="12"/>
  <c r="A271" i="12"/>
  <c r="B270" i="12"/>
  <c r="A270" i="12"/>
  <c r="B269" i="12"/>
  <c r="A269" i="12"/>
  <c r="B268" i="12"/>
  <c r="A268" i="12"/>
  <c r="C268" i="12" s="1"/>
  <c r="B267" i="12"/>
  <c r="C267" i="12" s="1"/>
  <c r="A267" i="12"/>
  <c r="B266" i="12"/>
  <c r="A266" i="12"/>
  <c r="C266" i="12" s="1"/>
  <c r="B265" i="12"/>
  <c r="A265" i="12"/>
  <c r="B264" i="12"/>
  <c r="A264" i="12"/>
  <c r="C264" i="12" s="1"/>
  <c r="B263" i="12"/>
  <c r="C263" i="12" s="1"/>
  <c r="A263" i="12"/>
  <c r="B262" i="12"/>
  <c r="A262" i="12"/>
  <c r="B261" i="12"/>
  <c r="A261" i="12"/>
  <c r="B260" i="12"/>
  <c r="A260" i="12"/>
  <c r="C260" i="12" s="1"/>
  <c r="B259" i="12"/>
  <c r="A259" i="12"/>
  <c r="B258" i="12"/>
  <c r="C258" i="12" s="1"/>
  <c r="A258" i="12"/>
  <c r="B257" i="12"/>
  <c r="A257" i="12"/>
  <c r="C257" i="12" s="1"/>
  <c r="B256" i="12"/>
  <c r="A256" i="12"/>
  <c r="B255" i="12"/>
  <c r="A255" i="12"/>
  <c r="B254" i="12"/>
  <c r="A254" i="12"/>
  <c r="B253" i="12"/>
  <c r="A253" i="12"/>
  <c r="C252" i="12"/>
  <c r="B252" i="12"/>
  <c r="A252" i="12"/>
  <c r="B251" i="12"/>
  <c r="A251" i="12"/>
  <c r="B250" i="12"/>
  <c r="A250" i="12"/>
  <c r="C250" i="12" s="1"/>
  <c r="B249" i="12"/>
  <c r="A249" i="12"/>
  <c r="C249" i="12" s="1"/>
  <c r="B248" i="12"/>
  <c r="A248" i="12"/>
  <c r="C248" i="12" s="1"/>
  <c r="B247" i="12"/>
  <c r="A247" i="12"/>
  <c r="B246" i="12"/>
  <c r="A246" i="12"/>
  <c r="C246" i="12" s="1"/>
  <c r="B245" i="12"/>
  <c r="A245" i="12"/>
  <c r="B244" i="12"/>
  <c r="A244" i="12"/>
  <c r="C244" i="12" s="1"/>
  <c r="B243" i="12"/>
  <c r="C243" i="12" s="1"/>
  <c r="A243" i="12"/>
  <c r="B242" i="12"/>
  <c r="A242" i="12"/>
  <c r="C242" i="12" s="1"/>
  <c r="B241" i="12"/>
  <c r="A241" i="12"/>
  <c r="C241" i="12" s="1"/>
  <c r="B240" i="12"/>
  <c r="A240" i="12"/>
  <c r="C240" i="12" s="1"/>
  <c r="B239" i="12"/>
  <c r="A239" i="12"/>
  <c r="B238" i="12"/>
  <c r="A238" i="12"/>
  <c r="B237" i="12"/>
  <c r="A237" i="12"/>
  <c r="B236" i="12"/>
  <c r="C236" i="12" s="1"/>
  <c r="A236" i="12"/>
  <c r="B235" i="12"/>
  <c r="A235" i="12"/>
  <c r="B234" i="12"/>
  <c r="A234" i="12"/>
  <c r="B233" i="12"/>
  <c r="A233" i="12"/>
  <c r="C233" i="12" s="1"/>
  <c r="B232" i="12"/>
  <c r="A232" i="12"/>
  <c r="B231" i="12"/>
  <c r="A231" i="12"/>
  <c r="B230" i="12"/>
  <c r="A230" i="12"/>
  <c r="B229" i="12"/>
  <c r="A229" i="12"/>
  <c r="C228" i="12"/>
  <c r="B228" i="12"/>
  <c r="A228" i="12"/>
  <c r="B227" i="12"/>
  <c r="A227" i="12"/>
  <c r="B226" i="12"/>
  <c r="A226" i="12"/>
  <c r="C226" i="12" s="1"/>
  <c r="B225" i="12"/>
  <c r="A225" i="12"/>
  <c r="B224" i="12"/>
  <c r="A224" i="12"/>
  <c r="C224" i="12" s="1"/>
  <c r="B223" i="12"/>
  <c r="C223" i="12" s="1"/>
  <c r="A223" i="12"/>
  <c r="B222" i="12"/>
  <c r="A222" i="12"/>
  <c r="B221" i="12"/>
  <c r="A221" i="12"/>
  <c r="B220" i="12"/>
  <c r="A220" i="12"/>
  <c r="C220" i="12" s="1"/>
  <c r="B219" i="12"/>
  <c r="A219" i="12"/>
  <c r="B218" i="12"/>
  <c r="A218" i="12"/>
  <c r="C218" i="12" s="1"/>
  <c r="B217" i="12"/>
  <c r="A217" i="12"/>
  <c r="C217" i="12" s="1"/>
  <c r="B216" i="12"/>
  <c r="A216" i="12"/>
  <c r="C216" i="12" s="1"/>
  <c r="B215" i="12"/>
  <c r="A215" i="12"/>
  <c r="B214" i="12"/>
  <c r="A214" i="12"/>
  <c r="C214" i="12" s="1"/>
  <c r="B213" i="12"/>
  <c r="A213" i="12"/>
  <c r="B212" i="12"/>
  <c r="C212" i="12" s="1"/>
  <c r="A212" i="12"/>
  <c r="B211" i="12"/>
  <c r="A211" i="12"/>
  <c r="C210" i="12"/>
  <c r="B210" i="12"/>
  <c r="A210" i="12"/>
  <c r="B209" i="12"/>
  <c r="A209" i="12"/>
  <c r="C209" i="12" s="1"/>
  <c r="B208" i="12"/>
  <c r="A208" i="12"/>
  <c r="C208" i="12" s="1"/>
  <c r="B207" i="12"/>
  <c r="A207" i="12"/>
  <c r="B206" i="12"/>
  <c r="A206" i="12"/>
  <c r="B205" i="12"/>
  <c r="A205" i="12"/>
  <c r="B204" i="12"/>
  <c r="A204" i="12"/>
  <c r="C204" i="12" s="1"/>
  <c r="B203" i="12"/>
  <c r="C203" i="12" s="1"/>
  <c r="A203" i="12"/>
  <c r="B202" i="12"/>
  <c r="A202" i="12"/>
  <c r="C202" i="12" s="1"/>
  <c r="B201" i="12"/>
  <c r="A201" i="12"/>
  <c r="B200" i="12"/>
  <c r="A200" i="12"/>
  <c r="C200" i="12" s="1"/>
  <c r="B199" i="12"/>
  <c r="A199" i="12"/>
  <c r="B198" i="12"/>
  <c r="A198" i="12"/>
  <c r="B197" i="12"/>
  <c r="A197" i="12"/>
  <c r="B196" i="12"/>
  <c r="A196" i="12"/>
  <c r="B195" i="12"/>
  <c r="A195" i="12"/>
  <c r="B194" i="12"/>
  <c r="A194" i="12"/>
  <c r="B193" i="12"/>
  <c r="A193" i="12"/>
  <c r="B192" i="12"/>
  <c r="A192" i="12"/>
  <c r="B191" i="12"/>
  <c r="A191" i="12"/>
  <c r="B190" i="12"/>
  <c r="A190" i="12"/>
  <c r="B189" i="12"/>
  <c r="C189" i="12" s="1"/>
  <c r="A189" i="12"/>
  <c r="B188" i="12"/>
  <c r="A188" i="12"/>
  <c r="B187" i="12"/>
  <c r="A187" i="12"/>
  <c r="B186" i="12"/>
  <c r="A186" i="12"/>
  <c r="C186" i="12" s="1"/>
  <c r="B185" i="12"/>
  <c r="A185" i="12"/>
  <c r="B184" i="12"/>
  <c r="A184" i="12"/>
  <c r="B183" i="12"/>
  <c r="A183" i="12"/>
  <c r="B182" i="12"/>
  <c r="A182" i="12"/>
  <c r="B181" i="12"/>
  <c r="A181" i="12"/>
  <c r="B180" i="12"/>
  <c r="A180" i="12"/>
  <c r="B179" i="12"/>
  <c r="A179" i="12"/>
  <c r="B178" i="12"/>
  <c r="A178" i="12"/>
  <c r="B177" i="12"/>
  <c r="A177" i="12"/>
  <c r="B176" i="12"/>
  <c r="A176" i="12"/>
  <c r="B175" i="12"/>
  <c r="A175" i="12"/>
  <c r="B174" i="12"/>
  <c r="A174" i="12"/>
  <c r="B173" i="12"/>
  <c r="A173" i="12"/>
  <c r="B172" i="12"/>
  <c r="A172" i="12"/>
  <c r="B171" i="12"/>
  <c r="A171" i="12"/>
  <c r="B170" i="12"/>
  <c r="A170" i="12"/>
  <c r="B169" i="12"/>
  <c r="A169" i="12"/>
  <c r="B168" i="12"/>
  <c r="A168" i="12"/>
  <c r="B167" i="12"/>
  <c r="A167" i="12"/>
  <c r="B166" i="12"/>
  <c r="A166" i="12"/>
  <c r="B165" i="12"/>
  <c r="A165" i="12"/>
  <c r="B164" i="12"/>
  <c r="A164" i="12"/>
  <c r="B163" i="12"/>
  <c r="A163" i="12"/>
  <c r="B162" i="12"/>
  <c r="A162" i="12"/>
  <c r="B161" i="12"/>
  <c r="A161" i="12"/>
  <c r="B160" i="12"/>
  <c r="A160" i="12"/>
  <c r="B159" i="12"/>
  <c r="A159" i="12"/>
  <c r="B158" i="12"/>
  <c r="A158" i="12"/>
  <c r="B157" i="12"/>
  <c r="A157" i="12"/>
  <c r="B156" i="12"/>
  <c r="A156" i="12"/>
  <c r="B155" i="12"/>
  <c r="A155" i="12"/>
  <c r="B154" i="12"/>
  <c r="A154" i="12"/>
  <c r="B153" i="12"/>
  <c r="A153" i="12"/>
  <c r="B152" i="12"/>
  <c r="A152" i="12"/>
  <c r="B151" i="12"/>
  <c r="A151" i="12"/>
  <c r="B150" i="12"/>
  <c r="A150" i="12"/>
  <c r="B149" i="12"/>
  <c r="A149" i="12"/>
  <c r="B148" i="12"/>
  <c r="A148" i="12"/>
  <c r="B147" i="12"/>
  <c r="A147" i="12"/>
  <c r="B146" i="12"/>
  <c r="A146" i="12"/>
  <c r="B145" i="12"/>
  <c r="A145" i="12"/>
  <c r="B144" i="12"/>
  <c r="A144" i="12"/>
  <c r="B143" i="12"/>
  <c r="A143" i="12"/>
  <c r="B142" i="12"/>
  <c r="A142" i="12"/>
  <c r="B141" i="12"/>
  <c r="A141" i="12"/>
  <c r="B140" i="12"/>
  <c r="A140" i="12"/>
  <c r="B139" i="12"/>
  <c r="A139" i="12"/>
  <c r="B138" i="12"/>
  <c r="A138" i="12"/>
  <c r="B137" i="12"/>
  <c r="A137" i="12"/>
  <c r="B136" i="12"/>
  <c r="A136" i="12"/>
  <c r="B135" i="12"/>
  <c r="A135" i="12"/>
  <c r="B134" i="12"/>
  <c r="A134" i="12"/>
  <c r="B133" i="12"/>
  <c r="A133" i="12"/>
  <c r="B132" i="12"/>
  <c r="A132" i="12"/>
  <c r="B131" i="12"/>
  <c r="A131" i="12"/>
  <c r="B130" i="12"/>
  <c r="A130" i="12"/>
  <c r="B129" i="12"/>
  <c r="A129" i="12"/>
  <c r="B128" i="12"/>
  <c r="A128" i="12"/>
  <c r="B127" i="12"/>
  <c r="A127" i="12"/>
  <c r="B126" i="12"/>
  <c r="A126" i="12"/>
  <c r="B125" i="12"/>
  <c r="A125" i="12"/>
  <c r="B124" i="12"/>
  <c r="A124" i="12"/>
  <c r="B123" i="12"/>
  <c r="A123" i="12"/>
  <c r="B122" i="12"/>
  <c r="A122" i="12"/>
  <c r="B121" i="12"/>
  <c r="A121" i="12"/>
  <c r="B120" i="12"/>
  <c r="A120" i="12"/>
  <c r="B119" i="12"/>
  <c r="A119" i="12"/>
  <c r="B118" i="12"/>
  <c r="A118" i="12"/>
  <c r="B117" i="12"/>
  <c r="A117" i="12"/>
  <c r="B116" i="12"/>
  <c r="A116" i="12"/>
  <c r="B115" i="12"/>
  <c r="A115" i="12"/>
  <c r="B114" i="12"/>
  <c r="A114" i="12"/>
  <c r="B113" i="12"/>
  <c r="A113" i="12"/>
  <c r="B112" i="12"/>
  <c r="A112" i="12"/>
  <c r="B111" i="12"/>
  <c r="A111" i="12"/>
  <c r="B110" i="12"/>
  <c r="A110" i="12"/>
  <c r="B109" i="12"/>
  <c r="A109" i="12"/>
  <c r="B108" i="12"/>
  <c r="A108" i="12"/>
  <c r="B107" i="12"/>
  <c r="A107" i="12"/>
  <c r="B106" i="12"/>
  <c r="A106" i="12"/>
  <c r="B105" i="12"/>
  <c r="A105" i="12"/>
  <c r="B104" i="12"/>
  <c r="A104" i="12"/>
  <c r="B103" i="12"/>
  <c r="A103" i="12"/>
  <c r="B102" i="12"/>
  <c r="A102" i="12"/>
  <c r="B101" i="12"/>
  <c r="A101" i="12"/>
  <c r="B100" i="12"/>
  <c r="A100" i="12"/>
  <c r="B99" i="12"/>
  <c r="A99" i="12"/>
  <c r="B98" i="12"/>
  <c r="A98" i="12"/>
  <c r="B97" i="12"/>
  <c r="C97" i="12" s="1"/>
  <c r="A97" i="12"/>
  <c r="B96" i="12"/>
  <c r="A96" i="12"/>
  <c r="B95" i="12"/>
  <c r="A95" i="12"/>
  <c r="B94" i="12"/>
  <c r="A94" i="12"/>
  <c r="B93" i="12"/>
  <c r="C93" i="12" s="1"/>
  <c r="A93" i="12"/>
  <c r="B92" i="12"/>
  <c r="A92" i="12"/>
  <c r="B91" i="12"/>
  <c r="A91" i="12"/>
  <c r="B90" i="12"/>
  <c r="A90" i="12"/>
  <c r="B89" i="12"/>
  <c r="C89" i="12" s="1"/>
  <c r="A89" i="12"/>
  <c r="B88" i="12"/>
  <c r="A88" i="12"/>
  <c r="B87" i="12"/>
  <c r="A87" i="12"/>
  <c r="B86" i="12"/>
  <c r="A86" i="12"/>
  <c r="B85" i="12"/>
  <c r="A85" i="12"/>
  <c r="B84" i="12"/>
  <c r="A84" i="12"/>
  <c r="B83" i="12"/>
  <c r="A83" i="12"/>
  <c r="B82" i="12"/>
  <c r="A82" i="12"/>
  <c r="B81" i="12"/>
  <c r="A81" i="12"/>
  <c r="B80" i="12"/>
  <c r="A80" i="12"/>
  <c r="B79" i="12"/>
  <c r="A79" i="12"/>
  <c r="B78" i="12"/>
  <c r="A78" i="12"/>
  <c r="B77" i="12"/>
  <c r="C77" i="12" s="1"/>
  <c r="A77" i="12"/>
  <c r="B76" i="12"/>
  <c r="A76" i="12"/>
  <c r="B75" i="12"/>
  <c r="A75" i="12"/>
  <c r="B74" i="12"/>
  <c r="A74" i="12"/>
  <c r="B73" i="12"/>
  <c r="A73" i="12"/>
  <c r="B72" i="12"/>
  <c r="A72" i="12"/>
  <c r="B71" i="12"/>
  <c r="A71" i="12"/>
  <c r="B70" i="12"/>
  <c r="A70" i="12"/>
  <c r="B69" i="12"/>
  <c r="A69" i="12"/>
  <c r="B68" i="12"/>
  <c r="A68" i="12"/>
  <c r="B67" i="12"/>
  <c r="A67" i="12"/>
  <c r="B66" i="12"/>
  <c r="A66" i="12"/>
  <c r="B65" i="12"/>
  <c r="A65" i="12"/>
  <c r="B64" i="12"/>
  <c r="A64" i="12"/>
  <c r="B63" i="12"/>
  <c r="A63" i="12"/>
  <c r="B62" i="12"/>
  <c r="A62" i="12"/>
  <c r="B61" i="12"/>
  <c r="A61" i="12"/>
  <c r="B60" i="12"/>
  <c r="A60" i="12"/>
  <c r="B59" i="12"/>
  <c r="A59" i="12"/>
  <c r="B58" i="12"/>
  <c r="A58" i="12"/>
  <c r="B57" i="12"/>
  <c r="A57" i="12"/>
  <c r="B56" i="12"/>
  <c r="A56" i="12"/>
  <c r="B55" i="12"/>
  <c r="A55" i="12"/>
  <c r="B54" i="12"/>
  <c r="A54" i="12"/>
  <c r="B53" i="12"/>
  <c r="A53" i="12"/>
  <c r="B52" i="12"/>
  <c r="A52" i="12"/>
  <c r="B51" i="12"/>
  <c r="A51" i="12"/>
  <c r="B50" i="12"/>
  <c r="A50" i="12"/>
  <c r="B49" i="12"/>
  <c r="C49" i="12" s="1"/>
  <c r="A49" i="12"/>
  <c r="B48" i="12"/>
  <c r="A48" i="12"/>
  <c r="B47" i="12"/>
  <c r="A47" i="12"/>
  <c r="B46" i="12"/>
  <c r="A46" i="12"/>
  <c r="B45" i="12"/>
  <c r="C45" i="12" s="1"/>
  <c r="A45" i="12"/>
  <c r="B44" i="12"/>
  <c r="A44" i="12"/>
  <c r="B43" i="12"/>
  <c r="A43" i="12"/>
  <c r="B42" i="12"/>
  <c r="A42" i="12"/>
  <c r="B41" i="12"/>
  <c r="C41" i="12" s="1"/>
  <c r="A41" i="12"/>
  <c r="B40" i="12"/>
  <c r="A40" i="12"/>
  <c r="B39" i="12"/>
  <c r="A39" i="12"/>
  <c r="B38" i="12"/>
  <c r="A38" i="12"/>
  <c r="B37" i="12"/>
  <c r="A37" i="12"/>
  <c r="B36" i="12"/>
  <c r="A36" i="12"/>
  <c r="B35" i="12"/>
  <c r="A35" i="12"/>
  <c r="B34" i="12"/>
  <c r="A34" i="12"/>
  <c r="B33" i="12"/>
  <c r="A33" i="12"/>
  <c r="B32" i="12"/>
  <c r="A32" i="12"/>
  <c r="B31" i="12"/>
  <c r="A31" i="12"/>
  <c r="B30" i="12"/>
  <c r="A30" i="12"/>
  <c r="B29" i="12"/>
  <c r="A29" i="12"/>
  <c r="B28" i="12"/>
  <c r="A28" i="12"/>
  <c r="B27" i="12"/>
  <c r="A27" i="12"/>
  <c r="B26" i="12"/>
  <c r="A26" i="12"/>
  <c r="B25" i="12"/>
  <c r="A25" i="12"/>
  <c r="B24" i="12"/>
  <c r="A24" i="12"/>
  <c r="B23" i="12"/>
  <c r="A23" i="12"/>
  <c r="B22" i="12"/>
  <c r="A22" i="12"/>
  <c r="B21" i="12"/>
  <c r="A21" i="12"/>
  <c r="B20" i="12"/>
  <c r="A20" i="12"/>
  <c r="B19" i="12"/>
  <c r="A19" i="12"/>
  <c r="AC18" i="12"/>
  <c r="AB18" i="12"/>
  <c r="AA18" i="12"/>
  <c r="Z18" i="12"/>
  <c r="X18" i="12"/>
  <c r="Y18" i="12"/>
  <c r="N18" i="12"/>
  <c r="N17" i="12" s="1"/>
  <c r="B18" i="12"/>
  <c r="A18" i="12"/>
  <c r="C18" i="12" s="1"/>
  <c r="AA17" i="12"/>
  <c r="Y17" i="12"/>
  <c r="Z17" i="12"/>
  <c r="B17" i="12"/>
  <c r="A17" i="12"/>
  <c r="B16" i="12"/>
  <c r="A16" i="12"/>
  <c r="B15" i="12"/>
  <c r="A15" i="12"/>
  <c r="B14" i="12"/>
  <c r="A14" i="12"/>
  <c r="B13" i="12"/>
  <c r="A13" i="12"/>
  <c r="B12" i="12"/>
  <c r="A12" i="12"/>
  <c r="B11" i="12"/>
  <c r="A11" i="12"/>
  <c r="B10" i="12"/>
  <c r="A10" i="12"/>
  <c r="B9" i="12"/>
  <c r="A9" i="12"/>
  <c r="A509" i="11"/>
  <c r="A508" i="11"/>
  <c r="A507" i="11"/>
  <c r="A506" i="11"/>
  <c r="A505" i="11"/>
  <c r="A504" i="11"/>
  <c r="A503" i="11"/>
  <c r="A502" i="11"/>
  <c r="A501" i="11"/>
  <c r="A500" i="11"/>
  <c r="A499" i="11"/>
  <c r="A498" i="11"/>
  <c r="A497" i="11"/>
  <c r="A496" i="11"/>
  <c r="A495" i="11"/>
  <c r="A494" i="11"/>
  <c r="A493" i="11"/>
  <c r="A492" i="11"/>
  <c r="A491" i="11"/>
  <c r="A490" i="11"/>
  <c r="A489" i="11"/>
  <c r="A488" i="11"/>
  <c r="A487" i="11"/>
  <c r="A486" i="11"/>
  <c r="A485" i="11"/>
  <c r="A484" i="11"/>
  <c r="A483" i="11"/>
  <c r="A482" i="11"/>
  <c r="A481" i="11"/>
  <c r="A480" i="11"/>
  <c r="A479" i="11"/>
  <c r="A478" i="11"/>
  <c r="A477" i="11"/>
  <c r="A476" i="11"/>
  <c r="A475" i="11"/>
  <c r="A474" i="11"/>
  <c r="A473" i="11"/>
  <c r="A472" i="11"/>
  <c r="A471" i="11"/>
  <c r="A470" i="11"/>
  <c r="A469" i="11"/>
  <c r="A468" i="11"/>
  <c r="A467" i="11"/>
  <c r="A466" i="11"/>
  <c r="A465" i="11"/>
  <c r="A464" i="11"/>
  <c r="A463" i="11"/>
  <c r="A462" i="11"/>
  <c r="A461" i="11"/>
  <c r="A460" i="11"/>
  <c r="A459" i="11"/>
  <c r="A458" i="11"/>
  <c r="A457" i="11"/>
  <c r="A456" i="11"/>
  <c r="A455" i="11"/>
  <c r="A454" i="11"/>
  <c r="A453" i="11"/>
  <c r="A452" i="11"/>
  <c r="A451" i="11"/>
  <c r="A450" i="11"/>
  <c r="A449" i="11"/>
  <c r="A448" i="11"/>
  <c r="A447" i="11"/>
  <c r="A446" i="11"/>
  <c r="A445" i="11"/>
  <c r="A444" i="11"/>
  <c r="A443" i="11"/>
  <c r="A442" i="11"/>
  <c r="A441" i="11"/>
  <c r="A440" i="11"/>
  <c r="A439" i="11"/>
  <c r="A438" i="11"/>
  <c r="A437" i="11"/>
  <c r="A436" i="11"/>
  <c r="A435" i="11"/>
  <c r="A434" i="11"/>
  <c r="A433" i="11"/>
  <c r="A432" i="11"/>
  <c r="A431" i="11"/>
  <c r="A430" i="11"/>
  <c r="A429" i="11"/>
  <c r="A428" i="11"/>
  <c r="A427" i="11"/>
  <c r="A426" i="11"/>
  <c r="A425" i="11"/>
  <c r="A424" i="11"/>
  <c r="A423" i="11"/>
  <c r="A422" i="11"/>
  <c r="A421" i="11"/>
  <c r="A420" i="11"/>
  <c r="A419" i="11"/>
  <c r="A418" i="11"/>
  <c r="A417" i="11"/>
  <c r="A416" i="11"/>
  <c r="A415" i="11"/>
  <c r="A414" i="11"/>
  <c r="A413" i="11"/>
  <c r="A412" i="11"/>
  <c r="A411" i="11"/>
  <c r="A410" i="11"/>
  <c r="A409" i="11"/>
  <c r="A408" i="11"/>
  <c r="A407" i="11"/>
  <c r="A406" i="11"/>
  <c r="A405" i="11"/>
  <c r="A404" i="11"/>
  <c r="A403" i="11"/>
  <c r="A402" i="11"/>
  <c r="A401" i="11"/>
  <c r="A400" i="11"/>
  <c r="A399" i="11"/>
  <c r="A398" i="11"/>
  <c r="A397" i="11"/>
  <c r="A396" i="11"/>
  <c r="A395" i="11"/>
  <c r="A394" i="11"/>
  <c r="A393" i="11"/>
  <c r="A392" i="11"/>
  <c r="A391" i="11"/>
  <c r="A390" i="11"/>
  <c r="A389" i="11"/>
  <c r="A388" i="11"/>
  <c r="A387" i="11"/>
  <c r="A386" i="11"/>
  <c r="A385" i="11"/>
  <c r="A384" i="11"/>
  <c r="A383" i="11"/>
  <c r="A382" i="11"/>
  <c r="A381" i="11"/>
  <c r="A380" i="11"/>
  <c r="A379" i="11"/>
  <c r="A378" i="11"/>
  <c r="A377" i="11"/>
  <c r="A376" i="11"/>
  <c r="A375" i="11"/>
  <c r="A374" i="11"/>
  <c r="A373" i="11"/>
  <c r="A372" i="11"/>
  <c r="A371" i="11"/>
  <c r="A370" i="11"/>
  <c r="A369" i="11"/>
  <c r="A368" i="11"/>
  <c r="A367" i="11"/>
  <c r="A366" i="11"/>
  <c r="A365" i="11"/>
  <c r="A364" i="11"/>
  <c r="A363" i="11"/>
  <c r="A362" i="11"/>
  <c r="A361" i="11"/>
  <c r="A360" i="11"/>
  <c r="A359" i="11"/>
  <c r="A358" i="11"/>
  <c r="A357" i="11"/>
  <c r="A356" i="11"/>
  <c r="A355" i="11"/>
  <c r="A354" i="11"/>
  <c r="A353" i="11"/>
  <c r="A352" i="11"/>
  <c r="A351" i="11"/>
  <c r="A350" i="11"/>
  <c r="A349" i="11"/>
  <c r="A348" i="11"/>
  <c r="A347" i="11"/>
  <c r="A346" i="11"/>
  <c r="A345" i="11"/>
  <c r="A344" i="11"/>
  <c r="A343" i="11"/>
  <c r="A342" i="11"/>
  <c r="A341" i="11"/>
  <c r="A340" i="11"/>
  <c r="A339" i="11"/>
  <c r="A338" i="11"/>
  <c r="A337" i="11"/>
  <c r="A336" i="11"/>
  <c r="A335" i="11"/>
  <c r="A334" i="1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O18" i="11"/>
  <c r="H18" i="11"/>
  <c r="H17" i="11" s="1"/>
  <c r="A18" i="11"/>
  <c r="A17" i="11"/>
  <c r="A16" i="11"/>
  <c r="A15" i="11"/>
  <c r="A14" i="11"/>
  <c r="A13" i="11"/>
  <c r="A12" i="11"/>
  <c r="A11" i="11"/>
  <c r="A10" i="11"/>
  <c r="A9" i="11"/>
  <c r="H1" i="11"/>
  <c r="H2" i="11" s="1"/>
  <c r="B150" i="10"/>
  <c r="A150" i="10"/>
  <c r="B149" i="10"/>
  <c r="A149" i="10"/>
  <c r="B148" i="10"/>
  <c r="A148" i="10"/>
  <c r="B147" i="10"/>
  <c r="A147" i="10"/>
  <c r="B146" i="10"/>
  <c r="A146" i="10"/>
  <c r="B145" i="10"/>
  <c r="A145" i="10"/>
  <c r="B144" i="10"/>
  <c r="A144" i="10"/>
  <c r="B143" i="10"/>
  <c r="A143" i="10"/>
  <c r="B142" i="10"/>
  <c r="A142" i="10"/>
  <c r="B141" i="10"/>
  <c r="A141" i="10"/>
  <c r="B140" i="10"/>
  <c r="A140" i="10"/>
  <c r="B139" i="10"/>
  <c r="A139" i="10"/>
  <c r="B138" i="10"/>
  <c r="A138" i="10"/>
  <c r="B137" i="10"/>
  <c r="A137" i="10"/>
  <c r="B136" i="10"/>
  <c r="A136" i="10"/>
  <c r="B135" i="10"/>
  <c r="A135" i="10"/>
  <c r="B134" i="10"/>
  <c r="A134" i="10"/>
  <c r="B133" i="10"/>
  <c r="A133" i="10"/>
  <c r="B132" i="10"/>
  <c r="A132" i="10"/>
  <c r="B131" i="10"/>
  <c r="A131" i="10"/>
  <c r="B130" i="10"/>
  <c r="A130" i="10"/>
  <c r="B129" i="10"/>
  <c r="A129" i="10"/>
  <c r="B128" i="10"/>
  <c r="A128" i="10"/>
  <c r="B127" i="10"/>
  <c r="A127" i="10"/>
  <c r="B126" i="10"/>
  <c r="A126" i="10"/>
  <c r="B125" i="10"/>
  <c r="A125" i="10"/>
  <c r="B124" i="10"/>
  <c r="A124" i="10"/>
  <c r="B123" i="10"/>
  <c r="A123" i="10"/>
  <c r="B122" i="10"/>
  <c r="A122" i="10"/>
  <c r="B121" i="10"/>
  <c r="A121" i="10"/>
  <c r="B120" i="10"/>
  <c r="A120" i="10"/>
  <c r="B119" i="10"/>
  <c r="A119" i="10"/>
  <c r="B118" i="10"/>
  <c r="A118" i="10"/>
  <c r="B117" i="10"/>
  <c r="A117" i="10"/>
  <c r="B116" i="10"/>
  <c r="A116" i="10"/>
  <c r="B115" i="10"/>
  <c r="A115" i="10"/>
  <c r="B114" i="10"/>
  <c r="A114" i="10"/>
  <c r="B113" i="10"/>
  <c r="A113" i="10"/>
  <c r="B112" i="10"/>
  <c r="A112" i="10"/>
  <c r="B111" i="10"/>
  <c r="A111" i="10"/>
  <c r="B110" i="10"/>
  <c r="A110" i="10"/>
  <c r="B109" i="10"/>
  <c r="A109" i="10"/>
  <c r="B108" i="10"/>
  <c r="A108" i="10"/>
  <c r="B107" i="10"/>
  <c r="A107" i="10"/>
  <c r="B106" i="10"/>
  <c r="A106" i="10"/>
  <c r="B105" i="10"/>
  <c r="A105" i="10"/>
  <c r="B104" i="10"/>
  <c r="A104" i="10"/>
  <c r="B103" i="10"/>
  <c r="A103" i="10"/>
  <c r="B102" i="10"/>
  <c r="A102" i="10"/>
  <c r="B101" i="10"/>
  <c r="A101" i="10"/>
  <c r="B100" i="10"/>
  <c r="A100" i="10"/>
  <c r="B99" i="10"/>
  <c r="A99" i="10"/>
  <c r="B98" i="10"/>
  <c r="A98" i="10"/>
  <c r="B97" i="10"/>
  <c r="A97" i="10"/>
  <c r="B96" i="10"/>
  <c r="A96" i="10"/>
  <c r="B95" i="10"/>
  <c r="A95" i="10"/>
  <c r="B94" i="10"/>
  <c r="A94" i="10"/>
  <c r="B93" i="10"/>
  <c r="A93" i="10"/>
  <c r="B92" i="10"/>
  <c r="A92" i="10"/>
  <c r="B91" i="10"/>
  <c r="A91" i="10"/>
  <c r="B90" i="10"/>
  <c r="A90" i="10"/>
  <c r="B89" i="10"/>
  <c r="A89" i="10"/>
  <c r="B88" i="10"/>
  <c r="A88" i="10"/>
  <c r="B87" i="10"/>
  <c r="A87" i="10"/>
  <c r="B86" i="10"/>
  <c r="A86" i="10"/>
  <c r="B85" i="10"/>
  <c r="A85" i="10"/>
  <c r="B84" i="10"/>
  <c r="A84" i="10"/>
  <c r="B83" i="10"/>
  <c r="A83" i="10"/>
  <c r="B82" i="10"/>
  <c r="A82" i="10"/>
  <c r="B81" i="10"/>
  <c r="A81" i="10"/>
  <c r="B80" i="10"/>
  <c r="A80" i="10"/>
  <c r="B79" i="10"/>
  <c r="A79" i="10"/>
  <c r="B78" i="10"/>
  <c r="A78" i="10"/>
  <c r="B77" i="10"/>
  <c r="A77" i="10"/>
  <c r="B76" i="10"/>
  <c r="A76" i="10"/>
  <c r="B75" i="10"/>
  <c r="A75" i="10"/>
  <c r="B74" i="10"/>
  <c r="A74" i="10"/>
  <c r="B73" i="10"/>
  <c r="A73" i="10"/>
  <c r="B72" i="10"/>
  <c r="A72" i="10"/>
  <c r="B71" i="10"/>
  <c r="A71" i="10"/>
  <c r="B70" i="10"/>
  <c r="A70" i="10"/>
  <c r="B69" i="10"/>
  <c r="A69" i="10"/>
  <c r="B68" i="10"/>
  <c r="A68" i="10"/>
  <c r="B67" i="10"/>
  <c r="A67" i="10"/>
  <c r="B66" i="10"/>
  <c r="A66" i="10"/>
  <c r="B65" i="10"/>
  <c r="A65" i="10"/>
  <c r="B64" i="10"/>
  <c r="A64" i="10"/>
  <c r="B63" i="10"/>
  <c r="A63" i="10"/>
  <c r="B62" i="10"/>
  <c r="A62" i="10"/>
  <c r="B61" i="10"/>
  <c r="A61" i="10"/>
  <c r="B60" i="10"/>
  <c r="A60" i="10"/>
  <c r="B59" i="10"/>
  <c r="A59" i="10"/>
  <c r="B58" i="10"/>
  <c r="A58" i="10"/>
  <c r="B57" i="10"/>
  <c r="A57" i="10"/>
  <c r="B56" i="10"/>
  <c r="A56" i="10"/>
  <c r="B55" i="10"/>
  <c r="A55" i="10"/>
  <c r="B54" i="10"/>
  <c r="A54" i="10"/>
  <c r="B53" i="10"/>
  <c r="A53" i="10"/>
  <c r="B52" i="10"/>
  <c r="A52" i="10"/>
  <c r="B51" i="10"/>
  <c r="A51" i="10"/>
  <c r="B50" i="10"/>
  <c r="A50" i="10"/>
  <c r="B49" i="10"/>
  <c r="A49" i="10"/>
  <c r="B48" i="10"/>
  <c r="A48" i="10"/>
  <c r="B47" i="10"/>
  <c r="A47" i="10"/>
  <c r="B46" i="10"/>
  <c r="A46" i="10"/>
  <c r="B45" i="10"/>
  <c r="A45" i="10"/>
  <c r="B44" i="10"/>
  <c r="A44" i="10"/>
  <c r="B43" i="10"/>
  <c r="A43" i="10"/>
  <c r="B42" i="10"/>
  <c r="A42" i="10"/>
  <c r="B41" i="10"/>
  <c r="A41" i="10"/>
  <c r="B40" i="10"/>
  <c r="A40" i="10"/>
  <c r="B39" i="10"/>
  <c r="A39" i="10"/>
  <c r="B38" i="10"/>
  <c r="A38" i="10"/>
  <c r="B37" i="10"/>
  <c r="A37" i="10"/>
  <c r="B36" i="10"/>
  <c r="A36" i="10"/>
  <c r="B35" i="10"/>
  <c r="A35" i="10"/>
  <c r="B34" i="10"/>
  <c r="A34" i="10"/>
  <c r="B33" i="10"/>
  <c r="A33" i="10"/>
  <c r="B32" i="10"/>
  <c r="A32" i="10"/>
  <c r="B31" i="10"/>
  <c r="A31" i="10"/>
  <c r="B30" i="10"/>
  <c r="A30" i="10"/>
  <c r="B29" i="10"/>
  <c r="A29" i="10"/>
  <c r="B28" i="10"/>
  <c r="A28" i="10"/>
  <c r="B27" i="10"/>
  <c r="A27" i="10"/>
  <c r="B26" i="10"/>
  <c r="A26" i="10"/>
  <c r="B25" i="10"/>
  <c r="A25" i="10"/>
  <c r="B24" i="10"/>
  <c r="A24" i="10"/>
  <c r="B23" i="10"/>
  <c r="A23" i="10"/>
  <c r="B22" i="10"/>
  <c r="A22" i="10"/>
  <c r="B21" i="10"/>
  <c r="A21" i="10"/>
  <c r="B20" i="10"/>
  <c r="A20" i="10"/>
  <c r="B19" i="10"/>
  <c r="A19" i="10"/>
  <c r="B18" i="10"/>
  <c r="A18" i="10"/>
  <c r="B17" i="10"/>
  <c r="A17" i="10"/>
  <c r="B16" i="10"/>
  <c r="A16" i="10"/>
  <c r="B15" i="10"/>
  <c r="A15" i="10"/>
  <c r="B14" i="10"/>
  <c r="A14" i="10"/>
  <c r="B13" i="10"/>
  <c r="A13" i="10"/>
  <c r="B12" i="10"/>
  <c r="A12" i="10"/>
  <c r="B11" i="10"/>
  <c r="A11" i="10"/>
  <c r="B10" i="10"/>
  <c r="A10" i="10"/>
  <c r="B9" i="10"/>
  <c r="A9" i="10"/>
  <c r="A572" i="9"/>
  <c r="A571" i="9"/>
  <c r="A570" i="9"/>
  <c r="A569" i="9"/>
  <c r="A568" i="9"/>
  <c r="A567" i="9"/>
  <c r="A566" i="9"/>
  <c r="A565" i="9"/>
  <c r="A564" i="9"/>
  <c r="A563" i="9"/>
  <c r="A562" i="9"/>
  <c r="A561" i="9"/>
  <c r="A560" i="9"/>
  <c r="A559" i="9"/>
  <c r="A558" i="9"/>
  <c r="A557" i="9"/>
  <c r="A556" i="9"/>
  <c r="A555" i="9"/>
  <c r="A554" i="9"/>
  <c r="A553" i="9"/>
  <c r="A552" i="9"/>
  <c r="A551" i="9"/>
  <c r="A550" i="9"/>
  <c r="A549" i="9"/>
  <c r="A548" i="9"/>
  <c r="A547" i="9"/>
  <c r="A546" i="9"/>
  <c r="A545" i="9"/>
  <c r="A544" i="9"/>
  <c r="A543" i="9"/>
  <c r="A542" i="9"/>
  <c r="A541" i="9"/>
  <c r="A540" i="9"/>
  <c r="A539" i="9"/>
  <c r="A538" i="9"/>
  <c r="A537" i="9"/>
  <c r="A536" i="9"/>
  <c r="A535" i="9"/>
  <c r="A534" i="9"/>
  <c r="A533" i="9"/>
  <c r="A532" i="9"/>
  <c r="A531" i="9"/>
  <c r="A530" i="9"/>
  <c r="A529" i="9"/>
  <c r="A528" i="9"/>
  <c r="A527" i="9"/>
  <c r="A526" i="9"/>
  <c r="A525" i="9"/>
  <c r="A524" i="9"/>
  <c r="A523" i="9"/>
  <c r="A522" i="9"/>
  <c r="A521" i="9"/>
  <c r="A520" i="9"/>
  <c r="A519" i="9"/>
  <c r="A518" i="9"/>
  <c r="A517" i="9"/>
  <c r="A516" i="9"/>
  <c r="A515" i="9"/>
  <c r="A514" i="9"/>
  <c r="A513" i="9"/>
  <c r="A512" i="9"/>
  <c r="A511" i="9"/>
  <c r="A510" i="9"/>
  <c r="A509" i="9"/>
  <c r="A508" i="9"/>
  <c r="A507" i="9"/>
  <c r="A506" i="9"/>
  <c r="A505" i="9"/>
  <c r="A504" i="9"/>
  <c r="A503" i="9"/>
  <c r="A502" i="9"/>
  <c r="A501" i="9"/>
  <c r="A500" i="9"/>
  <c r="A499" i="9"/>
  <c r="A498" i="9"/>
  <c r="A497" i="9"/>
  <c r="A496" i="9"/>
  <c r="A495" i="9"/>
  <c r="A494" i="9"/>
  <c r="A493" i="9"/>
  <c r="A492" i="9"/>
  <c r="A491" i="9"/>
  <c r="A490" i="9"/>
  <c r="A489" i="9"/>
  <c r="A488" i="9"/>
  <c r="A487" i="9"/>
  <c r="A486" i="9"/>
  <c r="A485" i="9"/>
  <c r="A484" i="9"/>
  <c r="A483" i="9"/>
  <c r="A482" i="9"/>
  <c r="A481" i="9"/>
  <c r="A480" i="9"/>
  <c r="A479" i="9"/>
  <c r="A478" i="9"/>
  <c r="A477" i="9"/>
  <c r="A476" i="9"/>
  <c r="A475" i="9"/>
  <c r="A474" i="9"/>
  <c r="A473" i="9"/>
  <c r="A472" i="9"/>
  <c r="A471" i="9"/>
  <c r="A470" i="9"/>
  <c r="A469" i="9"/>
  <c r="A468" i="9"/>
  <c r="A467" i="9"/>
  <c r="A466" i="9"/>
  <c r="A465" i="9"/>
  <c r="A464" i="9"/>
  <c r="A463" i="9"/>
  <c r="A462" i="9"/>
  <c r="A461" i="9"/>
  <c r="A460" i="9"/>
  <c r="A459" i="9"/>
  <c r="A458" i="9"/>
  <c r="A457" i="9"/>
  <c r="A456" i="9"/>
  <c r="A455" i="9"/>
  <c r="A454" i="9"/>
  <c r="A453" i="9"/>
  <c r="A452" i="9"/>
  <c r="A451" i="9"/>
  <c r="A450" i="9"/>
  <c r="A449" i="9"/>
  <c r="A448" i="9"/>
  <c r="A447" i="9"/>
  <c r="A446" i="9"/>
  <c r="A445" i="9"/>
  <c r="A444" i="9"/>
  <c r="A443" i="9"/>
  <c r="A442" i="9"/>
  <c r="A441" i="9"/>
  <c r="A440" i="9"/>
  <c r="A439" i="9"/>
  <c r="A438" i="9"/>
  <c r="A437" i="9"/>
  <c r="A436" i="9"/>
  <c r="A435" i="9"/>
  <c r="A434" i="9"/>
  <c r="A433" i="9"/>
  <c r="A432" i="9"/>
  <c r="A431" i="9"/>
  <c r="A430" i="9"/>
  <c r="A429" i="9"/>
  <c r="A428" i="9"/>
  <c r="A427" i="9"/>
  <c r="A426" i="9"/>
  <c r="A425" i="9"/>
  <c r="A424" i="9"/>
  <c r="A423" i="9"/>
  <c r="A422" i="9"/>
  <c r="A421" i="9"/>
  <c r="A420" i="9"/>
  <c r="A419" i="9"/>
  <c r="A418" i="9"/>
  <c r="A417" i="9"/>
  <c r="A416" i="9"/>
  <c r="A415" i="9"/>
  <c r="A414" i="9"/>
  <c r="A413" i="9"/>
  <c r="A412" i="9"/>
  <c r="A411" i="9"/>
  <c r="A410" i="9"/>
  <c r="A409" i="9"/>
  <c r="A408" i="9"/>
  <c r="A407" i="9"/>
  <c r="A406" i="9"/>
  <c r="A405" i="9"/>
  <c r="A404" i="9"/>
  <c r="A403" i="9"/>
  <c r="A402" i="9"/>
  <c r="A401" i="9"/>
  <c r="A400" i="9"/>
  <c r="A399" i="9"/>
  <c r="A398" i="9"/>
  <c r="A397" i="9"/>
  <c r="A396" i="9"/>
  <c r="A395" i="9"/>
  <c r="A394" i="9"/>
  <c r="A393" i="9"/>
  <c r="A392" i="9"/>
  <c r="A391" i="9"/>
  <c r="A390" i="9"/>
  <c r="A389" i="9"/>
  <c r="A388" i="9"/>
  <c r="A387" i="9"/>
  <c r="A386" i="9"/>
  <c r="A385" i="9"/>
  <c r="A384" i="9"/>
  <c r="A383" i="9"/>
  <c r="A382" i="9"/>
  <c r="A381" i="9"/>
  <c r="A380" i="9"/>
  <c r="A379" i="9"/>
  <c r="A378" i="9"/>
  <c r="A377" i="9"/>
  <c r="A376" i="9"/>
  <c r="A375" i="9"/>
  <c r="A374" i="9"/>
  <c r="A373" i="9"/>
  <c r="A372" i="9"/>
  <c r="A371" i="9"/>
  <c r="A370" i="9"/>
  <c r="A369" i="9"/>
  <c r="A368" i="9"/>
  <c r="A367" i="9"/>
  <c r="A366" i="9"/>
  <c r="A365" i="9"/>
  <c r="A364" i="9"/>
  <c r="A363" i="9"/>
  <c r="A362" i="9"/>
  <c r="A361" i="9"/>
  <c r="A360" i="9"/>
  <c r="A359" i="9"/>
  <c r="A358" i="9"/>
  <c r="A357" i="9"/>
  <c r="A356" i="9"/>
  <c r="A355" i="9"/>
  <c r="A354" i="9"/>
  <c r="A353" i="9"/>
  <c r="A352" i="9"/>
  <c r="A351" i="9"/>
  <c r="A350" i="9"/>
  <c r="A349" i="9"/>
  <c r="A348" i="9"/>
  <c r="A347" i="9"/>
  <c r="A346" i="9"/>
  <c r="A345" i="9"/>
  <c r="A344" i="9"/>
  <c r="A343" i="9"/>
  <c r="A342" i="9"/>
  <c r="A341" i="9"/>
  <c r="A340" i="9"/>
  <c r="A339" i="9"/>
  <c r="A338" i="9"/>
  <c r="A337" i="9"/>
  <c r="A336" i="9"/>
  <c r="A335" i="9"/>
  <c r="A334" i="9"/>
  <c r="A333" i="9"/>
  <c r="A332" i="9"/>
  <c r="A331" i="9"/>
  <c r="A330" i="9"/>
  <c r="A329" i="9"/>
  <c r="A328" i="9"/>
  <c r="A327" i="9"/>
  <c r="A326" i="9"/>
  <c r="A325" i="9"/>
  <c r="A324" i="9"/>
  <c r="A323" i="9"/>
  <c r="A322" i="9"/>
  <c r="A321" i="9"/>
  <c r="A320" i="9"/>
  <c r="A319" i="9"/>
  <c r="A318" i="9"/>
  <c r="A317" i="9"/>
  <c r="A316" i="9"/>
  <c r="A315" i="9"/>
  <c r="A314" i="9"/>
  <c r="A313" i="9"/>
  <c r="A312" i="9"/>
  <c r="A311" i="9"/>
  <c r="A310" i="9"/>
  <c r="A309" i="9"/>
  <c r="A308" i="9"/>
  <c r="A307" i="9"/>
  <c r="A306" i="9"/>
  <c r="A305" i="9"/>
  <c r="A304" i="9"/>
  <c r="A303" i="9"/>
  <c r="A302" i="9"/>
  <c r="A301" i="9"/>
  <c r="A300" i="9"/>
  <c r="A299" i="9"/>
  <c r="A298" i="9"/>
  <c r="A297" i="9"/>
  <c r="A296" i="9"/>
  <c r="A295" i="9"/>
  <c r="A294" i="9"/>
  <c r="A293" i="9"/>
  <c r="A292" i="9"/>
  <c r="A291" i="9"/>
  <c r="A290" i="9"/>
  <c r="A289" i="9"/>
  <c r="A288" i="9"/>
  <c r="A287" i="9"/>
  <c r="A286" i="9"/>
  <c r="A285" i="9"/>
  <c r="A284" i="9"/>
  <c r="A283" i="9"/>
  <c r="A282" i="9"/>
  <c r="A281" i="9"/>
  <c r="A280" i="9"/>
  <c r="A279" i="9"/>
  <c r="A278" i="9"/>
  <c r="A277" i="9"/>
  <c r="A276" i="9"/>
  <c r="A275" i="9"/>
  <c r="A274" i="9"/>
  <c r="A273" i="9"/>
  <c r="A272" i="9"/>
  <c r="A271" i="9"/>
  <c r="A270" i="9"/>
  <c r="A269" i="9"/>
  <c r="A268" i="9"/>
  <c r="A267" i="9"/>
  <c r="A266" i="9"/>
  <c r="A265" i="9"/>
  <c r="A264" i="9"/>
  <c r="A263" i="9"/>
  <c r="A262" i="9"/>
  <c r="A261" i="9"/>
  <c r="A260" i="9"/>
  <c r="A259" i="9"/>
  <c r="A258" i="9"/>
  <c r="A257" i="9"/>
  <c r="A256" i="9"/>
  <c r="A255" i="9"/>
  <c r="A254" i="9"/>
  <c r="A253" i="9"/>
  <c r="A252" i="9"/>
  <c r="A251" i="9"/>
  <c r="A250" i="9"/>
  <c r="A249" i="9"/>
  <c r="A248" i="9"/>
  <c r="A247" i="9"/>
  <c r="A246" i="9"/>
  <c r="A245" i="9"/>
  <c r="A244"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8"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X18" i="9"/>
  <c r="AA18" i="9" s="1"/>
  <c r="M18" i="9"/>
  <c r="M17" i="9" s="1"/>
  <c r="A18" i="9"/>
  <c r="A17" i="9"/>
  <c r="A16" i="9"/>
  <c r="A15" i="9"/>
  <c r="A14" i="9"/>
  <c r="A13" i="9"/>
  <c r="A12" i="9"/>
  <c r="A11" i="9"/>
  <c r="A10" i="9"/>
  <c r="A9" i="9"/>
  <c r="M1" i="9"/>
  <c r="M2" i="9" s="1"/>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B9" i="8"/>
  <c r="H1" i="8"/>
  <c r="H2" i="8" s="1"/>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S18" i="7"/>
  <c r="U18" i="7" s="1"/>
  <c r="K18" i="7"/>
  <c r="K17" i="7" s="1"/>
  <c r="A18" i="7"/>
  <c r="A17" i="7"/>
  <c r="A16" i="7"/>
  <c r="A15" i="7"/>
  <c r="A14" i="7"/>
  <c r="A13" i="7"/>
  <c r="A12" i="7"/>
  <c r="A11" i="7"/>
  <c r="A10" i="7"/>
  <c r="A9" i="7"/>
  <c r="I37" i="6"/>
  <c r="I39" i="6" s="1"/>
  <c r="H37" i="6"/>
  <c r="H39" i="6" s="1"/>
  <c r="G37" i="6"/>
  <c r="G39" i="6" s="1"/>
  <c r="F37" i="6"/>
  <c r="F39" i="6" s="1"/>
  <c r="E37" i="6"/>
  <c r="D37" i="6"/>
  <c r="C37" i="6"/>
  <c r="C39" i="6" s="1"/>
  <c r="B37" i="6"/>
  <c r="B39" i="6" s="1"/>
  <c r="J19" i="6"/>
  <c r="H19" i="6"/>
  <c r="H21" i="6" s="1"/>
  <c r="G19" i="6"/>
  <c r="F19" i="6"/>
  <c r="E19" i="6"/>
  <c r="D19" i="6"/>
  <c r="C19" i="6"/>
  <c r="B19" i="6"/>
  <c r="B21" i="6" s="1"/>
  <c r="A3" i="6"/>
  <c r="A2" i="6" s="1"/>
  <c r="G11" i="4"/>
  <c r="G10" i="4"/>
  <c r="B10" i="4"/>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A10" i="4"/>
  <c r="I9" i="4"/>
  <c r="G9" i="4"/>
  <c r="E9" i="4"/>
  <c r="C8" i="13"/>
  <c r="B8" i="13"/>
  <c r="G1" i="14"/>
  <c r="BL1" i="15"/>
  <c r="DA1" i="15"/>
  <c r="AG1" i="15"/>
  <c r="BO1" i="16"/>
  <c r="U1" i="14"/>
  <c r="CY1" i="16"/>
  <c r="AU1" i="14"/>
  <c r="BU1" i="16"/>
  <c r="CN1" i="15"/>
  <c r="AD1" i="15"/>
  <c r="BK1" i="15"/>
  <c r="F1" i="15"/>
  <c r="AG1" i="16"/>
  <c r="S1" i="15"/>
  <c r="AO1" i="16"/>
  <c r="BL1" i="16"/>
  <c r="CL1" i="15"/>
  <c r="FM1" i="15"/>
  <c r="FX1" i="15"/>
  <c r="AO1" i="15"/>
  <c r="AZ1" i="15"/>
  <c r="W1" i="16"/>
  <c r="CH1" i="15"/>
  <c r="EW1" i="15"/>
  <c r="CS1" i="16"/>
  <c r="Q1" i="15"/>
  <c r="CY1" i="15"/>
  <c r="FV1" i="15"/>
  <c r="CF1" i="15"/>
  <c r="DC1" i="15"/>
  <c r="AI1" i="16"/>
  <c r="CU1" i="15"/>
  <c r="CO1" i="15"/>
  <c r="R1" i="15"/>
  <c r="DK1" i="15"/>
  <c r="CG1" i="15"/>
  <c r="W1" i="14"/>
  <c r="BE1" i="14"/>
  <c r="S1" i="16"/>
  <c r="BW1" i="16"/>
  <c r="DT1" i="15"/>
  <c r="AE1" i="14"/>
  <c r="CZ1" i="15"/>
  <c r="Z1" i="6"/>
  <c r="CT1" i="16"/>
  <c r="CI1" i="15"/>
  <c r="E1" i="16"/>
  <c r="BC1" i="14"/>
  <c r="BN1" i="16"/>
  <c r="AS1" i="14"/>
  <c r="DF1" i="15"/>
  <c r="AW1" i="14"/>
  <c r="O1" i="16"/>
  <c r="AH1" i="15"/>
  <c r="BF1" i="14"/>
  <c r="AH1" i="16"/>
  <c r="CT1" i="15"/>
  <c r="CZ1" i="16"/>
  <c r="FP1" i="15"/>
  <c r="AA1" i="15"/>
  <c r="AX1" i="16"/>
  <c r="H1" i="14"/>
  <c r="DW1" i="15"/>
  <c r="BN1" i="15"/>
  <c r="AW1" i="16"/>
  <c r="EV1" i="15"/>
  <c r="BX1" i="15"/>
  <c r="AD1" i="16"/>
  <c r="DR1" i="15"/>
  <c r="AL1" i="16"/>
  <c r="AJ1" i="14"/>
  <c r="CI1" i="16"/>
  <c r="EK1" i="15"/>
  <c r="L1" i="15"/>
  <c r="AF1" i="16"/>
  <c r="GF1" i="15"/>
  <c r="EN1" i="15"/>
  <c r="DZ1" i="15"/>
  <c r="DV1" i="15"/>
  <c r="M1" i="16"/>
  <c r="EH1" i="15"/>
  <c r="ET1" i="15"/>
  <c r="AF1" i="14"/>
  <c r="BW1" i="15"/>
  <c r="O1" i="6"/>
  <c r="BV1" i="15"/>
  <c r="DD1" i="16"/>
  <c r="AK1" i="15"/>
  <c r="AX1" i="15"/>
  <c r="BH1" i="15"/>
  <c r="BY1" i="16"/>
  <c r="AR1" i="16"/>
  <c r="EB1" i="15"/>
  <c r="CU1" i="16"/>
  <c r="E1" i="14"/>
  <c r="I1" i="14"/>
  <c r="T1" i="15"/>
  <c r="DJ1" i="15"/>
  <c r="EQ1" i="15"/>
  <c r="X1" i="14"/>
  <c r="D1" i="16"/>
  <c r="AC1" i="16"/>
  <c r="X1" i="6"/>
  <c r="CD1" i="15"/>
  <c r="DC1" i="16"/>
  <c r="C1" i="14"/>
  <c r="CP1" i="15"/>
  <c r="BJ1" i="16"/>
  <c r="J1" i="15"/>
  <c r="FT1" i="15"/>
  <c r="AN1" i="15"/>
  <c r="AY1" i="16"/>
  <c r="FL1" i="15"/>
  <c r="DY1" i="15"/>
  <c r="H1" i="15"/>
  <c r="Y1" i="15"/>
  <c r="DE1" i="15"/>
  <c r="AH1" i="14"/>
  <c r="EX1" i="15"/>
  <c r="AV1" i="14"/>
  <c r="CV1" i="16"/>
  <c r="AQ1" i="15"/>
  <c r="BO1" i="15"/>
  <c r="EI1" i="15"/>
  <c r="C1" i="16"/>
  <c r="O1" i="15"/>
  <c r="BM1" i="16"/>
  <c r="DH1" i="15"/>
  <c r="P1" i="14"/>
  <c r="AF1" i="15"/>
  <c r="FC1" i="15"/>
  <c r="AM1" i="16"/>
  <c r="C1" i="6"/>
  <c r="DS1" i="15"/>
  <c r="AJ1" i="15"/>
  <c r="FH1" i="15"/>
  <c r="BK1" i="16"/>
  <c r="K1" i="16"/>
  <c r="DA1" i="16"/>
  <c r="BG1" i="15"/>
  <c r="P1" i="15"/>
  <c r="D1" i="14"/>
  <c r="GA1" i="15"/>
  <c r="AD1" i="14"/>
  <c r="DD1" i="15"/>
  <c r="BZ1" i="16"/>
  <c r="B1" i="15"/>
  <c r="AG1" i="14"/>
  <c r="AX1" i="14"/>
  <c r="DG1" i="15"/>
  <c r="BD1" i="15"/>
  <c r="CX1" i="16"/>
  <c r="FD1" i="15"/>
  <c r="Q1" i="16"/>
  <c r="AE1" i="15"/>
  <c r="FS1" i="15"/>
  <c r="U1" i="16"/>
  <c r="GE1" i="15"/>
  <c r="CH1" i="16"/>
  <c r="P1" i="6"/>
  <c r="CL1" i="16"/>
  <c r="GH1" i="15"/>
  <c r="AT1" i="16"/>
  <c r="AU1" i="16"/>
  <c r="T1" i="14"/>
  <c r="R1" i="6"/>
  <c r="EJ1" i="15"/>
  <c r="L1" i="14"/>
  <c r="AT1" i="14"/>
  <c r="CF1" i="16"/>
  <c r="K1" i="15"/>
  <c r="M1" i="14"/>
  <c r="AR1" i="14"/>
  <c r="CR1" i="15"/>
  <c r="Q1" i="6"/>
  <c r="CS1" i="15"/>
  <c r="AA1" i="14"/>
  <c r="ER1" i="15"/>
  <c r="BD1" i="16"/>
  <c r="BS1" i="15"/>
  <c r="BA1" i="14"/>
  <c r="FJ1" i="15"/>
  <c r="U1" i="15"/>
  <c r="AV1" i="16"/>
  <c r="BI1" i="15"/>
  <c r="ES1" i="15"/>
  <c r="V1" i="6"/>
  <c r="EY1" i="15"/>
  <c r="EA1" i="15"/>
  <c r="BV1" i="16"/>
  <c r="P1" i="16"/>
  <c r="FO1" i="15"/>
  <c r="CW1" i="15"/>
  <c r="AK1" i="16"/>
  <c r="W1" i="15"/>
  <c r="FN1" i="15"/>
  <c r="AR1" i="15"/>
  <c r="N1" i="6"/>
  <c r="FU1" i="15"/>
  <c r="BX1" i="16"/>
  <c r="BE1" i="15"/>
  <c r="AZ1" i="14"/>
  <c r="CR1" i="16"/>
  <c r="R1" i="14"/>
  <c r="GG1" i="15"/>
  <c r="CJ1" i="16"/>
  <c r="EG1" i="15"/>
  <c r="W1" i="6"/>
  <c r="AT1" i="15"/>
  <c r="S1" i="14"/>
  <c r="FQ1" i="15"/>
  <c r="G1" i="16"/>
  <c r="BT1" i="16"/>
  <c r="S1" i="6"/>
  <c r="BJ1" i="15"/>
  <c r="CE1" i="16"/>
  <c r="CA1" i="16"/>
  <c r="CB1" i="16"/>
  <c r="FA1" i="15"/>
  <c r="AP1" i="15"/>
  <c r="AW1" i="15"/>
  <c r="DP1" i="15"/>
  <c r="M1" i="15"/>
  <c r="FB1" i="15"/>
  <c r="G1" i="15"/>
  <c r="EZ1" i="15"/>
  <c r="AI1" i="14"/>
  <c r="EE1" i="15"/>
  <c r="AI1" i="15"/>
  <c r="F1" i="16"/>
  <c r="AS1" i="16"/>
  <c r="FE1" i="15"/>
  <c r="BQ1" i="15"/>
  <c r="N1" i="16"/>
  <c r="BZ1" i="15"/>
  <c r="CP1" i="16"/>
  <c r="V1" i="16"/>
  <c r="CM1" i="15"/>
  <c r="CN1" i="16"/>
  <c r="BA1" i="15"/>
  <c r="FR1" i="15"/>
  <c r="ED1" i="15"/>
  <c r="K1" i="6"/>
  <c r="CV1" i="15"/>
  <c r="BA1" i="16"/>
  <c r="N1" i="14"/>
  <c r="AB1" i="16"/>
  <c r="CO1" i="16"/>
  <c r="CQ1" i="15"/>
  <c r="AC1" i="15"/>
  <c r="CG1" i="16"/>
  <c r="CW1" i="16"/>
  <c r="BP1" i="15"/>
  <c r="AS1" i="15"/>
  <c r="GB1" i="15"/>
  <c r="AZ1" i="16"/>
  <c r="CD1" i="16"/>
  <c r="AY1" i="15"/>
  <c r="AY1" i="14"/>
  <c r="AU1" i="15"/>
  <c r="N1" i="15"/>
  <c r="Z1" i="15"/>
  <c r="BR1" i="15"/>
  <c r="CK1" i="15"/>
  <c r="H1" i="16"/>
  <c r="FY1" i="15"/>
  <c r="Z1" i="14"/>
  <c r="AN1" i="16"/>
  <c r="V1" i="15"/>
  <c r="DN1" i="15"/>
  <c r="DI1" i="15"/>
  <c r="CX1" i="15"/>
  <c r="AC1" i="14"/>
  <c r="DU1" i="15"/>
  <c r="U1" i="6"/>
  <c r="DQ1" i="15"/>
  <c r="FW1" i="15"/>
  <c r="BC1" i="16"/>
  <c r="CC1" i="16"/>
  <c r="EU1" i="15"/>
  <c r="AP1" i="16"/>
  <c r="AM1" i="15"/>
  <c r="AK1" i="14"/>
  <c r="H3" i="11"/>
  <c r="CJ1" i="15"/>
  <c r="X1" i="15"/>
  <c r="DX1" i="15"/>
  <c r="BR1" i="16"/>
  <c r="F1" i="14"/>
  <c r="L1" i="16"/>
  <c r="AJ1" i="16"/>
  <c r="CQ1" i="16"/>
  <c r="B1" i="6"/>
  <c r="EC1" i="15"/>
  <c r="BI1" i="16"/>
  <c r="J1" i="14"/>
  <c r="EM1" i="15"/>
  <c r="CM1" i="16"/>
  <c r="BC1" i="15"/>
  <c r="K1" i="14"/>
  <c r="AV1" i="15"/>
  <c r="FG1" i="15"/>
  <c r="GD1" i="15"/>
  <c r="T1" i="6"/>
  <c r="AA1" i="16"/>
  <c r="Y1" i="14"/>
  <c r="M1" i="6"/>
  <c r="BP1" i="16"/>
  <c r="AB1" i="14"/>
  <c r="FI1" i="15"/>
  <c r="AL1" i="15"/>
  <c r="C1" i="15"/>
  <c r="BT1" i="15"/>
  <c r="V1" i="14"/>
  <c r="BU1" i="15"/>
  <c r="DM1" i="15"/>
  <c r="BG1" i="14"/>
  <c r="GC1" i="15"/>
  <c r="BF1" i="15"/>
  <c r="AB1" i="15"/>
  <c r="T1" i="16"/>
  <c r="E1" i="15"/>
  <c r="BF1" i="16"/>
  <c r="BS1" i="16"/>
  <c r="BE1" i="16"/>
  <c r="DB1" i="16"/>
  <c r="BB1" i="16"/>
  <c r="B1" i="16"/>
  <c r="R1" i="16"/>
  <c r="CB1" i="15"/>
  <c r="FF1" i="15"/>
  <c r="BB1" i="14"/>
  <c r="L1" i="6"/>
  <c r="Q1" i="14"/>
  <c r="BH1" i="16"/>
  <c r="FK1" i="15"/>
  <c r="EO1" i="15"/>
  <c r="AQ1" i="16"/>
  <c r="BG1" i="16"/>
  <c r="I1" i="16"/>
  <c r="EL1" i="15"/>
  <c r="BQ1" i="16"/>
  <c r="AE1" i="16"/>
  <c r="BB1" i="15"/>
  <c r="BM1" i="15"/>
  <c r="DO1" i="15"/>
  <c r="CK1" i="16"/>
  <c r="EP1" i="15"/>
  <c r="EF1" i="15"/>
  <c r="FZ1" i="15"/>
  <c r="CC1" i="15"/>
  <c r="CE1" i="15"/>
  <c r="D1" i="15"/>
  <c r="I1" i="15"/>
  <c r="BY1" i="15"/>
  <c r="B1" i="14"/>
  <c r="J1" i="16"/>
  <c r="O1" i="14"/>
  <c r="H3" i="8"/>
  <c r="M3" i="9"/>
  <c r="Y1" i="6"/>
  <c r="DL1" i="15"/>
  <c r="DB1" i="15"/>
  <c r="BD1" i="14"/>
  <c r="CA1" i="15"/>
  <c r="T8" i="13" l="1"/>
  <c r="A23" i="13"/>
  <c r="J21" i="6"/>
  <c r="J23" i="6"/>
  <c r="E39" i="6"/>
  <c r="E21" i="6"/>
  <c r="D39" i="6"/>
  <c r="C21" i="6"/>
  <c r="D21" i="6"/>
  <c r="C199" i="12"/>
  <c r="U66" i="17"/>
  <c r="BB61" i="17"/>
  <c r="AB74" i="17"/>
  <c r="Q73" i="17"/>
  <c r="F72" i="17"/>
  <c r="AV70" i="17"/>
  <c r="AK69" i="17"/>
  <c r="Z68" i="17"/>
  <c r="O67" i="17"/>
  <c r="D66" i="17"/>
  <c r="AT64" i="17"/>
  <c r="AI63" i="17"/>
  <c r="X62" i="17"/>
  <c r="C74" i="17"/>
  <c r="AS72" i="17"/>
  <c r="AH71" i="17"/>
  <c r="W70" i="17"/>
  <c r="L69" i="17"/>
  <c r="BB67" i="17"/>
  <c r="AQ66" i="17"/>
  <c r="AF65" i="17"/>
  <c r="U64" i="17"/>
  <c r="J63" i="17"/>
  <c r="AP74" i="17"/>
  <c r="AE73" i="17"/>
  <c r="T72" i="17"/>
  <c r="I71" i="17"/>
  <c r="AY69" i="17"/>
  <c r="AN68" i="17"/>
  <c r="AC67" i="17"/>
  <c r="R66" i="17"/>
  <c r="G65" i="17"/>
  <c r="AW63" i="17"/>
  <c r="AL62" i="17"/>
  <c r="BB73" i="17"/>
  <c r="AQ72" i="17"/>
  <c r="AF71" i="17"/>
  <c r="U70" i="17"/>
  <c r="J69" i="17"/>
  <c r="AZ67" i="17"/>
  <c r="AO66" i="17"/>
  <c r="AD65" i="17"/>
  <c r="S64" i="17"/>
  <c r="H63" i="17"/>
  <c r="AF74" i="17"/>
  <c r="U73" i="17"/>
  <c r="J72" i="17"/>
  <c r="AZ70" i="17"/>
  <c r="AO69" i="17"/>
  <c r="AD68" i="17"/>
  <c r="S67" i="17"/>
  <c r="H66" i="17"/>
  <c r="AX64" i="17"/>
  <c r="AM63" i="17"/>
  <c r="AB62" i="17"/>
  <c r="G74" i="17"/>
  <c r="AW72" i="17"/>
  <c r="AL71" i="17"/>
  <c r="AA70" i="17"/>
  <c r="P69" i="17"/>
  <c r="E68" i="17"/>
  <c r="AU66" i="17"/>
  <c r="AJ65" i="17"/>
  <c r="Y64" i="17"/>
  <c r="N63" i="17"/>
  <c r="BB74" i="17"/>
  <c r="AQ73" i="17"/>
  <c r="I62" i="17"/>
  <c r="T74" i="17"/>
  <c r="I73" i="17"/>
  <c r="AY71" i="17"/>
  <c r="AN70" i="17"/>
  <c r="AC69" i="17"/>
  <c r="R68" i="17"/>
  <c r="G67" i="17"/>
  <c r="AW65" i="17"/>
  <c r="AL64" i="17"/>
  <c r="AA63" i="17"/>
  <c r="P62" i="17"/>
  <c r="AV73" i="17"/>
  <c r="AK72" i="17"/>
  <c r="Z71" i="17"/>
  <c r="O70" i="17"/>
  <c r="D69" i="17"/>
  <c r="AT67" i="17"/>
  <c r="AI66" i="17"/>
  <c r="X65" i="17"/>
  <c r="M64" i="17"/>
  <c r="B63" i="17"/>
  <c r="AH74" i="17"/>
  <c r="W73" i="17"/>
  <c r="L72" i="17"/>
  <c r="BB70" i="17"/>
  <c r="AQ69" i="17"/>
  <c r="AF68" i="17"/>
  <c r="U67" i="17"/>
  <c r="J66" i="17"/>
  <c r="AZ64" i="17"/>
  <c r="AO63" i="17"/>
  <c r="AD62" i="17"/>
  <c r="AT73" i="17"/>
  <c r="AI72" i="17"/>
  <c r="X71" i="17"/>
  <c r="M70" i="17"/>
  <c r="B69" i="17"/>
  <c r="AR67" i="17"/>
  <c r="AG66" i="17"/>
  <c r="V65" i="17"/>
  <c r="K64" i="17"/>
  <c r="BA62" i="17"/>
  <c r="X74" i="17"/>
  <c r="M73" i="17"/>
  <c r="B72" i="17"/>
  <c r="AR70" i="17"/>
  <c r="AG69" i="17"/>
  <c r="V68" i="17"/>
  <c r="K67" i="17"/>
  <c r="BA65" i="17"/>
  <c r="AP64" i="17"/>
  <c r="AE63" i="17"/>
  <c r="T62" i="17"/>
  <c r="AZ73" i="17"/>
  <c r="AO72" i="17"/>
  <c r="AD71" i="17"/>
  <c r="S70" i="17"/>
  <c r="H69" i="17"/>
  <c r="AX67" i="17"/>
  <c r="AM66" i="17"/>
  <c r="AB65" i="17"/>
  <c r="Q64" i="17"/>
  <c r="F63" i="17"/>
  <c r="AT74" i="17"/>
  <c r="AI73" i="17"/>
  <c r="F61" i="17"/>
  <c r="AO62" i="17"/>
  <c r="L74" i="17"/>
  <c r="BB72" i="17"/>
  <c r="AQ71" i="17"/>
  <c r="AF70" i="17"/>
  <c r="U69" i="17"/>
  <c r="J68" i="17"/>
  <c r="AZ66" i="17"/>
  <c r="AO65" i="17"/>
  <c r="AD64" i="17"/>
  <c r="S63" i="17"/>
  <c r="AY74" i="17"/>
  <c r="AN73" i="17"/>
  <c r="AC72" i="17"/>
  <c r="R71" i="17"/>
  <c r="G70" i="17"/>
  <c r="AW68" i="17"/>
  <c r="AL67" i="17"/>
  <c r="AA66" i="17"/>
  <c r="P65" i="17"/>
  <c r="E64" i="17"/>
  <c r="AU62" i="17"/>
  <c r="Z74" i="17"/>
  <c r="O73" i="17"/>
  <c r="D72" i="17"/>
  <c r="AT70" i="17"/>
  <c r="AI69" i="17"/>
  <c r="X68" i="17"/>
  <c r="M67" i="17"/>
  <c r="B66" i="17"/>
  <c r="AR64" i="17"/>
  <c r="AG63" i="17"/>
  <c r="AW74" i="17"/>
  <c r="AL73" i="17"/>
  <c r="AA72" i="17"/>
  <c r="P71" i="17"/>
  <c r="E70" i="17"/>
  <c r="AU68" i="17"/>
  <c r="AJ67" i="17"/>
  <c r="Y66" i="17"/>
  <c r="N65" i="17"/>
  <c r="C64" i="17"/>
  <c r="AS62" i="17"/>
  <c r="P74" i="17"/>
  <c r="E73" i="17"/>
  <c r="AU71" i="17"/>
  <c r="AJ70" i="17"/>
  <c r="Y69" i="17"/>
  <c r="N68" i="17"/>
  <c r="C67" i="17"/>
  <c r="AS65" i="17"/>
  <c r="AH64" i="17"/>
  <c r="W63" i="17"/>
  <c r="L62" i="17"/>
  <c r="AR73" i="17"/>
  <c r="AG72" i="17"/>
  <c r="V71" i="17"/>
  <c r="K70" i="17"/>
  <c r="BA68" i="17"/>
  <c r="AP67" i="17"/>
  <c r="AE66" i="17"/>
  <c r="T65" i="17"/>
  <c r="I64" i="17"/>
  <c r="AY62" i="17"/>
  <c r="AL74" i="17"/>
  <c r="AA73" i="17"/>
  <c r="P72" i="17"/>
  <c r="E71" i="17"/>
  <c r="AU69" i="17"/>
  <c r="AJ68" i="17"/>
  <c r="Y67" i="17"/>
  <c r="N66" i="17"/>
  <c r="C65" i="17"/>
  <c r="AS63" i="17"/>
  <c r="AH62" i="17"/>
  <c r="M74" i="17"/>
  <c r="B73" i="17"/>
  <c r="AR71" i="17"/>
  <c r="AG70" i="17"/>
  <c r="V69" i="17"/>
  <c r="K68" i="17"/>
  <c r="BA66" i="17"/>
  <c r="AU61" i="17"/>
  <c r="P61" i="17"/>
  <c r="N61" i="17"/>
  <c r="AZ63" i="17"/>
  <c r="D74" i="17"/>
  <c r="AT72" i="17"/>
  <c r="AI71" i="17"/>
  <c r="X70" i="17"/>
  <c r="M69" i="17"/>
  <c r="B68" i="17"/>
  <c r="AR66" i="17"/>
  <c r="AG65" i="17"/>
  <c r="V64" i="17"/>
  <c r="K63" i="17"/>
  <c r="AQ74" i="17"/>
  <c r="AF73" i="17"/>
  <c r="U72" i="17"/>
  <c r="J71" i="17"/>
  <c r="AZ69" i="17"/>
  <c r="AO68" i="17"/>
  <c r="AD67" i="17"/>
  <c r="S66" i="17"/>
  <c r="H65" i="17"/>
  <c r="AX63" i="17"/>
  <c r="AM62" i="17"/>
  <c r="R74" i="17"/>
  <c r="G73" i="17"/>
  <c r="AW71" i="17"/>
  <c r="AL70" i="17"/>
  <c r="AA69" i="17"/>
  <c r="P68" i="17"/>
  <c r="E67" i="17"/>
  <c r="AU65" i="17"/>
  <c r="AJ64" i="17"/>
  <c r="Y63" i="17"/>
  <c r="AO74" i="17"/>
  <c r="AD73" i="17"/>
  <c r="S72" i="17"/>
  <c r="H71" i="17"/>
  <c r="AX69" i="17"/>
  <c r="AM68" i="17"/>
  <c r="AB67" i="17"/>
  <c r="Q66" i="17"/>
  <c r="F65" i="17"/>
  <c r="AV63" i="17"/>
  <c r="AK62" i="17"/>
  <c r="H74" i="17"/>
  <c r="AX72" i="17"/>
  <c r="AM71" i="17"/>
  <c r="AB70" i="17"/>
  <c r="Q69" i="17"/>
  <c r="F68" i="17"/>
  <c r="AV66" i="17"/>
  <c r="AK65" i="17"/>
  <c r="Z64" i="17"/>
  <c r="O63" i="17"/>
  <c r="AU74" i="17"/>
  <c r="AJ73" i="17"/>
  <c r="Y72" i="17"/>
  <c r="N71" i="17"/>
  <c r="C70" i="17"/>
  <c r="AS68" i="17"/>
  <c r="AH67" i="17"/>
  <c r="W66" i="17"/>
  <c r="L65" i="17"/>
  <c r="BB63" i="17"/>
  <c r="AQ62" i="17"/>
  <c r="AD74" i="17"/>
  <c r="V61" i="17"/>
  <c r="J65" i="17"/>
  <c r="AW73" i="17"/>
  <c r="AL72" i="17"/>
  <c r="AA71" i="17"/>
  <c r="P70" i="17"/>
  <c r="E69" i="17"/>
  <c r="AU67" i="17"/>
  <c r="AJ66" i="17"/>
  <c r="Y65" i="17"/>
  <c r="N64" i="17"/>
  <c r="C63" i="17"/>
  <c r="AI74" i="17"/>
  <c r="X73" i="17"/>
  <c r="M72" i="17"/>
  <c r="B71" i="17"/>
  <c r="AR69" i="17"/>
  <c r="AG68" i="17"/>
  <c r="V67" i="17"/>
  <c r="K66" i="17"/>
  <c r="BA64" i="17"/>
  <c r="AP63" i="17"/>
  <c r="AE62" i="17"/>
  <c r="J74" i="17"/>
  <c r="AZ72" i="17"/>
  <c r="AO71" i="17"/>
  <c r="AD70" i="17"/>
  <c r="S69" i="17"/>
  <c r="H68" i="17"/>
  <c r="AX66" i="17"/>
  <c r="AM65" i="17"/>
  <c r="AB64" i="17"/>
  <c r="Q63" i="17"/>
  <c r="AG74" i="17"/>
  <c r="V73" i="17"/>
  <c r="K72" i="17"/>
  <c r="BA70" i="17"/>
  <c r="AP69" i="17"/>
  <c r="AE68" i="17"/>
  <c r="T67" i="17"/>
  <c r="I66" i="17"/>
  <c r="AY64" i="17"/>
  <c r="AN63" i="17"/>
  <c r="AC62" i="17"/>
  <c r="BA73" i="17"/>
  <c r="AP72" i="17"/>
  <c r="AE71" i="17"/>
  <c r="T70" i="17"/>
  <c r="I69" i="17"/>
  <c r="AY67" i="17"/>
  <c r="AN66" i="17"/>
  <c r="AC65" i="17"/>
  <c r="R64" i="17"/>
  <c r="G63" i="17"/>
  <c r="AM74" i="17"/>
  <c r="AB73" i="17"/>
  <c r="Q72" i="17"/>
  <c r="F71" i="17"/>
  <c r="AV69" i="17"/>
  <c r="AK68" i="17"/>
  <c r="Z67" i="17"/>
  <c r="O66" i="17"/>
  <c r="D65" i="17"/>
  <c r="AT63" i="17"/>
  <c r="AI62" i="17"/>
  <c r="AD61" i="17"/>
  <c r="AZ74" i="17"/>
  <c r="AO73" i="17"/>
  <c r="AD72" i="17"/>
  <c r="S71" i="17"/>
  <c r="H70" i="17"/>
  <c r="AX68" i="17"/>
  <c r="AM67" i="17"/>
  <c r="AB66" i="17"/>
  <c r="Q65" i="17"/>
  <c r="F64" i="17"/>
  <c r="AV62" i="17"/>
  <c r="AA74" i="17"/>
  <c r="P73" i="17"/>
  <c r="E72" i="17"/>
  <c r="AU70" i="17"/>
  <c r="AJ69" i="17"/>
  <c r="Y68" i="17"/>
  <c r="N67" i="17"/>
  <c r="C66" i="17"/>
  <c r="AS64" i="17"/>
  <c r="AH63" i="17"/>
  <c r="W62" i="17"/>
  <c r="B74" i="17"/>
  <c r="AR72" i="17"/>
  <c r="AG71" i="17"/>
  <c r="V70" i="17"/>
  <c r="K69" i="17"/>
  <c r="BA67" i="17"/>
  <c r="AP66" i="17"/>
  <c r="AE65" i="17"/>
  <c r="T64" i="17"/>
  <c r="I63" i="17"/>
  <c r="Y74" i="17"/>
  <c r="N73" i="17"/>
  <c r="C72" i="17"/>
  <c r="AS70" i="17"/>
  <c r="AH69" i="17"/>
  <c r="W68" i="17"/>
  <c r="L67" i="17"/>
  <c r="BB65" i="17"/>
  <c r="AQ64" i="17"/>
  <c r="AF63" i="17"/>
  <c r="U62" i="17"/>
  <c r="AS73" i="17"/>
  <c r="AH72" i="17"/>
  <c r="W71" i="17"/>
  <c r="L70" i="17"/>
  <c r="BB68" i="17"/>
  <c r="AQ67" i="17"/>
  <c r="AF66" i="17"/>
  <c r="U65" i="17"/>
  <c r="J64" i="17"/>
  <c r="AZ62" i="17"/>
  <c r="AE74" i="17"/>
  <c r="T73" i="17"/>
  <c r="I72" i="17"/>
  <c r="AY70" i="17"/>
  <c r="AN69" i="17"/>
  <c r="AC68" i="17"/>
  <c r="R67" i="17"/>
  <c r="G66" i="17"/>
  <c r="AW64" i="17"/>
  <c r="AL63" i="17"/>
  <c r="AA62" i="17"/>
  <c r="AL61" i="17"/>
  <c r="AR74" i="17"/>
  <c r="AG73" i="17"/>
  <c r="V72" i="17"/>
  <c r="K71" i="17"/>
  <c r="BA69" i="17"/>
  <c r="AP68" i="17"/>
  <c r="AE67" i="17"/>
  <c r="T66" i="17"/>
  <c r="I65" i="17"/>
  <c r="AY63" i="17"/>
  <c r="AN62" i="17"/>
  <c r="S74" i="17"/>
  <c r="H73" i="17"/>
  <c r="AX71" i="17"/>
  <c r="AM70" i="17"/>
  <c r="AB69" i="17"/>
  <c r="Q68" i="17"/>
  <c r="F67" i="17"/>
  <c r="AV65" i="17"/>
  <c r="AK64" i="17"/>
  <c r="Z63" i="17"/>
  <c r="O62" i="17"/>
  <c r="AU73" i="17"/>
  <c r="AJ72" i="17"/>
  <c r="Y71" i="17"/>
  <c r="N70" i="17"/>
  <c r="C69" i="17"/>
  <c r="AS67" i="17"/>
  <c r="AH66" i="17"/>
  <c r="W65" i="17"/>
  <c r="L64" i="17"/>
  <c r="BB62" i="17"/>
  <c r="Q74" i="17"/>
  <c r="F73" i="17"/>
  <c r="AV71" i="17"/>
  <c r="AK70" i="17"/>
  <c r="Z69" i="17"/>
  <c r="O68" i="17"/>
  <c r="D67" i="17"/>
  <c r="AT65" i="17"/>
  <c r="AI64" i="17"/>
  <c r="X63" i="17"/>
  <c r="AV74" i="17"/>
  <c r="AK73" i="17"/>
  <c r="Z72" i="17"/>
  <c r="O71" i="17"/>
  <c r="D70" i="17"/>
  <c r="AT68" i="17"/>
  <c r="AI67" i="17"/>
  <c r="X66" i="17"/>
  <c r="M65" i="17"/>
  <c r="B64" i="17"/>
  <c r="AR62" i="17"/>
  <c r="W74" i="17"/>
  <c r="L73" i="17"/>
  <c r="BB71" i="17"/>
  <c r="AQ70" i="17"/>
  <c r="AF69" i="17"/>
  <c r="U68" i="17"/>
  <c r="J67" i="17"/>
  <c r="AZ65" i="17"/>
  <c r="AO64" i="17"/>
  <c r="AD63" i="17"/>
  <c r="S62" i="17"/>
  <c r="F74" i="17"/>
  <c r="W67" i="17"/>
  <c r="AE70" i="17"/>
  <c r="AM73" i="17"/>
  <c r="D64" i="17"/>
  <c r="AW66" i="17"/>
  <c r="AW69" i="17"/>
  <c r="D73" i="17"/>
  <c r="V63" i="17"/>
  <c r="AV72" i="17"/>
  <c r="AC71" i="17"/>
  <c r="J70" i="17"/>
  <c r="AR68" i="17"/>
  <c r="Q67" i="17"/>
  <c r="AY65" i="17"/>
  <c r="AF64" i="17"/>
  <c r="M63" i="17"/>
  <c r="AK74" i="17"/>
  <c r="R73" i="17"/>
  <c r="AZ71" i="17"/>
  <c r="Y70" i="17"/>
  <c r="F69" i="17"/>
  <c r="AN67" i="17"/>
  <c r="O61" i="17"/>
  <c r="R65" i="17"/>
  <c r="M62" i="17"/>
  <c r="AO61" i="17"/>
  <c r="J61" i="17"/>
  <c r="T63" i="17"/>
  <c r="AQ61" i="17"/>
  <c r="L61" i="17"/>
  <c r="AJ63" i="17"/>
  <c r="AS61" i="17"/>
  <c r="E61" i="17"/>
  <c r="S68" i="17"/>
  <c r="AX61" i="17"/>
  <c r="AZ61" i="17"/>
  <c r="R70" i="17"/>
  <c r="AO70" i="17"/>
  <c r="Q62" i="17"/>
  <c r="AT61" i="17"/>
  <c r="L66" i="17"/>
  <c r="T69" i="17"/>
  <c r="AB72" i="17"/>
  <c r="AT62" i="17"/>
  <c r="AL65" i="17"/>
  <c r="AL68" i="17"/>
  <c r="AT71" i="17"/>
  <c r="K62" i="17"/>
  <c r="AN72" i="17"/>
  <c r="U71" i="17"/>
  <c r="B70" i="17"/>
  <c r="AB68" i="17"/>
  <c r="I67" i="17"/>
  <c r="AQ65" i="17"/>
  <c r="X64" i="17"/>
  <c r="E63" i="17"/>
  <c r="AC74" i="17"/>
  <c r="J73" i="17"/>
  <c r="AJ71" i="17"/>
  <c r="Q70" i="17"/>
  <c r="AY68" i="17"/>
  <c r="AF67" i="17"/>
  <c r="W61" i="17"/>
  <c r="AC66" i="17"/>
  <c r="D63" i="17"/>
  <c r="AW61" i="17"/>
  <c r="R61" i="17"/>
  <c r="AE64" i="17"/>
  <c r="AY61" i="17"/>
  <c r="T61" i="17"/>
  <c r="AU64" i="17"/>
  <c r="BA61" i="17"/>
  <c r="F62" i="17"/>
  <c r="E66" i="17"/>
  <c r="AR63" i="17"/>
  <c r="W64" i="17"/>
  <c r="AZ68" i="17"/>
  <c r="F66" i="17"/>
  <c r="AV67" i="17"/>
  <c r="G64" i="17"/>
  <c r="AJ74" i="17"/>
  <c r="BB64" i="17"/>
  <c r="I68" i="17"/>
  <c r="Q71" i="17"/>
  <c r="I74" i="17"/>
  <c r="AA64" i="17"/>
  <c r="AA67" i="17"/>
  <c r="AI70" i="17"/>
  <c r="V74" i="17"/>
  <c r="AF72" i="17"/>
  <c r="M71" i="17"/>
  <c r="AM69" i="17"/>
  <c r="T68" i="17"/>
  <c r="BB66" i="17"/>
  <c r="AI65" i="17"/>
  <c r="P64" i="17"/>
  <c r="AX62" i="17"/>
  <c r="U74" i="17"/>
  <c r="AU72" i="17"/>
  <c r="AB71" i="17"/>
  <c r="I70" i="17"/>
  <c r="AQ68" i="17"/>
  <c r="X67" i="17"/>
  <c r="AE61" i="17"/>
  <c r="H61" i="17"/>
  <c r="O64" i="17"/>
  <c r="D62" i="17"/>
  <c r="Z61" i="17"/>
  <c r="AP65" i="17"/>
  <c r="AB61" i="17"/>
  <c r="H62" i="17"/>
  <c r="AL69" i="17"/>
  <c r="S61" i="17"/>
  <c r="AN64" i="17"/>
  <c r="G61" i="17"/>
  <c r="Y62" i="17"/>
  <c r="Y73" i="17"/>
  <c r="AQ63" i="17"/>
  <c r="AY66" i="17"/>
  <c r="F70" i="17"/>
  <c r="AY72" i="17"/>
  <c r="P63" i="17"/>
  <c r="P66" i="17"/>
  <c r="X69" i="17"/>
  <c r="N74" i="17"/>
  <c r="X72" i="17"/>
  <c r="AX70" i="17"/>
  <c r="AE69" i="17"/>
  <c r="L68" i="17"/>
  <c r="AT66" i="17"/>
  <c r="AA65" i="17"/>
  <c r="H64" i="17"/>
  <c r="AP62" i="17"/>
  <c r="E74" i="17"/>
  <c r="AM72" i="17"/>
  <c r="T71" i="17"/>
  <c r="BB69" i="17"/>
  <c r="AI68" i="17"/>
  <c r="P67" i="17"/>
  <c r="AM61" i="17"/>
  <c r="X61" i="17"/>
  <c r="Z65" i="17"/>
  <c r="N62" i="17"/>
  <c r="AH61" i="17"/>
  <c r="C61" i="17"/>
  <c r="V62" i="17"/>
  <c r="AJ61" i="17"/>
  <c r="AG62" i="17"/>
  <c r="J62" i="17"/>
  <c r="AM64" i="17"/>
  <c r="U63" i="17"/>
  <c r="C62" i="17"/>
  <c r="AK61" i="17"/>
  <c r="N72" i="17"/>
  <c r="AF62" i="17"/>
  <c r="AN65" i="17"/>
  <c r="AV68" i="17"/>
  <c r="AN71" i="17"/>
  <c r="AN74" i="17"/>
  <c r="E65" i="17"/>
  <c r="M68" i="17"/>
  <c r="AY73" i="17"/>
  <c r="H72" i="17"/>
  <c r="AP70" i="17"/>
  <c r="W69" i="17"/>
  <c r="D68" i="17"/>
  <c r="AL66" i="17"/>
  <c r="S65" i="17"/>
  <c r="BA63" i="17"/>
  <c r="Z62" i="17"/>
  <c r="AX73" i="17"/>
  <c r="AE72" i="17"/>
  <c r="L71" i="17"/>
  <c r="AT69" i="17"/>
  <c r="AA68" i="17"/>
  <c r="H67" i="17"/>
  <c r="B62" i="17"/>
  <c r="AF61" i="17"/>
  <c r="I61" i="17"/>
  <c r="L63" i="17"/>
  <c r="AP61" i="17"/>
  <c r="K61" i="17"/>
  <c r="AB63" i="17"/>
  <c r="AR61" i="17"/>
  <c r="M61" i="17"/>
  <c r="AN61" i="17"/>
  <c r="B65" i="17"/>
  <c r="Z73" i="17"/>
  <c r="B61" i="17"/>
  <c r="C71" i="17"/>
  <c r="K74" i="17"/>
  <c r="AC64" i="17"/>
  <c r="AK67" i="17"/>
  <c r="AC70" i="17"/>
  <c r="AC73" i="17"/>
  <c r="AU63" i="17"/>
  <c r="B67" i="17"/>
  <c r="S73" i="17"/>
  <c r="BA71" i="17"/>
  <c r="AH70" i="17"/>
  <c r="O69" i="17"/>
  <c r="AW67" i="17"/>
  <c r="AD66" i="17"/>
  <c r="K65" i="17"/>
  <c r="AK63" i="17"/>
  <c r="R62" i="17"/>
  <c r="AP73" i="17"/>
  <c r="W72" i="17"/>
  <c r="D71" i="17"/>
  <c r="AS66" i="17"/>
  <c r="Q61" i="17"/>
  <c r="U61" i="17"/>
  <c r="AS74" i="17"/>
  <c r="N69" i="17"/>
  <c r="AI61" i="17"/>
  <c r="AS69" i="17"/>
  <c r="BA72" i="17"/>
  <c r="R63" i="17"/>
  <c r="Z66" i="17"/>
  <c r="R69" i="17"/>
  <c r="R72" i="17"/>
  <c r="AJ62" i="17"/>
  <c r="AR65" i="17"/>
  <c r="K73" i="17"/>
  <c r="AS71" i="17"/>
  <c r="Z70" i="17"/>
  <c r="G69" i="17"/>
  <c r="AO67" i="17"/>
  <c r="V66" i="17"/>
  <c r="AV64" i="17"/>
  <c r="AC63" i="17"/>
  <c r="BA74" i="17"/>
  <c r="AH73" i="17"/>
  <c r="O72" i="17"/>
  <c r="AW70" i="17"/>
  <c r="AD69" i="17"/>
  <c r="C68" i="17"/>
  <c r="AK66" i="17"/>
  <c r="AW62" i="17"/>
  <c r="AV61" i="17"/>
  <c r="Y61" i="17"/>
  <c r="AH65" i="17"/>
  <c r="E62" i="17"/>
  <c r="AA61" i="17"/>
  <c r="AX65" i="17"/>
  <c r="G62" i="17"/>
  <c r="AC61" i="17"/>
  <c r="M66" i="17"/>
  <c r="AH68" i="17"/>
  <c r="AP71" i="17"/>
  <c r="AX74" i="17"/>
  <c r="O65" i="17"/>
  <c r="G68" i="17"/>
  <c r="G71" i="17"/>
  <c r="O74" i="17"/>
  <c r="AG64" i="17"/>
  <c r="C73" i="17"/>
  <c r="AK71" i="17"/>
  <c r="AG67" i="17"/>
  <c r="G72" i="17"/>
  <c r="AG61" i="17"/>
  <c r="D61" i="17"/>
  <c r="C271" i="12"/>
  <c r="C231" i="12"/>
  <c r="C235" i="12"/>
  <c r="C275" i="12"/>
  <c r="C227" i="12"/>
  <c r="C225" i="12"/>
  <c r="C232" i="12"/>
  <c r="C239" i="12"/>
  <c r="C265" i="12"/>
  <c r="C20" i="12"/>
  <c r="C24" i="12"/>
  <c r="C32" i="12"/>
  <c r="C36" i="12"/>
  <c r="C52" i="12"/>
  <c r="C56" i="12"/>
  <c r="C64" i="12"/>
  <c r="C108" i="12"/>
  <c r="C140" i="12"/>
  <c r="C144" i="12"/>
  <c r="C148" i="12"/>
  <c r="C156" i="12"/>
  <c r="C160" i="12"/>
  <c r="C164" i="12"/>
  <c r="C207" i="12"/>
  <c r="C247" i="12"/>
  <c r="C251" i="12"/>
  <c r="C211" i="12"/>
  <c r="C255" i="12"/>
  <c r="C201" i="12"/>
  <c r="C215" i="12"/>
  <c r="C219" i="12"/>
  <c r="C234" i="12"/>
  <c r="C256" i="12"/>
  <c r="C259" i="12"/>
  <c r="C10" i="4"/>
  <c r="F21" i="6"/>
  <c r="G21" i="6"/>
  <c r="C126" i="12"/>
  <c r="C99" i="12"/>
  <c r="C119" i="12"/>
  <c r="C131" i="12"/>
  <c r="C159" i="12"/>
  <c r="C163" i="12"/>
  <c r="C172" i="12"/>
  <c r="C180" i="12"/>
  <c r="C65" i="12"/>
  <c r="C129" i="12"/>
  <c r="C137" i="12"/>
  <c r="C161" i="12"/>
  <c r="C138" i="12"/>
  <c r="C150" i="12"/>
  <c r="C111" i="12"/>
  <c r="C10" i="12"/>
  <c r="C60" i="12"/>
  <c r="C68" i="12"/>
  <c r="C72" i="12"/>
  <c r="C84" i="12"/>
  <c r="C88" i="12"/>
  <c r="C96" i="12"/>
  <c r="C179" i="12"/>
  <c r="C22" i="12"/>
  <c r="C30" i="12"/>
  <c r="C38" i="12"/>
  <c r="C61" i="12"/>
  <c r="C124" i="12"/>
  <c r="C128" i="12"/>
  <c r="C132" i="12"/>
  <c r="C184" i="12"/>
  <c r="C192" i="12"/>
  <c r="C196" i="12"/>
  <c r="C121" i="12"/>
  <c r="C16" i="12"/>
  <c r="C70" i="12"/>
  <c r="C74" i="12"/>
  <c r="C82" i="12"/>
  <c r="C90" i="12"/>
  <c r="C94" i="12"/>
  <c r="C102" i="12"/>
  <c r="C141" i="12"/>
  <c r="C153" i="12"/>
  <c r="C105" i="12"/>
  <c r="C194" i="12"/>
  <c r="C40" i="12"/>
  <c r="C44" i="12"/>
  <c r="C48" i="12"/>
  <c r="C109" i="12"/>
  <c r="C113" i="12"/>
  <c r="C117" i="12"/>
  <c r="C125" i="12"/>
  <c r="C152" i="12"/>
  <c r="C11" i="12"/>
  <c r="C15" i="12"/>
  <c r="C21" i="12"/>
  <c r="C25" i="12"/>
  <c r="C33" i="12"/>
  <c r="C37" i="12"/>
  <c r="C67" i="12"/>
  <c r="C71" i="12"/>
  <c r="C79" i="12"/>
  <c r="C83" i="12"/>
  <c r="C87" i="12"/>
  <c r="C118" i="12"/>
  <c r="C122" i="12"/>
  <c r="C145" i="12"/>
  <c r="C168" i="12"/>
  <c r="C176" i="12"/>
  <c r="C195" i="12"/>
  <c r="C188" i="12"/>
  <c r="C62" i="12"/>
  <c r="C157" i="12"/>
  <c r="C26" i="12"/>
  <c r="C42" i="12"/>
  <c r="C46" i="12"/>
  <c r="C76" i="12"/>
  <c r="C92" i="12"/>
  <c r="C100" i="12"/>
  <c r="C139" i="12"/>
  <c r="C173" i="12"/>
  <c r="C177" i="12"/>
  <c r="C13" i="12"/>
  <c r="C23" i="12"/>
  <c r="C73" i="12"/>
  <c r="C81" i="12"/>
  <c r="C116" i="12"/>
  <c r="C120" i="12"/>
  <c r="C147" i="12"/>
  <c r="C170" i="12"/>
  <c r="P102" i="16"/>
  <c r="AR38" i="14"/>
  <c r="B21" i="13" a="1"/>
  <c r="B21" i="13" s="1"/>
  <c r="C22" i="5" a="1"/>
  <c r="C22" i="5" s="1"/>
  <c r="B21" i="5" a="1"/>
  <c r="B21" i="5" s="1"/>
  <c r="D21" i="5" s="1"/>
  <c r="E21" i="5" s="1"/>
  <c r="C18" i="5" a="1"/>
  <c r="C18" i="5" s="1"/>
  <c r="X18" i="7"/>
  <c r="L18" i="7"/>
  <c r="T18" i="7"/>
  <c r="B10" i="13" a="1"/>
  <c r="B10" i="13" s="1"/>
  <c r="C10" i="13" a="1"/>
  <c r="C10" i="13" s="1"/>
  <c r="T17" i="12"/>
  <c r="S17" i="12"/>
  <c r="R17" i="12"/>
  <c r="Q17" i="12"/>
  <c r="P17" i="12"/>
  <c r="O17" i="12"/>
  <c r="N16" i="12"/>
  <c r="C149" i="12"/>
  <c r="C28" i="12"/>
  <c r="C55" i="12"/>
  <c r="C57" i="12"/>
  <c r="C85" i="12"/>
  <c r="C107" i="12"/>
  <c r="C114" i="12"/>
  <c r="C135" i="12"/>
  <c r="C143" i="12"/>
  <c r="C154" i="12"/>
  <c r="C158" i="12"/>
  <c r="C167" i="12"/>
  <c r="C174" i="12"/>
  <c r="C183" i="12"/>
  <c r="C190" i="12"/>
  <c r="C185" i="12"/>
  <c r="C14" i="12"/>
  <c r="C193" i="12"/>
  <c r="C169" i="12"/>
  <c r="C31" i="12"/>
  <c r="C43" i="12"/>
  <c r="C47" i="12"/>
  <c r="C53" i="12"/>
  <c r="C58" i="12"/>
  <c r="C75" i="12"/>
  <c r="C86" i="12"/>
  <c r="C103" i="12"/>
  <c r="C112" i="12"/>
  <c r="C123" i="12"/>
  <c r="C127" i="12"/>
  <c r="C133" i="12"/>
  <c r="C146" i="12"/>
  <c r="C165" i="12"/>
  <c r="C181" i="12"/>
  <c r="C29" i="12"/>
  <c r="C54" i="12"/>
  <c r="C63" i="12"/>
  <c r="C69" i="12"/>
  <c r="C80" i="12"/>
  <c r="C95" i="12"/>
  <c r="C101" i="12"/>
  <c r="C106" i="12"/>
  <c r="C134" i="12"/>
  <c r="C136" i="12"/>
  <c r="C142" i="12"/>
  <c r="C155" i="12"/>
  <c r="C166" i="12"/>
  <c r="C175" i="12"/>
  <c r="C182" i="12"/>
  <c r="C191" i="12"/>
  <c r="C12" i="12"/>
  <c r="O18" i="12"/>
  <c r="P18" i="12"/>
  <c r="T18" i="12"/>
  <c r="S18" i="12"/>
  <c r="R18" i="12"/>
  <c r="Q18" i="12"/>
  <c r="C19" i="12"/>
  <c r="C27" i="12"/>
  <c r="C50" i="12"/>
  <c r="C78" i="12"/>
  <c r="C91" i="12"/>
  <c r="C104" i="12"/>
  <c r="C130" i="12"/>
  <c r="C151" i="12"/>
  <c r="C171" i="12"/>
  <c r="C187" i="12"/>
  <c r="AD18" i="12"/>
  <c r="K18" i="11"/>
  <c r="AB18" i="9"/>
  <c r="P17" i="9"/>
  <c r="X17" i="9"/>
  <c r="AB17" i="9" s="1"/>
  <c r="Q17" i="9"/>
  <c r="U8" i="5"/>
  <c r="C16" i="5" a="1"/>
  <c r="C16" i="5" s="1"/>
  <c r="B11" i="13" a="1"/>
  <c r="B11" i="13" s="1"/>
  <c r="C19" i="13" a="1"/>
  <c r="C19" i="13" s="1"/>
  <c r="C13" i="5" a="1"/>
  <c r="C13" i="5" s="1"/>
  <c r="B17" i="5" a="1"/>
  <c r="B17" i="5" s="1"/>
  <c r="B16" i="13" a="1"/>
  <c r="B16" i="13" s="1"/>
  <c r="J10" i="5"/>
  <c r="B14" i="5" a="1"/>
  <c r="B14" i="5" s="1"/>
  <c r="D8" i="13"/>
  <c r="C16" i="13" a="1"/>
  <c r="C16" i="13" s="1"/>
  <c r="B15" i="5" a="1"/>
  <c r="B15" i="5" s="1"/>
  <c r="C17" i="5" a="1"/>
  <c r="C17" i="5" s="1"/>
  <c r="U8" i="13"/>
  <c r="M16" i="13"/>
  <c r="C11" i="5" a="1"/>
  <c r="C11" i="5" s="1"/>
  <c r="C15" i="5" a="1"/>
  <c r="C15" i="5" s="1"/>
  <c r="C20" i="5" a="1"/>
  <c r="C20" i="5" s="1"/>
  <c r="C12" i="13" a="1"/>
  <c r="C12" i="13" s="1"/>
  <c r="B19" i="5" a="1"/>
  <c r="B19" i="5" s="1"/>
  <c r="D8" i="5"/>
  <c r="B12" i="5" a="1"/>
  <c r="B12" i="5" s="1"/>
  <c r="M15" i="5"/>
  <c r="B13" i="13" a="1"/>
  <c r="B13" i="13" s="1"/>
  <c r="T8" i="5"/>
  <c r="C12" i="5" a="1"/>
  <c r="C12" i="5" s="1"/>
  <c r="B16" i="5" a="1"/>
  <c r="B16" i="5" s="1"/>
  <c r="C13" i="13" a="1"/>
  <c r="C13" i="13" s="1"/>
  <c r="C14" i="13" a="1"/>
  <c r="C14" i="13" s="1"/>
  <c r="S104" i="15"/>
  <c r="V104" i="15"/>
  <c r="N104" i="15"/>
  <c r="T104" i="15"/>
  <c r="B20" i="5" a="1"/>
  <c r="B20" i="5" s="1"/>
  <c r="P17" i="7"/>
  <c r="P18" i="7"/>
  <c r="N103" i="16"/>
  <c r="H20" i="8"/>
  <c r="N20" i="8"/>
  <c r="N17" i="7"/>
  <c r="K16" i="7"/>
  <c r="A11" i="4"/>
  <c r="C11" i="4" s="1"/>
  <c r="A7" i="5"/>
  <c r="B18" i="5" a="1"/>
  <c r="B18" i="5" s="1"/>
  <c r="C19" i="5" a="1"/>
  <c r="C19" i="5" s="1"/>
  <c r="L17" i="7"/>
  <c r="P18" i="9"/>
  <c r="H16" i="11"/>
  <c r="K17" i="11"/>
  <c r="I17" i="11"/>
  <c r="N18" i="7"/>
  <c r="B13" i="5" a="1"/>
  <c r="B13" i="5" s="1"/>
  <c r="C14" i="5" a="1"/>
  <c r="C14" i="5" s="1"/>
  <c r="N18" i="9"/>
  <c r="N17" i="9"/>
  <c r="S17" i="9"/>
  <c r="Q18" i="9"/>
  <c r="V18" i="7"/>
  <c r="S17" i="7"/>
  <c r="S18" i="9"/>
  <c r="Q18" i="11"/>
  <c r="P18" i="11" s="1"/>
  <c r="C162" i="12"/>
  <c r="C178" i="12"/>
  <c r="C198" i="12"/>
  <c r="C230" i="12"/>
  <c r="C262" i="12"/>
  <c r="AD18" i="9"/>
  <c r="M16" i="9"/>
  <c r="C35" i="12"/>
  <c r="C39" i="12"/>
  <c r="C98" i="12"/>
  <c r="C110" i="12"/>
  <c r="Q104" i="15"/>
  <c r="N1" i="12"/>
  <c r="N2" i="12" s="1"/>
  <c r="N3" i="12" s="1"/>
  <c r="C17" i="12"/>
  <c r="C51" i="12"/>
  <c r="C59" i="12"/>
  <c r="C115" i="12"/>
  <c r="Y18" i="9"/>
  <c r="Z18" i="9" s="1"/>
  <c r="AC17" i="12"/>
  <c r="AD17" i="12" s="1"/>
  <c r="AB17" i="12"/>
  <c r="C9" i="12"/>
  <c r="X17" i="12"/>
  <c r="C34" i="12"/>
  <c r="C66" i="12"/>
  <c r="C197" i="12"/>
  <c r="C213" i="12"/>
  <c r="C229" i="12"/>
  <c r="C245" i="12"/>
  <c r="C261" i="12"/>
  <c r="C277" i="12"/>
  <c r="C205" i="12"/>
  <c r="C221" i="12"/>
  <c r="C237" i="12"/>
  <c r="C253" i="12"/>
  <c r="C269" i="12"/>
  <c r="B20" i="13" a="1"/>
  <c r="B20" i="13" s="1"/>
  <c r="B19" i="13" a="1"/>
  <c r="B19" i="13" s="1"/>
  <c r="B17" i="13" a="1"/>
  <c r="B17" i="13" s="1"/>
  <c r="B22" i="13" a="1"/>
  <c r="B22" i="13" s="1"/>
  <c r="M19" i="13"/>
  <c r="B18" i="13" a="1"/>
  <c r="B18" i="13" s="1"/>
  <c r="A7" i="13"/>
  <c r="B14" i="13" a="1"/>
  <c r="B14" i="13" s="1"/>
  <c r="P104" i="15"/>
  <c r="C206" i="12"/>
  <c r="C222" i="12"/>
  <c r="C238" i="12"/>
  <c r="C254" i="12"/>
  <c r="C270" i="12"/>
  <c r="B12" i="13" a="1"/>
  <c r="B12" i="13" s="1"/>
  <c r="B15" i="13" a="1"/>
  <c r="B15" i="13" s="1"/>
  <c r="Q103" i="16"/>
  <c r="S102" i="16"/>
  <c r="W103" i="16"/>
  <c r="O103" i="16"/>
  <c r="Q102" i="16"/>
  <c r="U102" i="16"/>
  <c r="V103" i="16"/>
  <c r="S103" i="16"/>
  <c r="C11" i="13" a="1"/>
  <c r="C11" i="13" s="1"/>
  <c r="C15" i="13" a="1"/>
  <c r="C15" i="13" s="1"/>
  <c r="M104" i="15"/>
  <c r="U104" i="15"/>
  <c r="AS17" i="14"/>
  <c r="O104" i="15"/>
  <c r="K16" i="20"/>
  <c r="C22" i="13" a="1"/>
  <c r="C22" i="13" s="1"/>
  <c r="C20" i="13" a="1"/>
  <c r="C20" i="13" s="1"/>
  <c r="C21" i="13" a="1"/>
  <c r="C21" i="13" s="1"/>
  <c r="C18" i="13" a="1"/>
  <c r="C18" i="13" s="1"/>
  <c r="AS13" i="14"/>
  <c r="I18" i="20"/>
  <c r="J10" i="13"/>
  <c r="C17" i="13" a="1"/>
  <c r="C17" i="13" s="1"/>
  <c r="R104" i="15"/>
  <c r="P103" i="16"/>
  <c r="T102" i="16"/>
  <c r="R103" i="16"/>
  <c r="N102" i="16"/>
  <c r="V102" i="16"/>
  <c r="T103" i="16"/>
  <c r="I16" i="20"/>
  <c r="H15" i="20"/>
  <c r="J16" i="20"/>
  <c r="O102" i="16"/>
  <c r="W102" i="16"/>
  <c r="U103" i="16"/>
  <c r="J17" i="20"/>
  <c r="K18" i="20"/>
  <c r="R102" i="16"/>
  <c r="I17" i="20"/>
  <c r="K17" i="20"/>
  <c r="J18" i="20"/>
  <c r="N18" i="20"/>
  <c r="O18" i="20"/>
  <c r="AR39" i="14" l="1"/>
  <c r="AS38" i="14" s="1"/>
  <c r="AD17" i="9"/>
  <c r="AF17" i="9" s="1"/>
  <c r="M18" i="7"/>
  <c r="B22" i="5" a="1"/>
  <c r="B22" i="5" s="1"/>
  <c r="E22" i="5" s="1"/>
  <c r="U18" i="9"/>
  <c r="L18" i="11"/>
  <c r="Q18" i="7"/>
  <c r="W18" i="7"/>
  <c r="E10" i="5"/>
  <c r="D18" i="5"/>
  <c r="E18" i="5" s="1"/>
  <c r="D10" i="13"/>
  <c r="E10" i="13" s="1"/>
  <c r="Y18" i="7"/>
  <c r="N15" i="12"/>
  <c r="S16" i="12"/>
  <c r="R16" i="12"/>
  <c r="Q16" i="12"/>
  <c r="P16" i="12"/>
  <c r="T16" i="12"/>
  <c r="O16" i="12"/>
  <c r="U18" i="12"/>
  <c r="U17" i="12"/>
  <c r="J18" i="11"/>
  <c r="L17" i="11"/>
  <c r="AC18" i="9"/>
  <c r="AC17" i="9"/>
  <c r="R17" i="9"/>
  <c r="O17" i="9"/>
  <c r="R18" i="9"/>
  <c r="Y17" i="9"/>
  <c r="AA17" i="9"/>
  <c r="X16" i="9"/>
  <c r="O18" i="9"/>
  <c r="D15" i="5"/>
  <c r="E15" i="5" s="1"/>
  <c r="D11" i="5"/>
  <c r="E11" i="5" s="1"/>
  <c r="D18" i="13"/>
  <c r="E18" i="13" s="1"/>
  <c r="D19" i="5"/>
  <c r="E19" i="5" s="1"/>
  <c r="D11" i="13"/>
  <c r="E11" i="13" s="1"/>
  <c r="D13" i="5"/>
  <c r="E13" i="5" s="1"/>
  <c r="D16" i="5"/>
  <c r="E16" i="5" s="1"/>
  <c r="D17" i="13"/>
  <c r="E17" i="13" s="1"/>
  <c r="D14" i="5"/>
  <c r="E14" i="5" s="1"/>
  <c r="D17" i="5"/>
  <c r="E17" i="5" s="1"/>
  <c r="D12" i="13"/>
  <c r="E12" i="13" s="1"/>
  <c r="D16" i="13"/>
  <c r="E16" i="13" s="1"/>
  <c r="D19" i="13"/>
  <c r="E19" i="13" s="1"/>
  <c r="D14" i="13"/>
  <c r="E14" i="13" s="1"/>
  <c r="D22" i="13"/>
  <c r="E22" i="13" s="1"/>
  <c r="D21" i="13"/>
  <c r="E21" i="13" s="1"/>
  <c r="D12" i="5"/>
  <c r="E12" i="5" s="1"/>
  <c r="E20" i="5"/>
  <c r="D13" i="13"/>
  <c r="E13" i="13" s="1"/>
  <c r="AS34" i="14"/>
  <c r="AS39" i="14"/>
  <c r="AS30" i="14"/>
  <c r="AS35" i="14"/>
  <c r="AS27" i="14"/>
  <c r="AS28" i="14"/>
  <c r="AS29" i="14"/>
  <c r="AS37" i="14"/>
  <c r="AS31" i="14"/>
  <c r="AS32" i="14"/>
  <c r="AS33" i="14"/>
  <c r="J15" i="20"/>
  <c r="I15" i="20"/>
  <c r="H14" i="20"/>
  <c r="K15" i="20"/>
  <c r="X17" i="7"/>
  <c r="V17" i="7"/>
  <c r="S16" i="7"/>
  <c r="T17" i="7"/>
  <c r="U17" i="7"/>
  <c r="J17" i="11"/>
  <c r="H19" i="8"/>
  <c r="K20" i="8"/>
  <c r="I20" i="8"/>
  <c r="K16" i="11"/>
  <c r="I16" i="11"/>
  <c r="H15" i="11"/>
  <c r="U17" i="9"/>
  <c r="O18" i="7"/>
  <c r="Z16" i="12"/>
  <c r="Y16" i="12"/>
  <c r="AA16" i="12"/>
  <c r="AC16" i="12"/>
  <c r="AB16" i="12"/>
  <c r="X16" i="12"/>
  <c r="Q16" i="9"/>
  <c r="P16" i="9"/>
  <c r="N16" i="9"/>
  <c r="S16" i="9"/>
  <c r="M15" i="9"/>
  <c r="AF18" i="9"/>
  <c r="Q20" i="8"/>
  <c r="O20" i="8"/>
  <c r="N19" i="8"/>
  <c r="P17" i="20"/>
  <c r="O17" i="20"/>
  <c r="N17" i="20"/>
  <c r="D20" i="13"/>
  <c r="E20" i="13" s="1"/>
  <c r="AS12" i="14"/>
  <c r="AS22" i="14"/>
  <c r="AS16" i="14"/>
  <c r="AS20" i="14"/>
  <c r="AS11" i="14"/>
  <c r="AS15" i="14"/>
  <c r="AS10" i="14"/>
  <c r="AS19" i="14"/>
  <c r="AS18" i="14"/>
  <c r="D15" i="13"/>
  <c r="E15" i="13" s="1"/>
  <c r="Q17" i="11"/>
  <c r="O17" i="11"/>
  <c r="A12" i="4"/>
  <c r="C12" i="4" s="1"/>
  <c r="T17" i="9"/>
  <c r="V17" i="9"/>
  <c r="N16" i="7"/>
  <c r="L16" i="7"/>
  <c r="K15" i="7"/>
  <c r="P16" i="7"/>
  <c r="AS14" i="14"/>
  <c r="AG18" i="9"/>
  <c r="AE18" i="9"/>
  <c r="V18" i="9"/>
  <c r="T18" i="9"/>
  <c r="R18" i="11"/>
  <c r="Q17" i="7"/>
  <c r="O17" i="7"/>
  <c r="M17" i="7"/>
  <c r="AS36" i="14" l="1"/>
  <c r="U16" i="12"/>
  <c r="Q15" i="12"/>
  <c r="P15" i="12"/>
  <c r="O15" i="12"/>
  <c r="T15" i="12"/>
  <c r="R15" i="12"/>
  <c r="S15" i="12"/>
  <c r="N14" i="12"/>
  <c r="J16" i="11"/>
  <c r="Z17" i="9"/>
  <c r="U16" i="9"/>
  <c r="AA16" i="9"/>
  <c r="X15" i="9"/>
  <c r="AB16" i="9"/>
  <c r="Y16" i="9"/>
  <c r="AD16" i="9"/>
  <c r="AE17" i="9"/>
  <c r="AG17" i="9"/>
  <c r="O16" i="9"/>
  <c r="AD16" i="12"/>
  <c r="R17" i="11"/>
  <c r="K14" i="20"/>
  <c r="J14" i="20"/>
  <c r="I14" i="20"/>
  <c r="H13" i="20"/>
  <c r="P17" i="11"/>
  <c r="V16" i="9"/>
  <c r="T16" i="9"/>
  <c r="X15" i="12"/>
  <c r="AA15" i="12"/>
  <c r="Z15" i="12"/>
  <c r="Y15" i="12"/>
  <c r="AC15" i="12"/>
  <c r="AB15" i="12"/>
  <c r="L20" i="8"/>
  <c r="J20" i="8"/>
  <c r="L15" i="7"/>
  <c r="K14" i="7"/>
  <c r="P15" i="7"/>
  <c r="N15" i="7"/>
  <c r="O16" i="7"/>
  <c r="Q16" i="7"/>
  <c r="R20" i="8"/>
  <c r="P20" i="8"/>
  <c r="N18" i="8"/>
  <c r="Q19" i="8"/>
  <c r="O19" i="8"/>
  <c r="K19" i="8"/>
  <c r="I19" i="8"/>
  <c r="H18" i="8"/>
  <c r="M16" i="7"/>
  <c r="A13" i="4"/>
  <c r="C13" i="4" s="1"/>
  <c r="H14" i="11"/>
  <c r="K15" i="11"/>
  <c r="I15" i="11"/>
  <c r="W17" i="7"/>
  <c r="Y17" i="7"/>
  <c r="P16" i="20"/>
  <c r="O16" i="20"/>
  <c r="N16" i="20"/>
  <c r="L16" i="11"/>
  <c r="X16" i="7"/>
  <c r="T16" i="7"/>
  <c r="V16" i="7"/>
  <c r="S15" i="7"/>
  <c r="U16" i="7"/>
  <c r="Q16" i="11"/>
  <c r="O16" i="11"/>
  <c r="S15" i="9"/>
  <c r="M14" i="9"/>
  <c r="P15" i="9"/>
  <c r="N15" i="9"/>
  <c r="Q15" i="9"/>
  <c r="R16" i="9"/>
  <c r="O14" i="12" l="1"/>
  <c r="T14" i="12"/>
  <c r="S14" i="12"/>
  <c r="R14" i="12"/>
  <c r="Q14" i="12"/>
  <c r="P14" i="12"/>
  <c r="N13" i="12"/>
  <c r="U15" i="12"/>
  <c r="L15" i="11"/>
  <c r="AC16" i="9"/>
  <c r="R15" i="9"/>
  <c r="AE16" i="9"/>
  <c r="AG16" i="9"/>
  <c r="AF16" i="9"/>
  <c r="AB15" i="9"/>
  <c r="AA15" i="9"/>
  <c r="Y15" i="9"/>
  <c r="X14" i="9"/>
  <c r="AD15" i="9"/>
  <c r="Z16" i="9"/>
  <c r="O15" i="9"/>
  <c r="AD15" i="12"/>
  <c r="R16" i="11"/>
  <c r="V15" i="9"/>
  <c r="T15" i="9"/>
  <c r="V15" i="7"/>
  <c r="U15" i="7"/>
  <c r="T15" i="7"/>
  <c r="S14" i="7"/>
  <c r="X15" i="7"/>
  <c r="AB14" i="12"/>
  <c r="AA14" i="12"/>
  <c r="AC14" i="12"/>
  <c r="X14" i="12"/>
  <c r="Z14" i="12"/>
  <c r="Y14" i="12"/>
  <c r="Y16" i="7"/>
  <c r="W16" i="7"/>
  <c r="K18" i="8"/>
  <c r="I18" i="8"/>
  <c r="H17" i="8"/>
  <c r="Q14" i="9"/>
  <c r="P14" i="9"/>
  <c r="M13" i="9"/>
  <c r="N14" i="9"/>
  <c r="S14" i="9"/>
  <c r="J15" i="11"/>
  <c r="L19" i="8"/>
  <c r="J19" i="8"/>
  <c r="K13" i="20"/>
  <c r="J13" i="20"/>
  <c r="I13" i="20"/>
  <c r="H12" i="20"/>
  <c r="Q15" i="7"/>
  <c r="O15" i="7"/>
  <c r="P16" i="11"/>
  <c r="P15" i="20"/>
  <c r="O15" i="20"/>
  <c r="N15" i="20"/>
  <c r="K14" i="11"/>
  <c r="I14" i="11"/>
  <c r="H13" i="11"/>
  <c r="N14" i="7"/>
  <c r="L14" i="7"/>
  <c r="K13" i="7"/>
  <c r="P14" i="7"/>
  <c r="Q15" i="11"/>
  <c r="O15" i="11"/>
  <c r="P19" i="8"/>
  <c r="R19" i="8"/>
  <c r="U15" i="9"/>
  <c r="A14" i="4"/>
  <c r="C14" i="4" s="1"/>
  <c r="O18" i="8"/>
  <c r="N17" i="8"/>
  <c r="Q18" i="8"/>
  <c r="M15" i="7"/>
  <c r="N12" i="12" l="1"/>
  <c r="T13" i="12"/>
  <c r="S13" i="12"/>
  <c r="R13" i="12"/>
  <c r="Q13" i="12"/>
  <c r="P13" i="12"/>
  <c r="O13" i="12"/>
  <c r="U14" i="12"/>
  <c r="L14" i="11"/>
  <c r="AC15" i="9"/>
  <c r="AG15" i="9"/>
  <c r="AE15" i="9"/>
  <c r="Z15" i="9"/>
  <c r="AF15" i="9"/>
  <c r="X13" i="9"/>
  <c r="AA14" i="9"/>
  <c r="Y14" i="9"/>
  <c r="AB14" i="9"/>
  <c r="AD14" i="9"/>
  <c r="U14" i="9"/>
  <c r="O14" i="9"/>
  <c r="AD14" i="12"/>
  <c r="R15" i="11"/>
  <c r="P15" i="11"/>
  <c r="P14" i="20"/>
  <c r="O14" i="20"/>
  <c r="N14" i="20"/>
  <c r="V14" i="7"/>
  <c r="U14" i="7"/>
  <c r="T14" i="7"/>
  <c r="S13" i="7"/>
  <c r="X14" i="7"/>
  <c r="J14" i="11"/>
  <c r="A15" i="4"/>
  <c r="C15" i="4" s="1"/>
  <c r="I17" i="8"/>
  <c r="H16" i="8"/>
  <c r="K17" i="8"/>
  <c r="Y15" i="7"/>
  <c r="W15" i="7"/>
  <c r="Q14" i="11"/>
  <c r="O14" i="11"/>
  <c r="Y13" i="12"/>
  <c r="X13" i="12"/>
  <c r="Z13" i="12"/>
  <c r="AB13" i="12"/>
  <c r="AA13" i="12"/>
  <c r="AC13" i="12"/>
  <c r="R14" i="9"/>
  <c r="J18" i="8"/>
  <c r="L18" i="8"/>
  <c r="Q17" i="8"/>
  <c r="O17" i="8"/>
  <c r="N16" i="8"/>
  <c r="N13" i="7"/>
  <c r="L13" i="7"/>
  <c r="K12" i="7"/>
  <c r="P13" i="7"/>
  <c r="M14" i="7"/>
  <c r="T14" i="9"/>
  <c r="V14" i="9"/>
  <c r="K12" i="20"/>
  <c r="J12" i="20"/>
  <c r="I12" i="20"/>
  <c r="H11" i="20"/>
  <c r="Q14" i="7"/>
  <c r="O14" i="7"/>
  <c r="P18" i="8"/>
  <c r="R18" i="8"/>
  <c r="I13" i="11"/>
  <c r="H12" i="11"/>
  <c r="K13" i="11"/>
  <c r="N13" i="9"/>
  <c r="S13" i="9"/>
  <c r="M12" i="9"/>
  <c r="Q13" i="9"/>
  <c r="P13" i="9"/>
  <c r="U13" i="12" l="1"/>
  <c r="M13" i="7"/>
  <c r="N11" i="12"/>
  <c r="S12" i="12"/>
  <c r="R12" i="12"/>
  <c r="Q12" i="12"/>
  <c r="P12" i="12"/>
  <c r="O12" i="12"/>
  <c r="T12" i="12"/>
  <c r="L13" i="11"/>
  <c r="AF14" i="9"/>
  <c r="AG14" i="9"/>
  <c r="AE14" i="9"/>
  <c r="Z14" i="9"/>
  <c r="AA13" i="9"/>
  <c r="X12" i="9"/>
  <c r="AB13" i="9"/>
  <c r="Y13" i="9"/>
  <c r="AD13" i="9"/>
  <c r="R13" i="9"/>
  <c r="AC14" i="9"/>
  <c r="R14" i="11"/>
  <c r="V13" i="9"/>
  <c r="T13" i="9"/>
  <c r="K11" i="20"/>
  <c r="J11" i="20"/>
  <c r="I11" i="20"/>
  <c r="H10" i="20"/>
  <c r="P12" i="7"/>
  <c r="N12" i="7"/>
  <c r="L12" i="7"/>
  <c r="K11" i="7"/>
  <c r="J17" i="8"/>
  <c r="L17" i="8"/>
  <c r="X13" i="7"/>
  <c r="V13" i="7"/>
  <c r="U13" i="7"/>
  <c r="T13" i="7"/>
  <c r="S12" i="7"/>
  <c r="J13" i="11"/>
  <c r="O13" i="7"/>
  <c r="Q13" i="7"/>
  <c r="I16" i="8"/>
  <c r="H15" i="8"/>
  <c r="K16" i="8"/>
  <c r="W14" i="7"/>
  <c r="Y14" i="7"/>
  <c r="O13" i="9"/>
  <c r="P14" i="11"/>
  <c r="A16" i="4"/>
  <c r="C16" i="4" s="1"/>
  <c r="P13" i="20"/>
  <c r="N13" i="20"/>
  <c r="O13" i="20"/>
  <c r="U13" i="9"/>
  <c r="R17" i="8"/>
  <c r="P17" i="8"/>
  <c r="AC12" i="12"/>
  <c r="AB12" i="12"/>
  <c r="AA12" i="12"/>
  <c r="Z12" i="12"/>
  <c r="Y12" i="12"/>
  <c r="X12" i="12"/>
  <c r="O13" i="11"/>
  <c r="Q13" i="11"/>
  <c r="I12" i="11"/>
  <c r="H11" i="11"/>
  <c r="K12" i="11"/>
  <c r="Q16" i="8"/>
  <c r="N15" i="8"/>
  <c r="O16" i="8"/>
  <c r="Q12" i="9"/>
  <c r="P12" i="9"/>
  <c r="N12" i="9"/>
  <c r="S12" i="9"/>
  <c r="M11" i="9"/>
  <c r="AD13" i="12"/>
  <c r="U12" i="12" l="1"/>
  <c r="N10" i="12"/>
  <c r="Q11" i="12"/>
  <c r="P11" i="12"/>
  <c r="O11" i="12"/>
  <c r="R11" i="12"/>
  <c r="T11" i="12"/>
  <c r="S11" i="12"/>
  <c r="L12" i="11"/>
  <c r="AC13" i="9"/>
  <c r="AF13" i="9"/>
  <c r="Z13" i="9"/>
  <c r="Y12" i="9"/>
  <c r="AD12" i="9"/>
  <c r="X11" i="9"/>
  <c r="AB12" i="9"/>
  <c r="AA12" i="9"/>
  <c r="AE13" i="9"/>
  <c r="AG13" i="9"/>
  <c r="U12" i="9"/>
  <c r="AD12" i="12"/>
  <c r="R13" i="11"/>
  <c r="Q15" i="8"/>
  <c r="O15" i="8"/>
  <c r="N14" i="8"/>
  <c r="O12" i="11"/>
  <c r="Q12" i="11"/>
  <c r="K15" i="8"/>
  <c r="I15" i="8"/>
  <c r="H14" i="8"/>
  <c r="W13" i="7"/>
  <c r="Y13" i="7"/>
  <c r="M12" i="7"/>
  <c r="R16" i="8"/>
  <c r="P16" i="8"/>
  <c r="AA11" i="12"/>
  <c r="Z11" i="12"/>
  <c r="AB11" i="12"/>
  <c r="AC11" i="12"/>
  <c r="Y11" i="12"/>
  <c r="X11" i="12"/>
  <c r="A17" i="4"/>
  <c r="C17" i="4" s="1"/>
  <c r="H9" i="20"/>
  <c r="K10" i="20"/>
  <c r="J10" i="20"/>
  <c r="I10" i="20"/>
  <c r="S11" i="9"/>
  <c r="M10" i="9"/>
  <c r="P11" i="9"/>
  <c r="N11" i="9"/>
  <c r="Q11" i="9"/>
  <c r="J12" i="11"/>
  <c r="R12" i="9"/>
  <c r="K11" i="11"/>
  <c r="H10" i="11"/>
  <c r="I11" i="11"/>
  <c r="V12" i="9"/>
  <c r="T12" i="9"/>
  <c r="O12" i="9"/>
  <c r="P11" i="7"/>
  <c r="N11" i="7"/>
  <c r="L11" i="7"/>
  <c r="K10" i="7"/>
  <c r="P13" i="11"/>
  <c r="N12" i="20"/>
  <c r="O12" i="20"/>
  <c r="P12" i="20"/>
  <c r="L16" i="8"/>
  <c r="J16" i="8"/>
  <c r="X12" i="7"/>
  <c r="V12" i="7"/>
  <c r="U12" i="7"/>
  <c r="T12" i="7"/>
  <c r="S11" i="7"/>
  <c r="O12" i="7"/>
  <c r="Q12" i="7"/>
  <c r="Z12" i="9" l="1"/>
  <c r="M11" i="7"/>
  <c r="U11" i="12"/>
  <c r="N9" i="12"/>
  <c r="O10" i="12"/>
  <c r="T10" i="12"/>
  <c r="S10" i="12"/>
  <c r="R10" i="12"/>
  <c r="Q10" i="12"/>
  <c r="P10" i="12"/>
  <c r="L11" i="11"/>
  <c r="AF12" i="9"/>
  <c r="Y11" i="9"/>
  <c r="AD11" i="9"/>
  <c r="AA11" i="9"/>
  <c r="X10" i="9"/>
  <c r="AB11" i="9"/>
  <c r="AC12" i="9"/>
  <c r="AG12" i="9"/>
  <c r="AE12" i="9"/>
  <c r="U11" i="9"/>
  <c r="O11" i="9"/>
  <c r="AD11" i="12"/>
  <c r="P12" i="11"/>
  <c r="S10" i="7"/>
  <c r="X11" i="7"/>
  <c r="V11" i="7"/>
  <c r="U11" i="7"/>
  <c r="T11" i="7"/>
  <c r="Y12" i="7"/>
  <c r="W12" i="7"/>
  <c r="O11" i="20"/>
  <c r="N11" i="20"/>
  <c r="P11" i="20"/>
  <c r="V11" i="9"/>
  <c r="T11" i="9"/>
  <c r="A18" i="4"/>
  <c r="C18" i="4" s="1"/>
  <c r="L15" i="8"/>
  <c r="J15" i="8"/>
  <c r="Q10" i="9"/>
  <c r="P10" i="9"/>
  <c r="S10" i="9"/>
  <c r="N10" i="9"/>
  <c r="M9" i="9"/>
  <c r="O11" i="11"/>
  <c r="Q11" i="11"/>
  <c r="I10" i="11"/>
  <c r="H9" i="11"/>
  <c r="K10" i="11"/>
  <c r="R11" i="9"/>
  <c r="R12" i="11"/>
  <c r="J11" i="11"/>
  <c r="K9" i="7"/>
  <c r="P10" i="7"/>
  <c r="N10" i="7"/>
  <c r="L10" i="7"/>
  <c r="O14" i="8"/>
  <c r="N13" i="8"/>
  <c r="Q14" i="8"/>
  <c r="Q11" i="7"/>
  <c r="O11" i="7"/>
  <c r="X10" i="12"/>
  <c r="Y10" i="12"/>
  <c r="AC10" i="12"/>
  <c r="AB10" i="12"/>
  <c r="AA10" i="12"/>
  <c r="Z10" i="12"/>
  <c r="H13" i="8"/>
  <c r="I14" i="8"/>
  <c r="K14" i="8"/>
  <c r="K9" i="20"/>
  <c r="I9" i="20"/>
  <c r="J9" i="20"/>
  <c r="P15" i="8"/>
  <c r="R15" i="8"/>
  <c r="U10" i="12" l="1"/>
  <c r="Z11" i="9"/>
  <c r="M10" i="7"/>
  <c r="T9" i="12"/>
  <c r="S9" i="12"/>
  <c r="R9" i="12"/>
  <c r="Q9" i="12"/>
  <c r="P9" i="12"/>
  <c r="O9" i="12"/>
  <c r="AD10" i="12"/>
  <c r="L10" i="11"/>
  <c r="AF11" i="9"/>
  <c r="U10" i="9"/>
  <c r="AB10" i="9"/>
  <c r="AA10" i="9"/>
  <c r="Y10" i="9"/>
  <c r="AD10" i="9"/>
  <c r="X9" i="9"/>
  <c r="AC11" i="9"/>
  <c r="AG11" i="9"/>
  <c r="AE11" i="9"/>
  <c r="O10" i="9"/>
  <c r="R11" i="11"/>
  <c r="I13" i="8"/>
  <c r="H12" i="8"/>
  <c r="K13" i="8"/>
  <c r="O13" i="8"/>
  <c r="N12" i="8"/>
  <c r="Q13" i="8"/>
  <c r="Q10" i="11"/>
  <c r="O10" i="11"/>
  <c r="AC9" i="12"/>
  <c r="AB9" i="12"/>
  <c r="AA9" i="12"/>
  <c r="Z9" i="12"/>
  <c r="Y9" i="12"/>
  <c r="X9" i="12"/>
  <c r="Q10" i="7"/>
  <c r="O10" i="7"/>
  <c r="N9" i="9"/>
  <c r="S9" i="9"/>
  <c r="Q9" i="9"/>
  <c r="P9" i="9"/>
  <c r="A19" i="4"/>
  <c r="C19" i="4" s="1"/>
  <c r="J10" i="11"/>
  <c r="T10" i="9"/>
  <c r="V10" i="9"/>
  <c r="Y11" i="7"/>
  <c r="W11" i="7"/>
  <c r="K9" i="11"/>
  <c r="I9" i="11"/>
  <c r="R10" i="9"/>
  <c r="P9" i="7"/>
  <c r="N9" i="7"/>
  <c r="L9" i="7"/>
  <c r="P10" i="20"/>
  <c r="O10" i="20"/>
  <c r="N10" i="20"/>
  <c r="J14" i="8"/>
  <c r="L14" i="8"/>
  <c r="P14" i="8"/>
  <c r="R14" i="8"/>
  <c r="P11" i="11"/>
  <c r="S9" i="7"/>
  <c r="X10" i="7"/>
  <c r="V10" i="7"/>
  <c r="T10" i="7"/>
  <c r="U10" i="7"/>
  <c r="U9" i="12" l="1"/>
  <c r="AD9" i="12"/>
  <c r="L9" i="11"/>
  <c r="U9" i="9"/>
  <c r="AC10" i="9"/>
  <c r="AD9" i="9"/>
  <c r="Y9" i="9"/>
  <c r="AB9" i="9"/>
  <c r="AA9" i="9"/>
  <c r="AG10" i="9"/>
  <c r="AE10" i="9"/>
  <c r="Z10" i="9"/>
  <c r="AF10" i="9"/>
  <c r="O9" i="9"/>
  <c r="R10" i="11"/>
  <c r="J9" i="11"/>
  <c r="O9" i="11"/>
  <c r="Q9" i="11"/>
  <c r="P9" i="20"/>
  <c r="O9" i="20"/>
  <c r="N9" i="20"/>
  <c r="R13" i="8"/>
  <c r="P13" i="8"/>
  <c r="Q9" i="7"/>
  <c r="O9" i="7"/>
  <c r="V9" i="9"/>
  <c r="T9" i="9"/>
  <c r="Q12" i="8"/>
  <c r="O12" i="8"/>
  <c r="N11" i="8"/>
  <c r="A20" i="4"/>
  <c r="C20" i="4" s="1"/>
  <c r="M9" i="7"/>
  <c r="P10" i="11"/>
  <c r="J13" i="8"/>
  <c r="L13" i="8"/>
  <c r="T9" i="7"/>
  <c r="X9" i="7"/>
  <c r="U9" i="7"/>
  <c r="V9" i="7"/>
  <c r="R9" i="9"/>
  <c r="Y10" i="7"/>
  <c r="W10" i="7"/>
  <c r="H11" i="8"/>
  <c r="I11" i="8" s="1"/>
  <c r="K12" i="8"/>
  <c r="I12" i="8"/>
  <c r="Z9" i="9" l="1"/>
  <c r="AF9" i="9"/>
  <c r="AE9" i="9"/>
  <c r="AG9" i="9"/>
  <c r="AC9" i="9"/>
  <c r="P9" i="11"/>
  <c r="A21" i="4"/>
  <c r="C21" i="4" s="1"/>
  <c r="Q11" i="8"/>
  <c r="O11" i="8"/>
  <c r="P12" i="8"/>
  <c r="R12" i="8"/>
  <c r="L12" i="8"/>
  <c r="J12" i="8"/>
  <c r="Y9" i="7"/>
  <c r="W9" i="7"/>
  <c r="K11" i="8"/>
  <c r="R9" i="11"/>
  <c r="P11" i="8" l="1"/>
  <c r="R11" i="8"/>
  <c r="L11" i="8"/>
  <c r="J11" i="8"/>
  <c r="A22" i="4"/>
  <c r="C22" i="4" s="1"/>
  <c r="A23" i="4" l="1"/>
  <c r="C23" i="4" s="1"/>
  <c r="A24" i="4" l="1"/>
  <c r="C24" i="4" s="1"/>
  <c r="A25" i="4" l="1"/>
  <c r="C25" i="4" s="1"/>
  <c r="A26" i="4" l="1"/>
  <c r="C26" i="4" s="1"/>
  <c r="A27" i="4" l="1"/>
  <c r="C27" i="4" s="1"/>
  <c r="A28" i="4" l="1"/>
  <c r="C28" i="4" s="1"/>
  <c r="A29" i="4" l="1"/>
  <c r="C29" i="4" s="1"/>
  <c r="A30" i="4" l="1"/>
  <c r="C30" i="4" s="1"/>
  <c r="A31" i="4" l="1"/>
  <c r="C31" i="4" s="1"/>
  <c r="A32" i="4" l="1"/>
  <c r="C32" i="4" s="1"/>
  <c r="A33" i="4" l="1"/>
  <c r="C33" i="4" s="1"/>
  <c r="A34" i="4" l="1"/>
  <c r="C34" i="4" s="1"/>
  <c r="A35" i="4" l="1"/>
  <c r="C35" i="4" s="1"/>
  <c r="A36" i="4" l="1"/>
  <c r="C36" i="4" s="1"/>
  <c r="A37" i="4" l="1"/>
  <c r="C37" i="4" s="1"/>
  <c r="A38" i="4" l="1"/>
  <c r="C38" i="4" s="1"/>
  <c r="A39" i="4" l="1"/>
  <c r="C39" i="4" s="1"/>
  <c r="A40" i="4" l="1"/>
  <c r="C40" i="4" s="1"/>
  <c r="A41" i="4" l="1"/>
  <c r="C41" i="4" s="1"/>
  <c r="A42" i="4" l="1"/>
  <c r="A43" i="4" l="1"/>
  <c r="C43" i="4" s="1"/>
  <c r="C42" i="4"/>
  <c r="M18" i="4" l="1"/>
  <c r="R18" i="4"/>
  <c r="P18" i="4"/>
  <c r="O18" i="4"/>
  <c r="L17" i="4"/>
  <c r="N18" i="4"/>
  <c r="Q18" i="4"/>
  <c r="R17" i="4" l="1"/>
  <c r="Q17" i="4"/>
  <c r="P17" i="4"/>
  <c r="L16" i="4"/>
  <c r="O17" i="4"/>
  <c r="M17" i="4"/>
  <c r="N17" i="4"/>
  <c r="Q16" i="4" l="1"/>
  <c r="O16" i="4"/>
  <c r="L15" i="4"/>
  <c r="N16" i="4"/>
  <c r="M16" i="4"/>
  <c r="R16" i="4"/>
  <c r="P16" i="4"/>
  <c r="N15" i="4" l="1"/>
  <c r="M15" i="4"/>
  <c r="Q15" i="4"/>
  <c r="R15" i="4"/>
  <c r="O15" i="4"/>
  <c r="L14" i="4"/>
  <c r="P15" i="4"/>
  <c r="Q14" i="4" l="1"/>
  <c r="P14" i="4"/>
  <c r="N14" i="4"/>
  <c r="O14" i="4"/>
  <c r="L13" i="4"/>
  <c r="R14" i="4"/>
  <c r="M14" i="4"/>
  <c r="L12" i="4" l="1"/>
  <c r="O13" i="4"/>
  <c r="N13" i="4"/>
  <c r="M13" i="4"/>
  <c r="Q13" i="4"/>
  <c r="P13" i="4"/>
  <c r="R13" i="4"/>
  <c r="R12" i="4" l="1"/>
  <c r="P12" i="4"/>
  <c r="Q12" i="4"/>
  <c r="N12" i="4"/>
  <c r="M12" i="4"/>
  <c r="L11" i="4"/>
  <c r="O12" i="4"/>
  <c r="R11" i="4" l="1"/>
  <c r="Q11" i="4"/>
  <c r="P11" i="4"/>
  <c r="O11" i="4"/>
  <c r="L10" i="4"/>
  <c r="L9" i="4" s="1"/>
  <c r="N11" i="4"/>
  <c r="M11" i="4"/>
  <c r="O10" i="4" l="1"/>
  <c r="N10" i="4"/>
  <c r="M10" i="4"/>
  <c r="R10" i="4"/>
  <c r="P10" i="4"/>
  <c r="Q10" i="4"/>
  <c r="R9" i="4" l="1"/>
  <c r="O9" i="4"/>
  <c r="Q9" i="4"/>
  <c r="P9" i="4"/>
  <c r="M9" i="4"/>
  <c r="N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<sst xmlns="http://schemas.openxmlformats.org/spreadsheetml/2006/main" count="2812" uniqueCount="1231">
  <si>
    <t>Economic Contribution</t>
  </si>
  <si>
    <t>:</t>
  </si>
  <si>
    <t>Mining Economic Impact</t>
  </si>
  <si>
    <t>Exports 2-years</t>
  </si>
  <si>
    <t>Exports Historic</t>
  </si>
  <si>
    <t>Mining Investment</t>
  </si>
  <si>
    <t>Exploration</t>
  </si>
  <si>
    <t>Mineral Exploration By Commodity</t>
  </si>
  <si>
    <t>Mineral Exploration By Type</t>
  </si>
  <si>
    <t>Mineral Exploration Metres Drilled</t>
  </si>
  <si>
    <t>Petroleum Exploration Expenditure</t>
  </si>
  <si>
    <t>Petroleum Exploration By Location</t>
  </si>
  <si>
    <t>Royalties</t>
  </si>
  <si>
    <t>Royalties 2-years</t>
  </si>
  <si>
    <t>Royalties Historic</t>
  </si>
  <si>
    <t>Employment</t>
  </si>
  <si>
    <t>Mining Employment Calendar Year</t>
  </si>
  <si>
    <t>Mining Employment Financial Year</t>
  </si>
  <si>
    <t>Mining Employment Report Period</t>
  </si>
  <si>
    <t>Mining Employment By Calendar Year Pre-2001</t>
  </si>
  <si>
    <t>Petroleum Employment</t>
  </si>
  <si>
    <t>Petroleum Employment Monthly January 2010 to March 2022</t>
  </si>
  <si>
    <t>How to Use</t>
  </si>
  <si>
    <t>Details about how to use this file, and access the information held within it.</t>
  </si>
  <si>
    <t>Data</t>
  </si>
  <si>
    <t>Sources</t>
  </si>
  <si>
    <t>Source</t>
  </si>
  <si>
    <t>Link</t>
  </si>
  <si>
    <t>Gross Domestic Product</t>
  </si>
  <si>
    <t>Australian Bureau of Statistics (ABS)</t>
  </si>
  <si>
    <t>Australian National Accounts: State Accounts</t>
  </si>
  <si>
    <t>Gross State Product WA</t>
  </si>
  <si>
    <t>ABS</t>
  </si>
  <si>
    <t>Mining investment</t>
  </si>
  <si>
    <t>Private New Capital Expenditure and Expected Expenditure, Australia</t>
  </si>
  <si>
    <t>New capital expenditure</t>
  </si>
  <si>
    <t>Australia merchandise exports by State and by Destination</t>
  </si>
  <si>
    <t>International Trade in Goods and Services, Australia</t>
  </si>
  <si>
    <t>Australia mineral and energy exports</t>
  </si>
  <si>
    <t>Office of the Chief Economist, Department of Industry, Science and Resources</t>
  </si>
  <si>
    <t>Resources and Energy Quarterly</t>
  </si>
  <si>
    <t>Mineral exploration expenditure and metres drilled</t>
  </si>
  <si>
    <t>Mineral and Petroleum Exploration, Australia</t>
  </si>
  <si>
    <t>Petroleum exploration expenditure</t>
  </si>
  <si>
    <t>Mining employment</t>
  </si>
  <si>
    <t>Petroleum employment monthly January 2010 to March 2022</t>
  </si>
  <si>
    <t>Petroleum employment quarterly 1985 to Now</t>
  </si>
  <si>
    <t>Labour Force, Australia, Detailed</t>
  </si>
  <si>
    <t>Click here to select an option</t>
  </si>
  <si>
    <t>A menu will drop down showing your choices</t>
  </si>
  <si>
    <t>Click to Select: Click anywhere in this tab to bring up the menu</t>
  </si>
  <si>
    <t>Chart Data</t>
  </si>
  <si>
    <t>Click above to change chart data</t>
  </si>
  <si>
    <t>Select:</t>
  </si>
  <si>
    <t>Last 10 Financial Years</t>
  </si>
  <si>
    <t>Year</t>
  </si>
  <si>
    <t>Western Australia ($ Million)</t>
  </si>
  <si>
    <t>Australia 
($ Million)</t>
  </si>
  <si>
    <t>Mining Share of Western Australia Gross State Product</t>
  </si>
  <si>
    <t>Rest of Australia ($ Million)</t>
  </si>
  <si>
    <t>Australia ($ Million)</t>
  </si>
  <si>
    <t>Calendar Year</t>
  </si>
  <si>
    <t>Financial Year</t>
  </si>
  <si>
    <t>Commodity</t>
  </si>
  <si>
    <t>$</t>
  </si>
  <si>
    <t>%</t>
  </si>
  <si>
    <t>Alumina and Bauxite</t>
  </si>
  <si>
    <t>Copper-Lead-Zinc</t>
  </si>
  <si>
    <t>Gold</t>
  </si>
  <si>
    <t>Iron Ore</t>
  </si>
  <si>
    <t>Lithium</t>
  </si>
  <si>
    <t>Mineral Sands</t>
  </si>
  <si>
    <t>Nickel</t>
  </si>
  <si>
    <t>Petroleum</t>
  </si>
  <si>
    <t>Other</t>
  </si>
  <si>
    <t>Western Australia Mineral and Petroleum Exports</t>
  </si>
  <si>
    <t>Mineral and Petroleum Exports Share of Western Australia</t>
  </si>
  <si>
    <t>n/a</t>
  </si>
  <si>
    <t>Australia Mineral and Energy Exports</t>
  </si>
  <si>
    <t>Western Australia Share of Australia</t>
  </si>
  <si>
    <t>Historic Mineral and Petroleum Exports Financial Year</t>
  </si>
  <si>
    <t>2015-16</t>
  </si>
  <si>
    <t>2016-17</t>
  </si>
  <si>
    <t>2017-18</t>
  </si>
  <si>
    <t>2018-19</t>
  </si>
  <si>
    <t>2019-20</t>
  </si>
  <si>
    <t>2020-21</t>
  </si>
  <si>
    <t>2021-22</t>
  </si>
  <si>
    <t>2022-23</t>
  </si>
  <si>
    <t>Cumulative Total</t>
  </si>
  <si>
    <t>Total Share</t>
  </si>
  <si>
    <t>Historic Mineral and Petroleum Exports Calendar Year</t>
  </si>
  <si>
    <t>Last 10 Calendar Years</t>
  </si>
  <si>
    <t>Quarter</t>
  </si>
  <si>
    <t>Western Australia New Capital Expenditure ($ Million)</t>
  </si>
  <si>
    <t>Mining Share of Western Australia New Capital Expenditure</t>
  </si>
  <si>
    <t xml:space="preserve"> </t>
  </si>
  <si>
    <t>Commodity:</t>
  </si>
  <si>
    <t>Total</t>
  </si>
  <si>
    <t>Mineral Exploration Expenditure By Type</t>
  </si>
  <si>
    <t xml:space="preserve"> Last 10 Calendar Years</t>
  </si>
  <si>
    <t>Western Australia New Deposits ($ Million)</t>
  </si>
  <si>
    <t xml:space="preserve"> Australia New Deposits ($ Million)</t>
  </si>
  <si>
    <t>Western Australia Existing Deposits ($ Million)</t>
  </si>
  <si>
    <t>New</t>
  </si>
  <si>
    <t>Existing</t>
  </si>
  <si>
    <t>Australia New Deposits Metres Drilled ('000)</t>
  </si>
  <si>
    <t>Australia Existing Deposits Metres Drilled ('000)</t>
  </si>
  <si>
    <t>Australia Total Deposits Metres Drilled ('000)</t>
  </si>
  <si>
    <t>Annual Average (Financial Year)</t>
  </si>
  <si>
    <t>Annual Average (Calendar Year)</t>
  </si>
  <si>
    <t xml:space="preserve">New Deposits (Quarterly average over </t>
  </si>
  <si>
    <t xml:space="preserve">Existing Deposits (Quarterly average over </t>
  </si>
  <si>
    <t xml:space="preserve">Total (Quarterly average over </t>
  </si>
  <si>
    <t>Petroleum Exploration Expenditure By Location</t>
  </si>
  <si>
    <t xml:space="preserve">Onshore Share of Australia </t>
  </si>
  <si>
    <t>($ Million)</t>
  </si>
  <si>
    <t>Alumina</t>
  </si>
  <si>
    <t>Copper, Lead &amp; Zinc</t>
  </si>
  <si>
    <t>Diamonds</t>
  </si>
  <si>
    <t>Mineral sands</t>
  </si>
  <si>
    <t>Other Minerals</t>
  </si>
  <si>
    <t>North West Shelf Grants</t>
  </si>
  <si>
    <t>Total Royalty Receipts</t>
  </si>
  <si>
    <t>Historic Royalty Receipts and Revenue Financial Year</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</si>
  <si>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</si>
  <si>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</si>
  <si>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</si>
  <si>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</si>
  <si>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</si>
  <si>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</si>
  <si>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</si>
  <si>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</si>
  <si>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</si>
  <si>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</si>
  <si>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</si>
  <si>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</si>
  <si>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</si>
  <si>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</si>
  <si>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</si>
  <si>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</si>
  <si>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</si>
  <si>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</si>
  <si>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</si>
  <si>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</si>
  <si>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</si>
  <si>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</si>
  <si>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</si>
  <si>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</si>
  <si>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</si>
  <si>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</si>
  <si>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</si>
  <si>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</si>
  <si>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</si>
  <si>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</si>
  <si>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</si>
  <si>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</si>
  <si>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Historic Royalty Receipts and Revenue Calendar Year</t>
  </si>
  <si>
    <t>Mining And Mineral Exploration FTEs By Calendar Year</t>
  </si>
  <si>
    <t>Coal</t>
  </si>
  <si>
    <t>Construction Materials</t>
  </si>
  <si>
    <t>Diamond</t>
  </si>
  <si>
    <t>Salt</t>
  </si>
  <si>
    <t>Total Mining</t>
  </si>
  <si>
    <t>Mineral Exploration</t>
  </si>
  <si>
    <t>Total Mining and Mineral Exploration</t>
  </si>
  <si>
    <t>FTEs</t>
  </si>
  <si>
    <t>Column Chart Data</t>
  </si>
  <si>
    <t>Click above to change column chart data</t>
  </si>
  <si>
    <t>Mining And Mineral Exploration FTEs By Financial Year</t>
  </si>
  <si>
    <t>Month:</t>
  </si>
  <si>
    <t>Year:</t>
  </si>
  <si>
    <t>Mining Employees FTEs</t>
  </si>
  <si>
    <t>Mining Contractors FTEs</t>
  </si>
  <si>
    <t>Total Mining FTEs</t>
  </si>
  <si>
    <t>Total Mining FTEs (HYs)</t>
  </si>
  <si>
    <t>H1 2001</t>
  </si>
  <si>
    <t>H2 2001</t>
  </si>
  <si>
    <t>H1 2002</t>
  </si>
  <si>
    <t>H2 2002</t>
  </si>
  <si>
    <t>H1 2003</t>
  </si>
  <si>
    <t>H2 2003</t>
  </si>
  <si>
    <t>H1 2004</t>
  </si>
  <si>
    <t>H2 2004</t>
  </si>
  <si>
    <t>H1 2005</t>
  </si>
  <si>
    <t>H2 2005</t>
  </si>
  <si>
    <t>H1 2006</t>
  </si>
  <si>
    <t>H2 2006</t>
  </si>
  <si>
    <t>H1 2007</t>
  </si>
  <si>
    <t>H2 2007</t>
  </si>
  <si>
    <t>H1 2008</t>
  </si>
  <si>
    <t>H2 2008</t>
  </si>
  <si>
    <t>H1 2009</t>
  </si>
  <si>
    <t>H2 2009</t>
  </si>
  <si>
    <t>H1 2010</t>
  </si>
  <si>
    <t>H2 2010</t>
  </si>
  <si>
    <t>H1 2011</t>
  </si>
  <si>
    <t>H2 2011</t>
  </si>
  <si>
    <t>H1 2012</t>
  </si>
  <si>
    <t>H2 2012</t>
  </si>
  <si>
    <t>H1 2013</t>
  </si>
  <si>
    <t>H2 2013</t>
  </si>
  <si>
    <t>H1 2014</t>
  </si>
  <si>
    <t>H2 2014</t>
  </si>
  <si>
    <t>H1 2015</t>
  </si>
  <si>
    <t>H2 2015</t>
  </si>
  <si>
    <t>H1 2016</t>
  </si>
  <si>
    <t>H2 2016</t>
  </si>
  <si>
    <t>H1 2017</t>
  </si>
  <si>
    <t>H2 2017</t>
  </si>
  <si>
    <t>H1 2018</t>
  </si>
  <si>
    <t>H2 2018</t>
  </si>
  <si>
    <t>H1 2019</t>
  </si>
  <si>
    <t>H2 2019</t>
  </si>
  <si>
    <t>H1 2020</t>
  </si>
  <si>
    <t>H2 2020</t>
  </si>
  <si>
    <t>H1 2021</t>
  </si>
  <si>
    <t>H2 2021</t>
  </si>
  <si>
    <t>H1 2022</t>
  </si>
  <si>
    <t xml:space="preserve">Base Metals               </t>
  </si>
  <si>
    <t xml:space="preserve">Bauxite - Alumina                  </t>
  </si>
  <si>
    <t xml:space="preserve">Coal                               </t>
  </si>
  <si>
    <t xml:space="preserve">Construction Materials             </t>
  </si>
  <si>
    <t xml:space="preserve">Diamond                            </t>
  </si>
  <si>
    <t xml:space="preserve">Mineral Sands                </t>
  </si>
  <si>
    <t xml:space="preserve">Iron Ore                           </t>
  </si>
  <si>
    <t xml:space="preserve">Lithium           </t>
  </si>
  <si>
    <t xml:space="preserve">Nickel                             </t>
  </si>
  <si>
    <t xml:space="preserve">Salt                               </t>
  </si>
  <si>
    <t>Total FTEs</t>
  </si>
  <si>
    <t>Mineral Exploration FTEs</t>
  </si>
  <si>
    <t>Employees</t>
  </si>
  <si>
    <t>Contractors</t>
  </si>
  <si>
    <t>Primary Commodity</t>
  </si>
  <si>
    <t>Producer</t>
  </si>
  <si>
    <t>ALCOA OF AUSTRALIA LIMITED</t>
  </si>
  <si>
    <t>SOUTH32 WORSLEY ALUMINA PTY LTD</t>
  </si>
  <si>
    <t>Chemicals</t>
  </si>
  <si>
    <t>DORAL FUSED MATERIALS PTY LTD</t>
  </si>
  <si>
    <t>Chemicals Total</t>
  </si>
  <si>
    <t>Clays</t>
  </si>
  <si>
    <t>AUSTRAL BRICKS (WA) PTY LTD</t>
  </si>
  <si>
    <t>HUDSON MARKETING PTY LTD</t>
  </si>
  <si>
    <t>HUDSON RESOURCES LIMITED</t>
  </si>
  <si>
    <t>MIDLAND BRICK PTY LTD</t>
  </si>
  <si>
    <t>TELLUS HOLDINGS LTD</t>
  </si>
  <si>
    <t>W.A. KAOLIN HOLDINGS PTY LTD</t>
  </si>
  <si>
    <t>WATHEROO MINERALS PTY LTD</t>
  </si>
  <si>
    <t>Clays Total</t>
  </si>
  <si>
    <t>PREMIER COAL LIMITED</t>
  </si>
  <si>
    <t>THE GRIFFIN COAL MINING COMPANY PTY LIMITED</t>
  </si>
  <si>
    <t>Coal Total</t>
  </si>
  <si>
    <t>APH CONTRACTORS PTY LTD</t>
  </si>
  <si>
    <t>ASHBY D R &amp; A I</t>
  </si>
  <si>
    <t>AUSTRALIAN STONE COMPANY PTY LTD</t>
  </si>
  <si>
    <t>AVAGO PTY LTD</t>
  </si>
  <si>
    <t>B VERSACI PTY LTD</t>
  </si>
  <si>
    <t>B. &amp; J. CATALANO PTY LTD</t>
  </si>
  <si>
    <t>BCP MATERIALS PTY LTD</t>
  </si>
  <si>
    <t>BGC (AUSTRALIA) PTY LTD</t>
  </si>
  <si>
    <t>BM &amp; RV WATERS</t>
  </si>
  <si>
    <t>BORAL RESOURCES (W.A.) LTD</t>
  </si>
  <si>
    <t>BRAJKOVICH LANDFILL &amp; RECYCLING PTY LTD</t>
  </si>
  <si>
    <t>BRODAN (W.A.) PTY LTD</t>
  </si>
  <si>
    <t>BUCKSKI HOLDINGS PTY LTD</t>
  </si>
  <si>
    <t>BUSHBEACH HOLDINGS PTY LTD</t>
  </si>
  <si>
    <t>CARBONE BROS. PTY LTD</t>
  </si>
  <si>
    <t>CARNARVON HARDROCK LIMESTONE QUARRY PTY LTD</t>
  </si>
  <si>
    <t>CASTLE EQUIPMENT HIRE PTY LTD</t>
  </si>
  <si>
    <t>DRILLINE PTY LTD</t>
  </si>
  <si>
    <t>GFSG PTY LTD</t>
  </si>
  <si>
    <t>HALLGRAV PTY LTD</t>
  </si>
  <si>
    <t>HOLCIM (AUSTRALIA) PTY LTD</t>
  </si>
  <si>
    <t>HOVEY MANAGEMENT TRUST</t>
  </si>
  <si>
    <t>ITALIA STONE GROUP PTY LTD</t>
  </si>
  <si>
    <t>J.S.W. HOLDINGS PTY. LTD.</t>
  </si>
  <si>
    <t>KARRATHA EARTH MOVING AND SAND SUPPLIES</t>
  </si>
  <si>
    <t>KIMBERLEY QUARRY PTY LTD</t>
  </si>
  <si>
    <t>LEEUWIN CIVIL PTY LTD</t>
  </si>
  <si>
    <t>LENANE HOLDINGS PTY LTD</t>
  </si>
  <si>
    <t>MGM BULK PTY LTD</t>
  </si>
  <si>
    <t>MINERAL CRUSHING SERVICES (WA) PTY LTD</t>
  </si>
  <si>
    <t>MLG OZ PTY LTD</t>
  </si>
  <si>
    <t>MOBILE CONCRETING SOLUTIONS PTY LTD</t>
  </si>
  <si>
    <t>MOORE SANDS RESOURCES PTY LTD</t>
  </si>
  <si>
    <t>N.B. LITTLE &amp; SONS PTY LTD</t>
  </si>
  <si>
    <t>NORTH WEST QUARRIES PTY LTD</t>
  </si>
  <si>
    <t>NORWEST SAND &amp; GRAVEL PTY LTD</t>
  </si>
  <si>
    <t>NTC CONTRACTING PTY LTD</t>
  </si>
  <si>
    <t>P S CONNOLLY ENTERPRISES PTY LTD</t>
  </si>
  <si>
    <t>PATIENCE BULK HAULAGE PTY LTD</t>
  </si>
  <si>
    <t>RURAL STONE COMPANY WA PTY LTD</t>
  </si>
  <si>
    <t>SJ &amp; AM CLIFTON</t>
  </si>
  <si>
    <t>SPINIFEX CRUSHING &amp; SCREENING SERVICES PTY LTD</t>
  </si>
  <si>
    <t>STELLAR CONTRACTING SERVICES PTY LTD</t>
  </si>
  <si>
    <t>THE TRUSTEE FOR BORRELLO FAMILY TRUST</t>
  </si>
  <si>
    <t>THE TRUSTEE FOR RANSBERG UNIT TRUST</t>
  </si>
  <si>
    <t>THE TRUSTEE FOR THE GREAT SAND SUPPLIES TRUST</t>
  </si>
  <si>
    <t>The Trustee for THE JAB FAMILYTRUST</t>
  </si>
  <si>
    <t>The Trustee for The McGuinness Family Trust</t>
  </si>
  <si>
    <t>THE TRUSTEE FOR THE SPIERS EARTHWORKS TRUST</t>
  </si>
  <si>
    <t>The Trustee for THE SWEETMAN NO 2 TRUST</t>
  </si>
  <si>
    <t>THE TRUSTEE FOR WA LIMESTONE UNIT TRUST</t>
  </si>
  <si>
    <t>URBAN RESOURCES PTY LTD</t>
  </si>
  <si>
    <t>VINCI GRAVEL SUPPLIES PTY LTD</t>
  </si>
  <si>
    <t>WAROONA RESOURCES PTY LTD</t>
  </si>
  <si>
    <t>WASTE STREAM MANAGEMENT</t>
  </si>
  <si>
    <t>Construction Materials Total</t>
  </si>
  <si>
    <t>ABRA MINING PTY LIMITED</t>
  </si>
  <si>
    <t>ANAX METALS LIMITED</t>
  </si>
  <si>
    <t>CYPRIUM SERVICES PTY LTD</t>
  </si>
  <si>
    <t>FOX RADIO HILL PTY LTD</t>
  </si>
  <si>
    <t>GOLDEN GROVE OPERATIONS PTY LTD</t>
  </si>
  <si>
    <t>QUBE BULK PTY LTD</t>
  </si>
  <si>
    <t>ROSSLYN HILL MINING PTY LTD</t>
  </si>
  <si>
    <t>ROUND OAK JAGUAR PTY LTD</t>
  </si>
  <si>
    <t>SANDFIRE RESOURCES LIMITED</t>
  </si>
  <si>
    <t>ARGYLE DIAMONDS LIMITED</t>
  </si>
  <si>
    <t>INDIA BORE DIAMOND HOLDINGS PTY LTD</t>
  </si>
  <si>
    <t>Diatomite - Spongolite</t>
  </si>
  <si>
    <t>SOUTHERN SPONGELITE INDUSTRIES PTY LTD</t>
  </si>
  <si>
    <t>Diatomite - Spongolite Total</t>
  </si>
  <si>
    <t>Dimension Stone</t>
  </si>
  <si>
    <t>LIMESTONE BUILDING BLOCKS COMPANY PTY. LTD.</t>
  </si>
  <si>
    <t>LUNARD PTY LTD</t>
  </si>
  <si>
    <t>PILBARA STONE HOLDINGS PTY LTD</t>
  </si>
  <si>
    <t>Q KRETE PTY LTD</t>
  </si>
  <si>
    <t>STONE DIMENSIONS AUSTRALIA PTY LTD</t>
  </si>
  <si>
    <t>Dimension Stone Total</t>
  </si>
  <si>
    <t>Gem &amp; Semi-Precious Stones</t>
  </si>
  <si>
    <t>AUSTRALIA MENZIES EMERALD PTY LTD</t>
  </si>
  <si>
    <t>Gem &amp; Semi-Precious Stones Total</t>
  </si>
  <si>
    <t>AGNEW GOLD MINING COMPANY PTY LIMITED</t>
  </si>
  <si>
    <t>ANDY WELL MINING PTY LTD</t>
  </si>
  <si>
    <t>ANGLOGOLD ASHANTI AUSTRALIA LIMITED</t>
  </si>
  <si>
    <t>ARAGON RESOURCES PTY LTD</t>
  </si>
  <si>
    <t>AURENNE MT IDA PTY LTD</t>
  </si>
  <si>
    <t>AVOCA RESOURCES PTY LTD</t>
  </si>
  <si>
    <t>BARTO GOLD MINING PTY LTD</t>
  </si>
  <si>
    <t>BEACON MINING PTY LTD</t>
  </si>
  <si>
    <t>BIG BELL GOLD OPERATIONS PTY LTD</t>
  </si>
  <si>
    <t>BK GOLD MINES PTY LTD</t>
  </si>
  <si>
    <t>BLACK CAT SYNDICATE LIMITED</t>
  </si>
  <si>
    <t>BML VENTURES PTY LTD</t>
  </si>
  <si>
    <t>BRIGHTSTAR RESOURCES LIMITED</t>
  </si>
  <si>
    <t>BULLFINCH RADIO PTY LTD</t>
  </si>
  <si>
    <t>CAMPBELL, ERNEST EDWARD</t>
  </si>
  <si>
    <t>CLASSIC MINERALS LIMITED</t>
  </si>
  <si>
    <t>CLIFTON EARTHMOVING PTY LTD</t>
  </si>
  <si>
    <t>CORINTHIAN MINING PTY LTD</t>
  </si>
  <si>
    <t>DARLOT MINING COMPANY PTY LTD</t>
  </si>
  <si>
    <t>DEFLECTOR MINING LIMITED</t>
  </si>
  <si>
    <t>DULCIE OPERATIONS</t>
  </si>
  <si>
    <t>EDNA MAY OPERATIONS PTY LTD</t>
  </si>
  <si>
    <t>EGAN STREET ROTHSAY PTY LTD</t>
  </si>
  <si>
    <t>EVOLUTION MINING (MUNGARI) PTY LTD</t>
  </si>
  <si>
    <t>FOCUS MINERALS LTD</t>
  </si>
  <si>
    <t>GENESIS MINERALS LIMITED</t>
  </si>
  <si>
    <t>GOLD CORPORATION</t>
  </si>
  <si>
    <t>GOLDEN SPUR RESOURCES PTY LTD</t>
  </si>
  <si>
    <t>GREENMOUNT RESOURCES PTY LTD</t>
  </si>
  <si>
    <t>GREENSTONE RESOURCES (WA) PTY LTD</t>
  </si>
  <si>
    <t>GRUYERE MANAGEMENT PTY LTD</t>
  </si>
  <si>
    <t>GSM MINING COMPANY PTY LTD</t>
  </si>
  <si>
    <t>HALLS CREEK MINING PTY LTD</t>
  </si>
  <si>
    <t>HAOMA MINING NL</t>
  </si>
  <si>
    <t>KALGOORLIE CONSOLIDATED GOLD MINES PTY LTD</t>
  </si>
  <si>
    <t>KERAS (PILBARA) GOLD PTY LTD</t>
  </si>
  <si>
    <t>KIRKALOCKA GOLD SPV PTY LTD</t>
  </si>
  <si>
    <t>Laurence John Molloy</t>
  </si>
  <si>
    <t>LEGACY IRON ORE LTD</t>
  </si>
  <si>
    <t>LINDEN GOLD PTY LTD</t>
  </si>
  <si>
    <t>LINDSAY'S FIND PTY LTD</t>
  </si>
  <si>
    <t>LLOYD GEORGE MINING PTY LTD</t>
  </si>
  <si>
    <t>LRL (AUST) PTY LTD</t>
  </si>
  <si>
    <t>LUKAH MINING PTY LTD</t>
  </si>
  <si>
    <t>MACPHERSONS RESOURCES LIMITED</t>
  </si>
  <si>
    <t>MARDA OPERATIONS PTY LTD</t>
  </si>
  <si>
    <t>MATSA GOLD PTY LTD</t>
  </si>
  <si>
    <t>MC VERDE MINERALS PTY LTD</t>
  </si>
  <si>
    <t>MT MAGNET GOLD PTY LTD</t>
  </si>
  <si>
    <t>MT MORGANS WA MINING PTY LTD</t>
  </si>
  <si>
    <t>NEWCREST MINING LIMITED</t>
  </si>
  <si>
    <t>NEWMONT BODDINGTON GOLD PTY LTD</t>
  </si>
  <si>
    <t>NORTHERN STAR (CAROSUE DAM) PTY LTD</t>
  </si>
  <si>
    <t>NORTHERN STAR (HBJ) PTY LTD</t>
  </si>
  <si>
    <t>NORTHERN STAR (THUNDERBOX) PTY LTD</t>
  </si>
  <si>
    <t>NORTHERN STAR RESOURCES LTD</t>
  </si>
  <si>
    <t>NORTON GOLD FIELDS LTD</t>
  </si>
  <si>
    <t>ORA BANDA MINING LTD</t>
  </si>
  <si>
    <t>PANTORO SOUTH PTY LTD</t>
  </si>
  <si>
    <t>PAYNES FIND MINING PTY LTD</t>
  </si>
  <si>
    <t>PENNY OPERATIONS PTY LTD</t>
  </si>
  <si>
    <t>PRUMM CORPORATION PTY LTD</t>
  </si>
  <si>
    <t>RED OCTOBER GOLD PTY LTD</t>
  </si>
  <si>
    <t>REGIS RESOURCES LIMITED</t>
  </si>
  <si>
    <t>RESOURCE MINING PTY LTD</t>
  </si>
  <si>
    <t>ROXBURY TRADING PTY LTD</t>
  </si>
  <si>
    <t>SANDSTONE OPERATIONS PTY LTD</t>
  </si>
  <si>
    <t>SHERWOOD ENGINEERS PTY. LTD.</t>
  </si>
  <si>
    <t>SILVER LAKE RESOURCES LIMITED</t>
  </si>
  <si>
    <t>SPARTAN RESOURCES LIMITED</t>
  </si>
  <si>
    <t>ST IVES GOLD MINING COMPANY PTY LIMITED</t>
  </si>
  <si>
    <t>TAMPIA OPERATIONS PTY LTD</t>
  </si>
  <si>
    <t>THE TRUSTEE FOR FMR UNIT TRUST</t>
  </si>
  <si>
    <t>VANGO MINING LIMITED</t>
  </si>
  <si>
    <t>WILUNA OPERATIONS PTY LTD</t>
  </si>
  <si>
    <t>WMINES PTY LTD</t>
  </si>
  <si>
    <t>YILGANGI QUEEN GOLDMINES PTY LTD</t>
  </si>
  <si>
    <t>Gold Total</t>
  </si>
  <si>
    <t>Gypsum</t>
  </si>
  <si>
    <t>C.A BYWATERS &amp; P.J BYWATERS</t>
  </si>
  <si>
    <t>CSR BUILDING PRODUCTS LIMITED</t>
  </si>
  <si>
    <t>LAKE HILLMAN MINING PTY LTD</t>
  </si>
  <si>
    <t>LAKESIDE MINERALS PTY LTD</t>
  </si>
  <si>
    <t>THE TRUSTEE FOR WESTDEEN UNIT TRUST</t>
  </si>
  <si>
    <t>TRIPLE M TRANSPORT (WA) PTY LTD</t>
  </si>
  <si>
    <t>Gypsum Total</t>
  </si>
  <si>
    <t>ATLAS IRON PTY LTD</t>
  </si>
  <si>
    <t>BHP BILLITON IRON ORE PTY. LTD.</t>
  </si>
  <si>
    <t>CITIC PACIFIC MINING MANAGEMENT PTY LTD</t>
  </si>
  <si>
    <t>COCKATOO ISLAND MINING PTY LTD</t>
  </si>
  <si>
    <t>CROSSLANDS RESOURCES LTD</t>
  </si>
  <si>
    <t>FENIX RESOURCES LTD</t>
  </si>
  <si>
    <t>HAMERSLEY HMS PTY LTD</t>
  </si>
  <si>
    <t>HAMERSLEY IRON - YANDI PTY LIMITED</t>
  </si>
  <si>
    <t>HAMERSLEY IRON PTY. LIMITED</t>
  </si>
  <si>
    <t>IB OPERATIONS PTY LTD</t>
  </si>
  <si>
    <t>KARARA MINING LIMITED</t>
  </si>
  <si>
    <t>KMG MINING PTY LTD</t>
  </si>
  <si>
    <t>KOOLAN IRON ORE PTY LTD</t>
  </si>
  <si>
    <t>MINERAL RESOURCES LIMITED</t>
  </si>
  <si>
    <t>MOUNT BRUCE MINING PTY LIMITED</t>
  </si>
  <si>
    <t>NEWCAM MINERALS PTY LTD</t>
  </si>
  <si>
    <t>ONSLOW INFRACO PTY LTD</t>
  </si>
  <si>
    <t>ONSLOW IRON PTY LTD</t>
  </si>
  <si>
    <t>PAULSENS EAST IRON ORE PTY LTD</t>
  </si>
  <si>
    <t>PILBARA IRON COMPANY (SERVICES) PTY LTD</t>
  </si>
  <si>
    <t>PILBARA RESOURCE GROUP PTY. LTD.</t>
  </si>
  <si>
    <t>POLARIS METALS PTY LTD</t>
  </si>
  <si>
    <t>PROCESS MINERALS INTERNATIONAL PTY LTD</t>
  </si>
  <si>
    <t>ROBE RIVER MINING CO. PTY. LTD.</t>
  </si>
  <si>
    <t>ROY HILL HOLDINGS PTY LTD</t>
  </si>
  <si>
    <t>ROY HILL IRON ORE PTY LTD</t>
  </si>
  <si>
    <t>TERRA MINING PTY LTD</t>
  </si>
  <si>
    <t>WILUNA FE PTY LTD</t>
  </si>
  <si>
    <t>WONMUNNA IRON ORE PTY LTD</t>
  </si>
  <si>
    <t>Iron Ore Total</t>
  </si>
  <si>
    <t>ALLTRACK WA PTY LTD</t>
  </si>
  <si>
    <t>BEACHBOROUGH PTY LTD</t>
  </si>
  <si>
    <t>CHARLES HULL CONTRACTING CO. PTY LTD</t>
  </si>
  <si>
    <t>COCKBURN CEMENT LIMITED</t>
  </si>
  <si>
    <t>DG &amp; H WILSON</t>
  </si>
  <si>
    <t>EXMOUTH QUARRIES &amp; CONCRETE PTY LTD</t>
  </si>
  <si>
    <t>KARLU GRAZING PTY. LTD.</t>
  </si>
  <si>
    <t>L'HARIDON BIGHT MINING PTY LTD</t>
  </si>
  <si>
    <t>LIME INDUSTRIES PTY LTD</t>
  </si>
  <si>
    <t>METEOR STONE</t>
  </si>
  <si>
    <t>NIGEL PALMER EARTHMOVING PTY LTD</t>
  </si>
  <si>
    <t>OMAHA NOMINEES PTY LTD</t>
  </si>
  <si>
    <t>REDGATE HOLDINGS PTY LTD</t>
  </si>
  <si>
    <t>THE PETER RAYNER FAMILY TRUST</t>
  </si>
  <si>
    <t>WALCO WESTERN AGRICULTURAL LIME COMPANY (AUSTRALIA)</t>
  </si>
  <si>
    <t>WANDIN HILL PTY LTD</t>
  </si>
  <si>
    <t>COVALENT LITHIUM PTY LTD</t>
  </si>
  <si>
    <t>GALAXY LITHIUM AUSTRALIA LIMITED</t>
  </si>
  <si>
    <t>GLOBAL ADVANCED METALS GREENBUSHES PTY LTD</t>
  </si>
  <si>
    <t>LITHCO NO.2 PTY LTD</t>
  </si>
  <si>
    <t>MARBL LITHIUM OPERATIONS PTY LTD</t>
  </si>
  <si>
    <t>PILBARA MINERALS LIMITED</t>
  </si>
  <si>
    <t>TALISON LITHIUM AUSTRALIA PTY LTD</t>
  </si>
  <si>
    <t>The Trustee for THE DAVID CAMPBELL TRUST</t>
  </si>
  <si>
    <t>VALDREW NOMINEES PTY LTD</t>
  </si>
  <si>
    <t>ELEMENT 25 LIMITED</t>
  </si>
  <si>
    <t>PILBARA MANGANESE PTY LTD</t>
  </si>
  <si>
    <t>AUSTRALIAN GARNET PTY LTD</t>
  </si>
  <si>
    <t>BHP TITANIUM MINERALS PTY LTD</t>
  </si>
  <si>
    <t>DORAL MINERAL SANDS PTY LTD</t>
  </si>
  <si>
    <t>GMA GARNET PTY LTD</t>
  </si>
  <si>
    <t>ILUKA RESOURCES LIMITED</t>
  </si>
  <si>
    <t>IMAGE RESOURCES NL</t>
  </si>
  <si>
    <t>KEYSBROOK LEUCOXENE PTY LTD</t>
  </si>
  <si>
    <t>STRANDLINE RESOURCES LIMITED</t>
  </si>
  <si>
    <t>THUNDERBIRD OPERATIONS PTY LTD</t>
  </si>
  <si>
    <t>TRONOX MANAGEMENT PTY LTD</t>
  </si>
  <si>
    <t>TRONOX MINING AUSTRALIA LIMITED</t>
  </si>
  <si>
    <t>BHP NICKEL WEST PTY LTD</t>
  </si>
  <si>
    <t>CHERISH METALS PTY LTD</t>
  </si>
  <si>
    <t>FQM AUSTRALIA NICKEL PTY LTD</t>
  </si>
  <si>
    <t>IGO LIMITED</t>
  </si>
  <si>
    <t>INDEPENDENCE NOVA PTY LTD</t>
  </si>
  <si>
    <t>MINCOR LONG PTY LTD</t>
  </si>
  <si>
    <t>MINCOR OPERATIONS PTY LTD</t>
  </si>
  <si>
    <t>MURRIN MURRIN OPERATIONS PTY LTD</t>
  </si>
  <si>
    <t>NORTHERN STAR (TALISMAN) PTY LTD</t>
  </si>
  <si>
    <t>OZ MINERALS MUSGRAVE OPERATIONS PTY LTD</t>
  </si>
  <si>
    <t>POSEIDON NICKEL LIMITED</t>
  </si>
  <si>
    <t>SAVANNAH NICKEL MINES PTY LTD</t>
  </si>
  <si>
    <t>WINGSTAR INVESTMENTS PTY LTD</t>
  </si>
  <si>
    <t>Nickel Total</t>
  </si>
  <si>
    <t>Phosphate</t>
  </si>
  <si>
    <t>PHOSPHATE RESOURCES LIMITED</t>
  </si>
  <si>
    <t>Phosphate Total</t>
  </si>
  <si>
    <t>Pigments</t>
  </si>
  <si>
    <t>Pigments Total</t>
  </si>
  <si>
    <t>Potash</t>
  </si>
  <si>
    <t>KALIUM LAKES POTASH PTY LTD</t>
  </si>
  <si>
    <t>PIPER PRESTON PTY. LTD.</t>
  </si>
  <si>
    <t>Potash Total</t>
  </si>
  <si>
    <t>Rare Earths</t>
  </si>
  <si>
    <t>HASTINGS TECHNOLOGY METALS LTD</t>
  </si>
  <si>
    <t>LYNAS KALGOORLIE PTY LTD</t>
  </si>
  <si>
    <t>MT WELD MINING PTY LIMITED</t>
  </si>
  <si>
    <t>NORTHERN MINERALS LIMITED</t>
  </si>
  <si>
    <t>Rare Earths Total</t>
  </si>
  <si>
    <t>BCI MINERALS LIMITED</t>
  </si>
  <si>
    <t>DAMPIER SALT LIMITED</t>
  </si>
  <si>
    <t>ONSLOW SALT PTY LTD.</t>
  </si>
  <si>
    <t>SHARK BAY RESOURCES PTY LTD</t>
  </si>
  <si>
    <t>W A SALT KOOLYANOBBING PTY LTD</t>
  </si>
  <si>
    <t>Salt Total</t>
  </si>
  <si>
    <t>Silica - Silica Sand</t>
  </si>
  <si>
    <t>A.C.N. 065 925 402 PTY. LIMITED</t>
  </si>
  <si>
    <t>KEMERTON SILICA SAND PTY LTD</t>
  </si>
  <si>
    <t>SIMCOA OPERATIONS PTY. LTD.</t>
  </si>
  <si>
    <t>Silica - Silica Sand Total</t>
  </si>
  <si>
    <t>Silver</t>
  </si>
  <si>
    <t>Silver Total</t>
  </si>
  <si>
    <t>Talc</t>
  </si>
  <si>
    <t>IMERYS TALC AUSTRALIA PTY LTD</t>
  </si>
  <si>
    <t>IMI FABI (AUSTRALIA) PTY LTD</t>
  </si>
  <si>
    <t>Talc Total</t>
  </si>
  <si>
    <t>Uranium</t>
  </si>
  <si>
    <t>Uranium Total</t>
  </si>
  <si>
    <t>Vanadium - Titanium</t>
  </si>
  <si>
    <t>ATLANTIC VANADIUM PTY LTD</t>
  </si>
  <si>
    <t>Vanadium - Titanium Total</t>
  </si>
  <si>
    <t>NORSCA HOLDINGS PTY LTD</t>
  </si>
  <si>
    <t>TRANSALTA ENERGY (AUSTRALIA) PTY LTD</t>
  </si>
  <si>
    <t>Grand Total</t>
  </si>
  <si>
    <t>Mining FTEs By Calendar Year Pre-2001</t>
  </si>
  <si>
    <t>Click to Select: FTE (Full Time Equivalent)</t>
  </si>
  <si>
    <t>Click to Select: Average Number of Individuals</t>
  </si>
  <si>
    <t>Petroleum Employed Persons</t>
  </si>
  <si>
    <t>Full-time</t>
  </si>
  <si>
    <t>Part-time</t>
  </si>
  <si>
    <t>Petroleum FTEs</t>
  </si>
  <si>
    <t>Company Employees</t>
  </si>
  <si>
    <t>Marine Crew</t>
  </si>
  <si>
    <t>Value</t>
  </si>
  <si>
    <t>State</t>
  </si>
  <si>
    <t>FY H1</t>
  </si>
  <si>
    <t>Copper</t>
  </si>
  <si>
    <t>WA</t>
  </si>
  <si>
    <t>Silver, Lead, Zinc</t>
  </si>
  <si>
    <t>Nickel, cobalt</t>
  </si>
  <si>
    <t>Nickel, Cobalt</t>
  </si>
  <si>
    <t>Mineral Exploration Expenditure By Commodity ($ Million)</t>
  </si>
  <si>
    <t>Offset</t>
  </si>
  <si>
    <t>Western Australia</t>
  </si>
  <si>
    <t>Rest of Australia</t>
  </si>
  <si>
    <t>Australia</t>
  </si>
  <si>
    <t>Western Australia
($ Million)</t>
  </si>
  <si>
    <t>Rest of Australia
($ Million)</t>
  </si>
  <si>
    <t>Australia
($ Million)</t>
  </si>
  <si>
    <t>Western Australia 
($ Million)</t>
  </si>
  <si>
    <t>Western Australia Share of Australia New Deposits</t>
  </si>
  <si>
    <t>Western Australia Share of Australia Existing Deposits</t>
  </si>
  <si>
    <t>Rest of Australia 
($ Million)</t>
  </si>
  <si>
    <t xml:space="preserve"> Australia 
($ Million)</t>
  </si>
  <si>
    <t>New Deposits Share of Western Australia</t>
  </si>
  <si>
    <t xml:space="preserve"> Rest of Australia New Deposits ($ Million)</t>
  </si>
  <si>
    <t>Rest of Australia Existing Deposits 
($ Million)</t>
  </si>
  <si>
    <t xml:space="preserve"> Australia Existing Deposits 
($ Million)</t>
  </si>
  <si>
    <t>Western Australia New Deposits 
($ Million)</t>
  </si>
  <si>
    <t xml:space="preserve"> Rest of Australia New Deposits 
($ Million)</t>
  </si>
  <si>
    <t xml:space="preserve"> Australia New Deposits 
($ Million)</t>
  </si>
  <si>
    <t>Western Australia Existing Deposits 
($ Million)</t>
  </si>
  <si>
    <t>Australia Onshore Drilling 
($ Million)</t>
  </si>
  <si>
    <t>Australia Onshore Other 
($ Million)</t>
  </si>
  <si>
    <t>Australian Onshore Total 
($ Million)</t>
  </si>
  <si>
    <t>Australia Offshore Drilling 
($ Million)</t>
  </si>
  <si>
    <t>Australia Offshore Other 
($ Million)</t>
  </si>
  <si>
    <t>Australia Offshore Total 
($ Million)</t>
  </si>
  <si>
    <t>Australia Total 
($ Million)</t>
  </si>
  <si>
    <t>2023-24</t>
  </si>
  <si>
    <t>Project</t>
  </si>
  <si>
    <t>Jarrahdale - Kwinana</t>
  </si>
  <si>
    <t>Worsley</t>
  </si>
  <si>
    <t>Rockingham Fused Zirconia-Alumina</t>
  </si>
  <si>
    <t>Lake Nerramyne</t>
  </si>
  <si>
    <t>Wickepin Kaolin</t>
  </si>
  <si>
    <t>Watheroo Clays</t>
  </si>
  <si>
    <t>Bunbury - Harvey / Versaci</t>
  </si>
  <si>
    <t>Cookes Hill Aggregate</t>
  </si>
  <si>
    <t>Ellenbrook North - Warbrook Rd</t>
  </si>
  <si>
    <t>Bindoon Hill Gravel Supply</t>
  </si>
  <si>
    <t>Frankland Park Sand</t>
  </si>
  <si>
    <t>Roelands Quarry</t>
  </si>
  <si>
    <t>Chapman Valley - Beatenally Hill</t>
  </si>
  <si>
    <t>LYNAM ENTERPRISES PTY LTD</t>
  </si>
  <si>
    <t>Doodlakine Aggregate</t>
  </si>
  <si>
    <t>Eight Mile Rock Hole</t>
  </si>
  <si>
    <t>Indee Sand</t>
  </si>
  <si>
    <t>Tom Price Aggregate</t>
  </si>
  <si>
    <t>Waterbank Station Sand</t>
  </si>
  <si>
    <t>Geraldton / Patience Bulk Haulage</t>
  </si>
  <si>
    <t>Laguna Green</t>
  </si>
  <si>
    <t>Avon Earthworks Sand and Gravel</t>
  </si>
  <si>
    <t>Mt Minnie Granite</t>
  </si>
  <si>
    <t>WINCH-BUIST, William John</t>
  </si>
  <si>
    <t>Koolyanobbing South</t>
  </si>
  <si>
    <t>WORMALL CIVIL PTY LTD</t>
  </si>
  <si>
    <t>Abra - Mulgul</t>
  </si>
  <si>
    <t>Whim Creek - Mons Cupri</t>
  </si>
  <si>
    <t>Nifty</t>
  </si>
  <si>
    <t>Golden Grove</t>
  </si>
  <si>
    <t>Paroo Station</t>
  </si>
  <si>
    <t>Teutonic Bore - Jaguar</t>
  </si>
  <si>
    <t>DeGrussa - Monty</t>
  </si>
  <si>
    <t>Argyle Diamond</t>
  </si>
  <si>
    <t>India Bore</t>
  </si>
  <si>
    <t>Diamond Total</t>
  </si>
  <si>
    <t>Red Gum Spongolite</t>
  </si>
  <si>
    <t>AUSTRAL MASONRY HOLDINGS PTY LTD</t>
  </si>
  <si>
    <t>Fraser Range Granite-Dolerite</t>
  </si>
  <si>
    <t>Glen Florrie White Rocks</t>
  </si>
  <si>
    <t>Nanutarra Marbles</t>
  </si>
  <si>
    <t>Menzies Emerald - Wonder Well</t>
  </si>
  <si>
    <t>Agnew - Emu</t>
  </si>
  <si>
    <t>Murchison Gold - Andy Well - Gnaweeda</t>
  </si>
  <si>
    <t>Sunrise Dam</t>
  </si>
  <si>
    <t>Tropicana</t>
  </si>
  <si>
    <t>Fortnum</t>
  </si>
  <si>
    <t>Bottle Creek</t>
  </si>
  <si>
    <t>Higginsville</t>
  </si>
  <si>
    <t>Marvel Loch - Southern Cross</t>
  </si>
  <si>
    <t>Bullabulling North</t>
  </si>
  <si>
    <t>Coolgardie Gold</t>
  </si>
  <si>
    <t>Jaurdi - Cammi's Creek</t>
  </si>
  <si>
    <t>Bullabulling</t>
  </si>
  <si>
    <t>Cue Gold - Central Murchison</t>
  </si>
  <si>
    <t>British King</t>
  </si>
  <si>
    <t>Paulsens</t>
  </si>
  <si>
    <t>East Menzies Gold</t>
  </si>
  <si>
    <t>Jeffreys Find</t>
  </si>
  <si>
    <t>Menzies</t>
  </si>
  <si>
    <t>Mangaroon Gold</t>
  </si>
  <si>
    <t>Radio - Bullfinch</t>
  </si>
  <si>
    <t>Young Australian - Munarra Gully North</t>
  </si>
  <si>
    <t>CATALYST (PLUTONIC) PTY LTD</t>
  </si>
  <si>
    <t>Plutonic Gold</t>
  </si>
  <si>
    <t>Central - Southern Cross</t>
  </si>
  <si>
    <t>CRIMSON METALS PTY LTD</t>
  </si>
  <si>
    <t>Mt Gibson Gold</t>
  </si>
  <si>
    <t>Darlot</t>
  </si>
  <si>
    <t>Deflector</t>
  </si>
  <si>
    <t>Dulcie - Fortuna - Parker Range</t>
  </si>
  <si>
    <t>Edna May - Westonia</t>
  </si>
  <si>
    <t>Rothsay</t>
  </si>
  <si>
    <t>Kundana - White Flag</t>
  </si>
  <si>
    <t>Gwalia - Leonora</t>
  </si>
  <si>
    <t>Ulysses Gold</t>
  </si>
  <si>
    <t>Perth Mint</t>
  </si>
  <si>
    <t>Hannan South</t>
  </si>
  <si>
    <t>Bellevue</t>
  </si>
  <si>
    <t>Karlawinda Gold</t>
  </si>
  <si>
    <t>Tarmoola - King of the Hills</t>
  </si>
  <si>
    <t>Yamarna - Gruyere JV</t>
  </si>
  <si>
    <t>Granny Smith</t>
  </si>
  <si>
    <t>Halls Creek - Lamboo Gold</t>
  </si>
  <si>
    <t>Bamboo Creek Gold</t>
  </si>
  <si>
    <t>HORIZON MINERALS LIMITED</t>
  </si>
  <si>
    <t>Kirkalocka</t>
  </si>
  <si>
    <t>Munarra Gully</t>
  </si>
  <si>
    <t>Mt Celia - Kangaroo Bore</t>
  </si>
  <si>
    <t>Linden Gold</t>
  </si>
  <si>
    <t>Lindsays</t>
  </si>
  <si>
    <t>The Mount</t>
  </si>
  <si>
    <t>Fortitude</t>
  </si>
  <si>
    <t>Kalgoorlie Mint</t>
  </si>
  <si>
    <t>Mt Magnet</t>
  </si>
  <si>
    <t>Mt Morgans</t>
  </si>
  <si>
    <t>Boddington Gold</t>
  </si>
  <si>
    <t>Carosue Dam - Khartoum</t>
  </si>
  <si>
    <t>Deep South - Safari Bore</t>
  </si>
  <si>
    <t>Porphyry - Northern Operations</t>
  </si>
  <si>
    <t>Bulong South Gold</t>
  </si>
  <si>
    <t>South Kalgoorlie Operations</t>
  </si>
  <si>
    <t>Thunderbox Gold</t>
  </si>
  <si>
    <t>Jundee - Nimary</t>
  </si>
  <si>
    <t>Kanowna - Golden Valley</t>
  </si>
  <si>
    <t>Yandal - Bronzewing</t>
  </si>
  <si>
    <t>Binduli</t>
  </si>
  <si>
    <t>Paddington - Mt Pleasant</t>
  </si>
  <si>
    <t>Davyhurst - Lady Ida - Mulline - Riverina - Siberia Gold</t>
  </si>
  <si>
    <t>Central Norseman</t>
  </si>
  <si>
    <t>Paynes Find - Daffodil</t>
  </si>
  <si>
    <t>Penny Gold</t>
  </si>
  <si>
    <t>Pertha M</t>
  </si>
  <si>
    <t>Red October</t>
  </si>
  <si>
    <t>Goongarrie Lady</t>
  </si>
  <si>
    <t>Menzies Battery</t>
  </si>
  <si>
    <t>O'Conner - Carbon Stripping Plant</t>
  </si>
  <si>
    <t>Historic Gold - East Coolgardie (26)</t>
  </si>
  <si>
    <t>North Monger - Kal East Gold Project</t>
  </si>
  <si>
    <t>Randalls - Mt Monger</t>
  </si>
  <si>
    <t>Dalgaranga - Gilbeys</t>
  </si>
  <si>
    <t>Kambalda - St Ives</t>
  </si>
  <si>
    <t>Tampia</t>
  </si>
  <si>
    <t>Gordon - Sirdar</t>
  </si>
  <si>
    <t>Plutonic Dome</t>
  </si>
  <si>
    <t>Matilda</t>
  </si>
  <si>
    <t>Yilgangi Queen</t>
  </si>
  <si>
    <t>Jurien Bay North Gypsum</t>
  </si>
  <si>
    <t>Geordie Rock Gypsum</t>
  </si>
  <si>
    <t>10M LIMITED</t>
  </si>
  <si>
    <t>Twin Peaks</t>
  </si>
  <si>
    <t>Abydos</t>
  </si>
  <si>
    <t>Miralga Creek</t>
  </si>
  <si>
    <t>Mt Dove - Turner River</t>
  </si>
  <si>
    <t>Mt Webber</t>
  </si>
  <si>
    <t>Sanjiv Ridge</t>
  </si>
  <si>
    <t>Goldsworthy Iron Ore</t>
  </si>
  <si>
    <t>Mining Area C</t>
  </si>
  <si>
    <t>Sino - Cape Preston Iron</t>
  </si>
  <si>
    <t>Cockatoo Island</t>
  </si>
  <si>
    <t>Jack Hills</t>
  </si>
  <si>
    <t>Iron Ridge</t>
  </si>
  <si>
    <t>Mt Gibson Iron</t>
  </si>
  <si>
    <t>Shine</t>
  </si>
  <si>
    <t>Nullagine CID</t>
  </si>
  <si>
    <t>Solomon - Greater Solomon</t>
  </si>
  <si>
    <t>Hope Downs Joint Venture</t>
  </si>
  <si>
    <t>HEDLAND MINING PTY LTD</t>
  </si>
  <si>
    <t>Poondano Iron Ore</t>
  </si>
  <si>
    <t>Iron Bridge</t>
  </si>
  <si>
    <t>Ridges Iron Ore</t>
  </si>
  <si>
    <t>KIMBERLEY METALS GROUP PTY LTD</t>
  </si>
  <si>
    <t>Koolan Island</t>
  </si>
  <si>
    <t>Iron Valley</t>
  </si>
  <si>
    <t>Gudai-Darri</t>
  </si>
  <si>
    <t>Mt Gould Iron</t>
  </si>
  <si>
    <t>Paulsens East Iron</t>
  </si>
  <si>
    <t>Wiluna West Iron</t>
  </si>
  <si>
    <t>Carina</t>
  </si>
  <si>
    <t>Koolyanobbing Iron</t>
  </si>
  <si>
    <t>Parker Range - Mt Caudan Iron</t>
  </si>
  <si>
    <t>Robe River - Deepdale</t>
  </si>
  <si>
    <t>West Angelas</t>
  </si>
  <si>
    <t>Roy Hill Port Infrastructure and Rail</t>
  </si>
  <si>
    <t>Roy Hill Iron Ore</t>
  </si>
  <si>
    <t>Wonmunna Iron</t>
  </si>
  <si>
    <t>Limestone - Limesand</t>
  </si>
  <si>
    <t>Cockburn Sound Limesand</t>
  </si>
  <si>
    <t>Loongana Lime</t>
  </si>
  <si>
    <t>Southgate Limesand</t>
  </si>
  <si>
    <t>L'Haridon Bight</t>
  </si>
  <si>
    <t>Boranup Limesand</t>
  </si>
  <si>
    <t>Green Head Limesand</t>
  </si>
  <si>
    <t>Limestone - Limesand Total</t>
  </si>
  <si>
    <t>Mt Cattlin Spodumene</t>
  </si>
  <si>
    <t>Bald Hill</t>
  </si>
  <si>
    <t>Kathleen Valley Lithium</t>
  </si>
  <si>
    <t>Mt Marion Lithium</t>
  </si>
  <si>
    <t>Greenbushes Lithium</t>
  </si>
  <si>
    <t>Butcherbird - Yanneri Ridge</t>
  </si>
  <si>
    <t>Lucky Bay Garnet</t>
  </si>
  <si>
    <t>Boonanarring - North Perth Basin</t>
  </si>
  <si>
    <t>Coburn Zircon</t>
  </si>
  <si>
    <t>Thunderbird - Kimberley Mineral Sands</t>
  </si>
  <si>
    <t>Kalgoorlie Nickel Smelter</t>
  </si>
  <si>
    <t>Kwinana Nickel Refinery</t>
  </si>
  <si>
    <t>Leinster</t>
  </si>
  <si>
    <t>Lanfranchi Tramways</t>
  </si>
  <si>
    <t>Radio Hill Nickel</t>
  </si>
  <si>
    <t>Ravensthorpe - First Quantum</t>
  </si>
  <si>
    <t>Cosmos</t>
  </si>
  <si>
    <t>Nova-Bollinger</t>
  </si>
  <si>
    <t>KARORA (BETA HUNT) PTY LTD</t>
  </si>
  <si>
    <t>Sinclair</t>
  </si>
  <si>
    <t>West Musgrave</t>
  </si>
  <si>
    <t>Silver Swan - Black Swan</t>
  </si>
  <si>
    <t>Savannah Nickel</t>
  </si>
  <si>
    <t>Avalon</t>
  </si>
  <si>
    <t>Cawse</t>
  </si>
  <si>
    <t>Christmas Island Phosphate</t>
  </si>
  <si>
    <t>Wilgie Mia - Weld Range</t>
  </si>
  <si>
    <t>Browns Range Rare Earths</t>
  </si>
  <si>
    <t>Dampier Salt</t>
  </si>
  <si>
    <t>Lake MacLeod Salt</t>
  </si>
  <si>
    <t>Port Hedland Salt</t>
  </si>
  <si>
    <t>Onslow Salt</t>
  </si>
  <si>
    <t>Shark Bay Salt</t>
  </si>
  <si>
    <t>Lake Deborah East Salt</t>
  </si>
  <si>
    <t>Kemerton Silica Sand</t>
  </si>
  <si>
    <t>Maralla Road Silica Sand</t>
  </si>
  <si>
    <t>Nimbus</t>
  </si>
  <si>
    <t>Three Springs Talc</t>
  </si>
  <si>
    <t>Mt Seabrook Talc</t>
  </si>
  <si>
    <t>DEEP YELLOW LIMITED</t>
  </si>
  <si>
    <t>Mulga Rock</t>
  </si>
  <si>
    <t>Windimurra Vanadium</t>
  </si>
  <si>
    <t>BHP Nickel West Power Supply</t>
  </si>
  <si>
    <t>Northern Goldfields  Solar Project</t>
  </si>
  <si>
    <t>Ashburton North Strategic Industrial Area</t>
  </si>
  <si>
    <t>Geraldton Port Authority</t>
  </si>
  <si>
    <t>Western Australia Merchandise Exports</t>
  </si>
  <si>
    <t>HEIDELBERG MATERIALS AUSTRALIA PTY LTD</t>
  </si>
  <si>
    <t>KALGOORLIE QUARRY PRODUCTS PTY LTD</t>
  </si>
  <si>
    <t>Phillips Find</t>
  </si>
  <si>
    <t>DREADNOUGHT RESOURCES LTD</t>
  </si>
  <si>
    <t>Redcliffe</t>
  </si>
  <si>
    <t>GREATLAND PTY LTD</t>
  </si>
  <si>
    <t>KUMARINA RESOURCES PTY LTD</t>
  </si>
  <si>
    <t>Malcolm Challenger Gold - Murrin Murrin</t>
  </si>
  <si>
    <t>Siberia Prospecting</t>
  </si>
  <si>
    <t>LAMINGTON MINERALS PTY LTD</t>
  </si>
  <si>
    <t>CENTRAL GYPSUM PTY LTD</t>
  </si>
  <si>
    <t>DE GREY MINING LTD</t>
  </si>
  <si>
    <t>HANROY IRON ORE PROJECTS PTY LTD</t>
  </si>
  <si>
    <t>McPhee Creek</t>
  </si>
  <si>
    <t>Atlas - North Perth Basin</t>
  </si>
  <si>
    <t>LAKE MACLEOD PTY LTD</t>
  </si>
  <si>
    <t>2024-25</t>
  </si>
  <si>
    <t>WHITESTONE QUARRIES W.A. PTY LTD</t>
  </si>
  <si>
    <t>Copper - Lead - Zinc</t>
  </si>
  <si>
    <t>Copper - Lead - Zinc Total</t>
  </si>
  <si>
    <t>BLACK CAT (LAKEWOOD) PTY LTD</t>
  </si>
  <si>
    <t>Jasper Hills</t>
  </si>
  <si>
    <t>Rama Gold</t>
  </si>
  <si>
    <t>EMERALD RESOURCES (WA) PTY LTD</t>
  </si>
  <si>
    <t>Dingo Range</t>
  </si>
  <si>
    <t>KARORA (HIGGINSVILLE) PTY LTD</t>
  </si>
  <si>
    <t>MEGA RESOURCES PTY LTD</t>
  </si>
  <si>
    <t>ROX (MURCHISON) PTY LTD</t>
  </si>
  <si>
    <t>Youanmi Gold - OYG</t>
  </si>
  <si>
    <t>WIDGIE GOLD PTY LTD</t>
  </si>
  <si>
    <t>Widgiemooltha Gold</t>
  </si>
  <si>
    <t>Heavy Mineral Sands</t>
  </si>
  <si>
    <t>Heavy Mineral Sands Total</t>
  </si>
  <si>
    <t>Industrial Pegmatite Minerals</t>
  </si>
  <si>
    <t>Industrial Pegmatite Minerals Total</t>
  </si>
  <si>
    <t>PILBARA GREEN ENERGY COMPANY PTY LTD</t>
  </si>
  <si>
    <t>Unassigned and other</t>
  </si>
  <si>
    <t>Unassigned and other Total</t>
  </si>
  <si>
    <t>Department of Treasury and Finance (DTF) and DMPE</t>
  </si>
  <si>
    <t>Department of Local Government, Industry Regulation and Safety (LGIRS)</t>
  </si>
  <si>
    <t>LGIRS</t>
  </si>
  <si>
    <t>Wagerup-Pinjarra / Alcoa</t>
  </si>
  <si>
    <t>Cardup - Keysbrook - Toodyay / Austral Bricks</t>
  </si>
  <si>
    <t>Bullsbrook - Toodyay / Midland Brick</t>
  </si>
  <si>
    <t>Upper Swan - Red Hill / Midland Brick</t>
  </si>
  <si>
    <t>Sandy Ridge Kaolin / Tellus</t>
  </si>
  <si>
    <t>Collie / Premier</t>
  </si>
  <si>
    <t>Collie / Lanco</t>
  </si>
  <si>
    <t>A.D. CONTRACTORS PTY LTD</t>
  </si>
  <si>
    <t>Albany Construction Materials / AD Contractors</t>
  </si>
  <si>
    <t>ACKER PTY LTD</t>
  </si>
  <si>
    <t>Christmas Island Limestone</t>
  </si>
  <si>
    <t>Coalfields Highway / APH</t>
  </si>
  <si>
    <t>ARMOGEDIN PTY LTD</t>
  </si>
  <si>
    <t>Albany / Armogedin (Great Southern Sands/Spinifex)</t>
  </si>
  <si>
    <t>Karnup Sand / Mandurah Sand</t>
  </si>
  <si>
    <t>Clackline-Toodyay Road Gravel / Jones</t>
  </si>
  <si>
    <t>Winchester Quarry / Avago</t>
  </si>
  <si>
    <t>Collie / Catalano</t>
  </si>
  <si>
    <t>Gidgegannup / Catalano</t>
  </si>
  <si>
    <t>Harvey / Catalano</t>
  </si>
  <si>
    <t>BARDIES WELL PTY LTD</t>
  </si>
  <si>
    <t>Bardies Well Aggregate</t>
  </si>
  <si>
    <t>BARRADALE SANDS PTY LTD</t>
  </si>
  <si>
    <t>Barradale Sand / Barradale Sands</t>
  </si>
  <si>
    <t>Metricup Sand / Cook Industrial Minerals</t>
  </si>
  <si>
    <t>The Lakes / Swan Materials</t>
  </si>
  <si>
    <t>Lake Clifton / Cougar</t>
  </si>
  <si>
    <t>Kununurra / Boral</t>
  </si>
  <si>
    <t>Maddington - Orange Grove / Boral</t>
  </si>
  <si>
    <t>Mt Regal / Boral</t>
  </si>
  <si>
    <t>Pilbara Area / Boral</t>
  </si>
  <si>
    <t>Seven Mile Hill / Boral</t>
  </si>
  <si>
    <t>Turner River East Sand / Boral</t>
  </si>
  <si>
    <t>Quinns Rock Sand / Pakk</t>
  </si>
  <si>
    <t>Upper Swan - Walyunga / Stargaze</t>
  </si>
  <si>
    <t>Nowergup Sand / Northsands Resources</t>
  </si>
  <si>
    <t>BROWN FAMILY TRUST</t>
  </si>
  <si>
    <t>Hyden East</t>
  </si>
  <si>
    <t>BROWN, RONALD WILLIAM</t>
  </si>
  <si>
    <t>Scahill Sand-Gravel</t>
  </si>
  <si>
    <t>Old Coast Road/ NLG</t>
  </si>
  <si>
    <t>McLarty / Carbone</t>
  </si>
  <si>
    <t>Scrubby Hill Limestone / Carnarvon Hardrock</t>
  </si>
  <si>
    <t>Moore River Sand and Limestone / Moore River Sand</t>
  </si>
  <si>
    <t>Quarry Rd Narrogin / Castle Equipment</t>
  </si>
  <si>
    <t>CONGIU, PASQUALE</t>
  </si>
  <si>
    <t>Bullsbrook / Congiu</t>
  </si>
  <si>
    <t>DAWSON, PETER BRUCE</t>
  </si>
  <si>
    <t>Boallia Road Sand</t>
  </si>
  <si>
    <t>Warrawanda / Mallett</t>
  </si>
  <si>
    <t>EL PASO ESTATES PTY LTD</t>
  </si>
  <si>
    <t>Creighton Rd / El Paso</t>
  </si>
  <si>
    <t>G &amp; K BASSETT</t>
  </si>
  <si>
    <t>Brookton Sand / Bassett</t>
  </si>
  <si>
    <t>Mt Burges Gravel and Sand /  Bellini Group</t>
  </si>
  <si>
    <t>GOODFEEL ENTERPRISES PTY LTD</t>
  </si>
  <si>
    <t>Hopeland / Goodfeel</t>
  </si>
  <si>
    <t>GUERINONI NOMINEES PTY LTD</t>
  </si>
  <si>
    <t>Kununurra / Guerinoni</t>
  </si>
  <si>
    <t>Baldivis Rd Baldivis / Hanson</t>
  </si>
  <si>
    <t>Bibra Lake - Miguel Rd / Hanson</t>
  </si>
  <si>
    <t>Byford Quarry / Heidelberg Materials</t>
  </si>
  <si>
    <t>Cane River / Heidelberg Materials</t>
  </si>
  <si>
    <t>Carbarup Aggregate / Heidelberg Materials</t>
  </si>
  <si>
    <t>Gelorup Quarry / Heidelberg Materials</t>
  </si>
  <si>
    <t>Herne Hill / Heidelberg Materials</t>
  </si>
  <si>
    <t>Learmonth / Heidelberg Materials</t>
  </si>
  <si>
    <t>Mt Regal / Heidelberg Materials</t>
  </si>
  <si>
    <t>Turner River / Heidelberg Materials</t>
  </si>
  <si>
    <t>Albany - Willyung / Holcim</t>
  </si>
  <si>
    <t>Esperance / Holcim</t>
  </si>
  <si>
    <t>Gelorup - Bunbury / Holcim</t>
  </si>
  <si>
    <t>Gosnells / Holcim</t>
  </si>
  <si>
    <t>Jandabup Sand / Holcim</t>
  </si>
  <si>
    <t>Kalgoorlie - Boulder / Holcim</t>
  </si>
  <si>
    <t>Newman Aggregate / Holcim</t>
  </si>
  <si>
    <t>Nickol Bay / Holcim</t>
  </si>
  <si>
    <t>Turner River Aggregate / Holcim</t>
  </si>
  <si>
    <t>Walkaway / Holcim</t>
  </si>
  <si>
    <t>Binningup Sand / Hovey</t>
  </si>
  <si>
    <t>Flynn Dr Neerabup Lot 21 / WA Land Authority</t>
  </si>
  <si>
    <t>Merivale Rd Granite / AustralAsian Granite</t>
  </si>
  <si>
    <t>Northam Quarry / Italia Stone Group</t>
  </si>
  <si>
    <t>Postans - Kwinana / Danehill-Italia</t>
  </si>
  <si>
    <t>Kununurra / JSW</t>
  </si>
  <si>
    <t>JURIEN CONCRETE SERVICES WA PTY LTD</t>
  </si>
  <si>
    <t>Midwest  Sand / Jurien Bay Concrete Services WA</t>
  </si>
  <si>
    <t>Kambalda / Little</t>
  </si>
  <si>
    <t>Maitland River Sand / Karratha Earthmoving</t>
  </si>
  <si>
    <t>KDMJ (WA) PTY LTD</t>
  </si>
  <si>
    <t>Carnarvon Red Sand / KBF</t>
  </si>
  <si>
    <t>Nillibubbaca - Yeeda / Kimberley Quarry</t>
  </si>
  <si>
    <t>L &amp; G GRANITE PTY LTD</t>
  </si>
  <si>
    <t>Dowerin Quarry</t>
  </si>
  <si>
    <t>Busselton-Cowaramup / Leeuwin Civil</t>
  </si>
  <si>
    <t>Criddle Rd / Lenane</t>
  </si>
  <si>
    <t>LINKUP PTY LTD</t>
  </si>
  <si>
    <t>Myalup / MGM</t>
  </si>
  <si>
    <t>Tarmoola Aggregate / MLG Oz</t>
  </si>
  <si>
    <t>Range Aggregate / MCS</t>
  </si>
  <si>
    <t>NICKOL RIVER ENTERPRISES PTY LTD</t>
  </si>
  <si>
    <t>Nickol Bay Sand / Nickol River Enterprises</t>
  </si>
  <si>
    <t>NIELSEN, ANDERS CONRAD KOEFOED</t>
  </si>
  <si>
    <t>Mumberkine Sand / Nielsen</t>
  </si>
  <si>
    <t>Spring Gully Rd / Cityworld</t>
  </si>
  <si>
    <t>Red Hill / North West Quarries</t>
  </si>
  <si>
    <t>Cossack-Wickham Aggregate / Norwest</t>
  </si>
  <si>
    <t>Karratha Gravel / Norwest</t>
  </si>
  <si>
    <t>Point Samson / North</t>
  </si>
  <si>
    <t>Turner River / North</t>
  </si>
  <si>
    <t>Onslow / NTC</t>
  </si>
  <si>
    <t>PATERNOSTRO PTY LTD</t>
  </si>
  <si>
    <t>Avon Sands</t>
  </si>
  <si>
    <t>Wondanning / Q Stone</t>
  </si>
  <si>
    <t>RED DIRT AGRICULTURE PTY LTD</t>
  </si>
  <si>
    <t>Victoria Highway - Kununurra</t>
  </si>
  <si>
    <t>Rodney John Ford &amp; Karl Graeme Brandenburg</t>
  </si>
  <si>
    <t>Gascoyne River / Ford-Brandenburg</t>
  </si>
  <si>
    <t>Toodyay Quartzite / Rural Stone</t>
  </si>
  <si>
    <t>SCORPION MINING PTY LTD</t>
  </si>
  <si>
    <t>Cawse / Scorpion</t>
  </si>
  <si>
    <t>Caraban Limestone / Caraban Limestone and Sand</t>
  </si>
  <si>
    <t>Chichester / Archipelago</t>
  </si>
  <si>
    <t>Mt Regal / Archipelago-Spinifex</t>
  </si>
  <si>
    <t>SWAN MATERIALS PTY LTD</t>
  </si>
  <si>
    <t>Flynn Drive Neerabup / Carramar Sand</t>
  </si>
  <si>
    <t>The trustee for Glass Bailey Family Trust</t>
  </si>
  <si>
    <t>Yallabatharra / Baileys</t>
  </si>
  <si>
    <t>Byford / WA Bluemetal</t>
  </si>
  <si>
    <t>THE TRUSTEE FOR THE GJ LANGE FAMILY TRUST</t>
  </si>
  <si>
    <t>Tianco Sand</t>
  </si>
  <si>
    <t>Abercorn Rd / Great Sand Supplies</t>
  </si>
  <si>
    <t>The Trustee for THE ITALO PIRONE FAMILY TRUST</t>
  </si>
  <si>
    <t>Moonyoonooka / Pirone</t>
  </si>
  <si>
    <t>Kununurra Shingle / JAB</t>
  </si>
  <si>
    <t>Pivot Hill / JAB</t>
  </si>
  <si>
    <t>THE TRUSTEE FOR THE SEVEN SPRINGS FAMILY TRUST TRADING AS RINGA CIVIL</t>
  </si>
  <si>
    <t>Toodyay Sand / Ringa</t>
  </si>
  <si>
    <t>THE TRUSTEE FOR THE SLOAN FAMILY TRUST &amp; T.J SLOAN</t>
  </si>
  <si>
    <t>Hebb Rd Sand / Sloan</t>
  </si>
  <si>
    <t>Exmouth Sand / Exmouth Civil</t>
  </si>
  <si>
    <t>Gascoyne River / CMC Partners</t>
  </si>
  <si>
    <t>Baldivis Sand / Holcim</t>
  </si>
  <si>
    <t>Gregory West - Andover / WA Limestone</t>
  </si>
  <si>
    <t>Mandogalup Rd / WA Limestone</t>
  </si>
  <si>
    <t>Port Hedland / Stirling-Swan</t>
  </si>
  <si>
    <t>Wattleup - Russell Road / WA Limestone</t>
  </si>
  <si>
    <t>Chidlow / Tuma</t>
  </si>
  <si>
    <t>Hope Valley / Urban Resources</t>
  </si>
  <si>
    <t>Karnup Sand / Eclipse</t>
  </si>
  <si>
    <t>King Rd / Caversham</t>
  </si>
  <si>
    <t>Mariginiup-Melaleuca / Urban Resources</t>
  </si>
  <si>
    <t>Mather Dr Neerabup Lot 9003 / City of Wanneroo</t>
  </si>
  <si>
    <t>Thomas Rd - Kwinana / Waste Stream</t>
  </si>
  <si>
    <t>West Coolup / Urban Resources</t>
  </si>
  <si>
    <t>Yanchep Sand / Duffy</t>
  </si>
  <si>
    <t>VERNICE PTY LTD</t>
  </si>
  <si>
    <t>Toodyay / Vernice</t>
  </si>
  <si>
    <t>Karagullen Gravel / Vinci</t>
  </si>
  <si>
    <t>Richard Rd Waroona / Waroona</t>
  </si>
  <si>
    <t>WESTEX RAIL CORPORATION PTY LTD</t>
  </si>
  <si>
    <t>Pippingarra Sand / Westex Rail</t>
  </si>
  <si>
    <t>Mukinbudin / Whitestone</t>
  </si>
  <si>
    <t>Rosa Glen / Silverthorne</t>
  </si>
  <si>
    <t>DEVELOP GLOBAL LIMITED</t>
  </si>
  <si>
    <t>Sulphur Springs</t>
  </si>
  <si>
    <t>Esperance Container Facility / QUBE</t>
  </si>
  <si>
    <t>Bruce Rock Granite</t>
  </si>
  <si>
    <t>Donnybrook Stone / Italia</t>
  </si>
  <si>
    <t>Hopkins Rd Nowergup / Limestone Building Block</t>
  </si>
  <si>
    <t>Postans / Stoneridge</t>
  </si>
  <si>
    <t>Karratha Stone / Bell</t>
  </si>
  <si>
    <t>Parry Range–Maroonah Marbles / Huau Stone</t>
  </si>
  <si>
    <t>Moore River Limestone / WA Limestone</t>
  </si>
  <si>
    <t>Wattle Avenue West Nowergup / Adelaide Brighton</t>
  </si>
  <si>
    <t>Wattleup / WA Limestone</t>
  </si>
  <si>
    <t>Yanchep / WA Limestone</t>
  </si>
  <si>
    <t>ABALONE (WA) PTY LTD</t>
  </si>
  <si>
    <t>Jumbulyer Prospecting</t>
  </si>
  <si>
    <t>AURENNE PARKER RANGE PTY LTD</t>
  </si>
  <si>
    <t>Parker Range - Olga Rocks</t>
  </si>
  <si>
    <t>AURUMIN MT PALMER PTY LTD</t>
  </si>
  <si>
    <t>Mt Palmer / Aurumin</t>
  </si>
  <si>
    <t>Lady Ida / Lamerton Geoda</t>
  </si>
  <si>
    <t>Murchison / Westgold</t>
  </si>
  <si>
    <t>BLACK CAT (KAL EAST) PTY LTD</t>
  </si>
  <si>
    <t>BMGS PERTH PTY LTD</t>
  </si>
  <si>
    <t>Bar Twenty</t>
  </si>
  <si>
    <t>Eastern Lefroy</t>
  </si>
  <si>
    <t>Brightstar / Stone</t>
  </si>
  <si>
    <t>Wealth of Nations / Corinthian</t>
  </si>
  <si>
    <t>DAWSONS MINING PTY LTD</t>
  </si>
  <si>
    <t>Grace Darling</t>
  </si>
  <si>
    <t>Symes Find / Mt Hampton</t>
  </si>
  <si>
    <t>Castle Hill / Evolution</t>
  </si>
  <si>
    <t>Mungari / Evolution</t>
  </si>
  <si>
    <t>FARNO-MCMAHON PTY. LTD.</t>
  </si>
  <si>
    <t>Station Peak</t>
  </si>
  <si>
    <t>Coolgardie Gold / Focus</t>
  </si>
  <si>
    <t>Paterson / Greatland Resources</t>
  </si>
  <si>
    <t>Telfer / Newcrest</t>
  </si>
  <si>
    <t>GYLDEN RESOURCES PTY LTD</t>
  </si>
  <si>
    <t>Boorara / Horizon</t>
  </si>
  <si>
    <t>Golden Mile / KCGM</t>
  </si>
  <si>
    <t>Nullagine / Millenium</t>
  </si>
  <si>
    <t>Warrawoona Gold / Calidus</t>
  </si>
  <si>
    <t>Gibraltar South / Torian</t>
  </si>
  <si>
    <t>Kathleen Valley Gold / ANI</t>
  </si>
  <si>
    <t>M.R. MILLWOOD PTY. LTD.</t>
  </si>
  <si>
    <t>Homeward Bound - Marble Bar</t>
  </si>
  <si>
    <t>Marda / Southern Cross</t>
  </si>
  <si>
    <t>Mt Dimer / Taipan</t>
  </si>
  <si>
    <t>MINERAL MINING SERVICES PTY LTD</t>
  </si>
  <si>
    <t>East Sampson</t>
  </si>
  <si>
    <t>NEW MURCHISON GOLD LIMITED</t>
  </si>
  <si>
    <t>Garden Gully / New Murchison</t>
  </si>
  <si>
    <t>Bannockburn / Northern Star</t>
  </si>
  <si>
    <t>Bundarra / Bligh</t>
  </si>
  <si>
    <t>Ora Banda / Norton</t>
  </si>
  <si>
    <t>RADMAN MINING PTY LTD</t>
  </si>
  <si>
    <t>Duketon / Regis Resources</t>
  </si>
  <si>
    <t>Sandstone / Alto</t>
  </si>
  <si>
    <t>SAXONWOOD HOLDINGS PTY LTD</t>
  </si>
  <si>
    <t>Kalgoorlie - Hunter St Goldroom</t>
  </si>
  <si>
    <t>SILVER LAKE (INTEGRA) PTY LIMITED</t>
  </si>
  <si>
    <t>TAYLOR, DOUGLAS</t>
  </si>
  <si>
    <t>Murchison South</t>
  </si>
  <si>
    <t>Greenfields Plant / FMR</t>
  </si>
  <si>
    <t>The Trustee for POWELL FAMILY TRUST</t>
  </si>
  <si>
    <t>Quartz Creek - Minerichee</t>
  </si>
  <si>
    <t>UNIQ RESOURCES LEONORA PTY LTD</t>
  </si>
  <si>
    <t>Jungle Well</t>
  </si>
  <si>
    <t>Burbanks Mill / Maximus</t>
  </si>
  <si>
    <t>Lake Goorly Gypsum / Bywaters</t>
  </si>
  <si>
    <t>Lake Cowan Gypsum / Whitfield</t>
  </si>
  <si>
    <t>Lake Cowcowing North - West Dukin / Lake Hillman</t>
  </si>
  <si>
    <t>Lake Hillman / Adelaide Brighton</t>
  </si>
  <si>
    <t>Lake Hillman Gypsum / Lake Hillman</t>
  </si>
  <si>
    <t>Lakes Cobham-Morris Gypsum / Grant</t>
  </si>
  <si>
    <t>M.J KALAJZIC &amp; R.J KALAJZIC &amp; S.M KALAJZIC</t>
  </si>
  <si>
    <t>Koorda</t>
  </si>
  <si>
    <t>RN HEBITON &amp; LM HEBITON</t>
  </si>
  <si>
    <t>Cliff Head Gypsum</t>
  </si>
  <si>
    <t>SUNNYLAKE HOLDINGS PTY LTD</t>
  </si>
  <si>
    <t>Cowcowing Lakes South - Wyalkatchem / Sunnylake</t>
  </si>
  <si>
    <t>Beenup - Karridale / BHP</t>
  </si>
  <si>
    <t>Dardanup / Doral</t>
  </si>
  <si>
    <t>Yalyalup - Yoongarillup / Doral</t>
  </si>
  <si>
    <t>Port Gregory Garnet/GMA</t>
  </si>
  <si>
    <t>ILUKA RARE EARTHS PTY LTD</t>
  </si>
  <si>
    <t>Eneabba / Iluka</t>
  </si>
  <si>
    <t>Capel / Iluka</t>
  </si>
  <si>
    <t>Cataby / Iluka</t>
  </si>
  <si>
    <t>Keysbrook Heavy Mineral Sands EIL-MTO / Doral</t>
  </si>
  <si>
    <t>Bunbury Storage Facility / QUBE</t>
  </si>
  <si>
    <t>Cooljarloo / Tronox</t>
  </si>
  <si>
    <t>Bunbury Area Operations / Tronox</t>
  </si>
  <si>
    <t>Wonnerup Central / Tronox</t>
  </si>
  <si>
    <t>Pippingarra Quarry / North West Quarries</t>
  </si>
  <si>
    <t>Jimblebar-Wheelarra-Hashimoto / BHPB</t>
  </si>
  <si>
    <t>Marillana Creek - Yandi / BHPB</t>
  </si>
  <si>
    <t>Newman / BHPB</t>
  </si>
  <si>
    <t>Port Hedland Port Operations / BHPB</t>
  </si>
  <si>
    <t>Tallering Peak / Mt Gibson</t>
  </si>
  <si>
    <t>FORTESCUE LTD</t>
  </si>
  <si>
    <t>East Pilbara Iron Ore / FMG</t>
  </si>
  <si>
    <t>Herb Elliot Port Operations / FMG</t>
  </si>
  <si>
    <t>Western Hub / FMG</t>
  </si>
  <si>
    <t>Yandicoogina / HI-Yandi</t>
  </si>
  <si>
    <t>Brockman 2 - Nammuldi - Silvergrass - Homestead / Rio Tinto</t>
  </si>
  <si>
    <t>Brockman 4 Area / Rio Tinto</t>
  </si>
  <si>
    <t>Dampier Port Iron Ore Operations / HI</t>
  </si>
  <si>
    <t>Marandoo / Rio Tinto</t>
  </si>
  <si>
    <t>Paraburdoo / Rio Tinto</t>
  </si>
  <si>
    <t>Tom Price / Rio Tinto</t>
  </si>
  <si>
    <t>Karara - Blue Hills / Gindalbie</t>
  </si>
  <si>
    <t>Koolanooka &amp; Blue Hills - Mungada / Sinosteel</t>
  </si>
  <si>
    <t>Ashburton Infrastructure Project (AIP)</t>
  </si>
  <si>
    <t>West Pilbara - Red Hill / API</t>
  </si>
  <si>
    <t>PEARL GULL IRON LIMITED</t>
  </si>
  <si>
    <t>Kalgoorlie Container Facility / Australia Western Rail</t>
  </si>
  <si>
    <t>TOP IRON PTY LTD</t>
  </si>
  <si>
    <t>Greater Mummaloo</t>
  </si>
  <si>
    <t>YILGARN IRON PTY LTD</t>
  </si>
  <si>
    <t>AGXPRESS PTY LTD</t>
  </si>
  <si>
    <t>Irwin Limesands</t>
  </si>
  <si>
    <t>Cooljarloo Limesand / Dawe</t>
  </si>
  <si>
    <t>ATTWELL, GERARD MAJELLA</t>
  </si>
  <si>
    <t>Albany Sand / Attwell</t>
  </si>
  <si>
    <t>Ludlow Limestone / Forrest</t>
  </si>
  <si>
    <t>Waroona / Charles Hull Contracting</t>
  </si>
  <si>
    <t>Coogee / Cockburn</t>
  </si>
  <si>
    <t>Denison Limesand / Lime Industries</t>
  </si>
  <si>
    <t>Murat Road Limestone / Exmouth Quarries</t>
  </si>
  <si>
    <t>Flynn Dr Neerabup Lot 22 / WA Land Authority</t>
  </si>
  <si>
    <t>Godel Rd Nowergup / Italia Stone Group</t>
  </si>
  <si>
    <t>Watheroo Dolomitic Lime / Mann</t>
  </si>
  <si>
    <t>LEDGE POINT LIME SANDS PTY LTD</t>
  </si>
  <si>
    <t>Ledge Point Limesand</t>
  </si>
  <si>
    <t>Ledge Point / Cockburn</t>
  </si>
  <si>
    <t>Wesco Rd - Nowergup / Adelaide Brighton</t>
  </si>
  <si>
    <t>Lancelin Road / Meteor Stone</t>
  </si>
  <si>
    <t>Nullaki Aglime / Robertson</t>
  </si>
  <si>
    <t>Myalup Sand / Lake Preston Lime</t>
  </si>
  <si>
    <t>P.M.R. QUARRIES PTY LTD</t>
  </si>
  <si>
    <t>Lake Clifton / WA Limestone</t>
  </si>
  <si>
    <t>Redgate Lime / Redgate Holdings</t>
  </si>
  <si>
    <t>The Trustee for CANDELORO FARM TRUST</t>
  </si>
  <si>
    <t>Lancelin / Candeloro</t>
  </si>
  <si>
    <t>THE TRUSTEE FOR JURIEN LIME SANDS UNIT TRUST</t>
  </si>
  <si>
    <t>Jurien Lime Sands</t>
  </si>
  <si>
    <t>Baldivis - Millar Rd / WA Limestone</t>
  </si>
  <si>
    <t>Cape Range Limestone / Exmouth Lst</t>
  </si>
  <si>
    <t>Postans - Abercrombie Rd / WA Limestone</t>
  </si>
  <si>
    <t>Coolimba Limesand</t>
  </si>
  <si>
    <t>Dongara - Denison / Westdeen Aglime</t>
  </si>
  <si>
    <t>Lancelin / Westdeen</t>
  </si>
  <si>
    <t>Esperance Lime / Triple M</t>
  </si>
  <si>
    <t>Pinjar - Aqua Road Yanchep / Urban Resources</t>
  </si>
  <si>
    <t>Manypeaks Lime / WALCO</t>
  </si>
  <si>
    <t>Dongara Limesand / Whyatt</t>
  </si>
  <si>
    <t>Magnesite</t>
  </si>
  <si>
    <t>ASHBRIDGE HOLDINGS PTY LTD</t>
  </si>
  <si>
    <t>Bandalup Magnesite</t>
  </si>
  <si>
    <t>Magnesite Total</t>
  </si>
  <si>
    <t>Woodie Woodie (Mining Corridor) / ConsMin</t>
  </si>
  <si>
    <t>Kambalda / BHP</t>
  </si>
  <si>
    <t>Mt Keith / BHP Billiton</t>
  </si>
  <si>
    <t>Forrestania Nickel / Western Areas</t>
  </si>
  <si>
    <t>Kambalda Nickel / RNC</t>
  </si>
  <si>
    <t>Kambalda / Mincor</t>
  </si>
  <si>
    <t>Ken - McCloy / Mincor</t>
  </si>
  <si>
    <t>Widgiemooltha Nickel / Mincor</t>
  </si>
  <si>
    <t>Murrin Murrin / Minara</t>
  </si>
  <si>
    <t>Lake Johnston / Poseidon</t>
  </si>
  <si>
    <t>Windarra / Poseidon</t>
  </si>
  <si>
    <t>Beyondie Potash / Kalium Lakes</t>
  </si>
  <si>
    <t>Lake Way Potash / Sev.en</t>
  </si>
  <si>
    <t>Yangibana / Hastings</t>
  </si>
  <si>
    <t>Mt Weld REE / Lynas</t>
  </si>
  <si>
    <t>WYLOO GASCOYNE PTY LTD</t>
  </si>
  <si>
    <t>Mardie Salt-Potash / BCI</t>
  </si>
  <si>
    <t>Mindijup / TT Sand</t>
  </si>
  <si>
    <t>Gnangara Silica Sand / Heidelberg Materials</t>
  </si>
  <si>
    <t>Kemerton Silicon / Simcoa</t>
  </si>
  <si>
    <t>Mt Holland Lithium / Wesfarmers &amp; SQM</t>
  </si>
  <si>
    <t>ESSENTIAL METALS LIMITED</t>
  </si>
  <si>
    <t>Sinclair Lithium-Caesium</t>
  </si>
  <si>
    <t>Wodgina Mining Assets / Mineral Resources</t>
  </si>
  <si>
    <t>Pilgangoora / Pilbara Minerals</t>
  </si>
  <si>
    <t>Kelmscott Process Plant / Nagrom</t>
  </si>
  <si>
    <t>Kalgoorlie Storage and Loading Facilities / QUBE</t>
  </si>
  <si>
    <t>Pilbara Storage Facilities / QUBE</t>
  </si>
  <si>
    <t>Rockingham Bulk Transfer / Qube</t>
  </si>
  <si>
    <t>Mining FTEs by Producer and Project</t>
  </si>
  <si>
    <t>Mining Employment By Producer and Project</t>
  </si>
  <si>
    <r>
      <t xml:space="preserve">Greenbushes Tantalum </t>
    </r>
    <r>
      <rPr>
        <i/>
        <sz val="11"/>
        <color theme="1"/>
        <rFont val="Calibri"/>
        <family val="2"/>
        <scheme val="minor"/>
      </rPr>
      <t>(Tantalum Processing)</t>
    </r>
  </si>
  <si>
    <r>
      <t xml:space="preserve">Greenbushes Tantalum </t>
    </r>
    <r>
      <rPr>
        <i/>
        <sz val="11"/>
        <color theme="1"/>
        <rFont val="Calibri"/>
        <family val="2"/>
        <scheme val="minor"/>
      </rPr>
      <t>(Lithium Processing)</t>
    </r>
  </si>
  <si>
    <t>Mineral exploration expenditure by commodity in WA compared to the rest of Australia.</t>
  </si>
  <si>
    <t>Mineral exploration expenditure by type (i.e. new deposits and existing deposits) in WA compared to the rest of Australia.</t>
  </si>
  <si>
    <t>Mineral and petroleum exports for WA and the rest of Australia over the past two years.</t>
  </si>
  <si>
    <t>Mining investment in WA compared to the rest of Australia.</t>
  </si>
  <si>
    <t>Mining exploration metres drilling by type (i.e. new deposits and existing deposits) in Australia.</t>
  </si>
  <si>
    <t>Petroleum exploration expenditure in WA compared to the rest of Australia.</t>
  </si>
  <si>
    <t>Mining industry gross value added in WA compared to the rest of Australia.</t>
  </si>
  <si>
    <t>Mineral and petroleum exports for WA and the rest of Australia from 2015.</t>
  </si>
  <si>
    <t>Petroleum exploration expenditure by location (i.e. offshore and onshore) in Australia.</t>
  </si>
  <si>
    <t>Royalty receipts and North West Shelf grants for WA over the past two years.</t>
  </si>
  <si>
    <t>Royalty receipts and North West Shelf grants for WA from 1983-84.</t>
  </si>
  <si>
    <t>Mining and mineral exploration on-site employment by commodity in WA on a calendar year basis from 2001.</t>
  </si>
  <si>
    <t>Mining and mineral exploration on-site employment by commodity in WA on a financial year basis from 2001-02</t>
  </si>
  <si>
    <t>Mining and mineral exploration on-site employment by commodity in WA on a monthly or quarterly basis from 2001.</t>
  </si>
  <si>
    <t>Mining and mineral exploration on-site employment by project in WA over the past two years.</t>
  </si>
  <si>
    <t>Mining on-site employment by commodity in WA on a calendar year basis from 1987-2000.</t>
  </si>
  <si>
    <t>Western Australia Gross State Product ($ Million)</t>
  </si>
  <si>
    <t>Total Royalty Revenue</t>
  </si>
  <si>
    <t>Lithium Total</t>
  </si>
  <si>
    <t>Manganese</t>
  </si>
  <si>
    <t>Manganese Total</t>
  </si>
  <si>
    <t>Alumina and Bauxite Total</t>
  </si>
  <si>
    <t>Petroleum on-site employment by commodity in WA (onshore and coastal waters only) on a monthly basis from January 2010 to March 2022.</t>
  </si>
  <si>
    <t>Petroleum direct employment in WA (onshore, coastal waters, and offshore) on a quarterly basis from 1985.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</si>
</sst>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_)"/>
    <numFmt numFmtId="165" formatCode="yyyy"/>
    <numFmt numFmtId="166" formatCode="mmm\-yyyy"/>
    <numFmt numFmtId="167" formatCode="0.0%"/>
    <numFmt numFmtId="168" formatCode="0;\-0;0;@"/>
    <numFmt numFmtId="169" formatCode="0.000000"/>
    <numFmt numFmtId="170" formatCode="0.000"/>
    <numFmt numFmtId="171" formatCode="_-* #,##0_-;\-* #,##0_-;_-* &quot;-&quot;??_-;_-@_-"/>
    <numFmt numFmtId="172" formatCode="#,##0.0"/>
    <numFmt numFmtId="173" formatCode="_(* #,##0.00_);_(* \(#,##0.00\);_(* &quot;-&quot;??_);_(@_)"/>
    <numFmt numFmtId="174" formatCode="_-* #,##0.0_-;\-* #,##0.0_-;_-* &quot;-&quot;??_-;_-@_-"/>
    <numFmt numFmtId="175" formatCode="0.0;\-0.0;0.0;@"/>
    <numFmt numFmtId="176" formatCode="0.0"/>
    <numFmt numFmtId="177" formatCode="#,##0.0_ ;\-#,##0.0\ "/>
  </numFmts>
  <fonts count="48"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u/>
      <sz val="10"/>
      <color theme="10"/>
      <name val="Arial"/>
      <family val="2"/>
    </font>
    <font>
      <u/>
      <sz val="11"/>
      <color theme="3" tint="0.39997558519241921"/>
      <name val="Calibri"/>
      <family val="2"/>
      <scheme val="minor"/>
    </font>
    <font>
      <b/>
      <sz val="10"/>
      <color theme="0"/>
      <name val="Arial"/>
      <family val="2"/>
    </font>
    <font>
      <sz val="10"/>
      <name val="Arial"/>
      <family val="2"/>
    </font>
    <font>
      <i/>
      <sz val="11"/>
      <color theme="1"/>
      <name val="Calibri"/>
      <family val="2"/>
      <scheme val="minor"/>
    </font>
    <font>
      <i/>
      <sz val="11"/>
      <color theme="0"/>
      <name val="Calibri"/>
      <family val="2"/>
      <scheme val="minor"/>
    </font>
    <font>
      <sz val="11"/>
      <name val="Calibri"/>
      <family val="2"/>
      <scheme val="minor"/>
    </font>
    <font>
      <sz val="2"/>
      <color theme="0"/>
      <name val="Calibri"/>
      <family val="2"/>
      <scheme val="minor"/>
    </font>
    <font>
      <b/>
      <sz val="11"/>
      <name val="Calibri"/>
      <family val="2"/>
      <scheme val="minor"/>
    </font>
    <font>
      <sz val="10"/>
      <color indexed="8"/>
      <name val="Arial"/>
      <family val="2"/>
    </font>
    <font>
      <sz val="10"/>
      <color theme="1"/>
      <name val="Arial"/>
      <family val="2"/>
    </font>
    <font>
      <sz val="8"/>
      <color rgb="FF000000"/>
      <name val="Arial"/>
      <family val="2"/>
    </font>
    <font>
      <sz val="8"/>
      <color theme="1"/>
      <name val="Arial"/>
      <family val="2"/>
    </font>
    <font>
      <sz val="8"/>
      <name val="Arial"/>
      <family val="2"/>
    </font>
    <font>
      <b/>
      <sz val="8"/>
      <color rgb="FF00B050"/>
      <name val="Arial"/>
      <family val="2"/>
    </font>
    <font>
      <sz val="8"/>
      <color theme="0"/>
      <name val="Arial"/>
      <family val="2"/>
    </font>
    <font>
      <sz val="9"/>
      <name val="Arial"/>
      <family val="2"/>
    </font>
    <font>
      <sz val="2"/>
      <color theme="0"/>
      <name val="Arial"/>
      <family val="2"/>
    </font>
    <font>
      <sz val="9"/>
      <color theme="0"/>
      <name val="Calibri"/>
      <family val="2"/>
      <scheme val="minor"/>
    </font>
    <font>
      <sz val="10"/>
      <color theme="0"/>
      <name val="Calibri"/>
      <family val="2"/>
      <scheme val="minor"/>
    </font>
    <font>
      <sz val="10"/>
      <color rgb="FFFF0000"/>
      <name val="Calibri"/>
      <family val="2"/>
      <scheme val="minor"/>
    </font>
    <font>
      <sz val="10"/>
      <color rgb="FFFF0000"/>
      <name val="Arial"/>
      <family val="2"/>
    </font>
    <font>
      <b/>
      <i/>
      <sz val="13.5"/>
      <color rgb="FFFF0000"/>
      <name val="Calibri"/>
      <family val="2"/>
      <scheme val="minor"/>
    </font>
    <font>
      <sz val="8"/>
      <color rgb="FFFF0000"/>
      <name val="Arial"/>
      <family val="2"/>
    </font>
    <font>
      <sz val="4"/>
      <color theme="0"/>
      <name val="Calibri"/>
      <family val="2"/>
      <scheme val="minor"/>
    </font>
    <font>
      <b/>
      <i/>
      <sz val="12"/>
      <color rgb="FFFF0000"/>
      <name val="Calibri"/>
      <family val="2"/>
      <scheme val="minor"/>
    </font>
    <font>
      <b/>
      <sz val="12"/>
      <color rgb="FFFF0000"/>
      <name val="Calibri"/>
      <family val="2"/>
      <scheme val="minor"/>
    </font>
    <font>
      <b/>
      <sz val="11"/>
      <color rgb="FFFFFFFF"/>
      <name val="Calibri"/>
      <family val="2"/>
      <scheme val="minor"/>
    </font>
    <font>
      <sz val="8"/>
      <name val="Calibri"/>
      <family val="2"/>
      <scheme val="minor"/>
    </font>
    <font>
      <sz val="11"/>
      <color theme="5"/>
      <name val="Calibri"/>
      <family val="2"/>
      <scheme val="minor"/>
    </font>
    <font>
      <b/>
      <sz val="11"/>
      <color rgb="FFFFFFFF"/>
      <name val="Calibri"/>
      <family val="2"/>
    </font>
    <font>
      <i/>
      <sz val="1"/>
      <color theme="0"/>
      <name val="Calibri"/>
      <family val="2"/>
      <scheme val="minor"/>
    </font>
    <font>
      <sz val="8"/>
      <color theme="0"/>
      <name val="Calibri"/>
      <family val="2"/>
      <scheme val="minor"/>
    </font>
    <font>
      <sz val="11"/>
      <color rgb="FF00B050"/>
      <name val="Calibri"/>
      <family val="2"/>
      <scheme val="minor"/>
    </font>
    <font>
      <b/>
      <sz val="11"/>
      <color theme="0"/>
      <name val="Calibri"/>
      <family val="2"/>
    </font>
    <font>
      <sz val="14"/>
      <color theme="0"/>
      <name val="Calibri"/>
      <family val="2"/>
      <scheme val="minor"/>
    </font>
    <font>
      <b/>
      <sz val="11"/>
      <color rgb="FF000000"/>
      <name val="Calibri"/>
      <family val="2"/>
    </font>
    <font>
      <sz val="11"/>
      <color theme="1"/>
      <name val="Calibri"/>
      <family val="2"/>
    </font>
    <font>
      <sz val="11"/>
      <color rgb="FF000000"/>
      <name val="Calibri"/>
      <family val="2"/>
    </font>
    <font>
      <sz val="1"/>
      <color theme="0"/>
      <name val="Calibri"/>
      <family val="2"/>
      <scheme val="minor"/>
    </font>
    <font>
      <b/>
      <sz val="8"/>
      <color theme="0"/>
      <name val="Calibri"/>
      <family val="2"/>
      <scheme val="minor"/>
    </font>
    <font>
      <u/>
      <sz val="11"/>
      <color theme="10"/>
      <name val="Calibri"/>
      <family val="2"/>
      <scheme val="minor"/>
    </font>
  </fonts>
  <fills count="29">
    <fill>
      <patternFill patternType="none"/>
    </fill>
    <fill>
      <patternFill patternType="gray125"/>
    </fill>
    <fill>
      <patternFill patternType="solid">
        <fgColor theme="5"/>
        <bgColor indexed="64"/>
      </patternFill>
    </fill>
    <fill>
      <patternFill patternType="solid">
        <fgColor theme="6"/>
        <bgColor indexed="64"/>
      </patternFill>
    </fill>
    <fill>
      <patternFill patternType="solid">
        <fgColor theme="6" tint="0.79998168889431442"/>
        <bgColor indexed="64"/>
      </patternFill>
    </fill>
    <fill>
      <patternFill patternType="solid">
        <fgColor theme="5" tint="-0.499984740745262"/>
        <bgColor indexed="64"/>
      </patternFill>
    </fill>
    <fill>
      <patternFill patternType="solid">
        <fgColor theme="3" tint="0.39997558519241921"/>
        <bgColor indexed="64"/>
      </patternFill>
    </fill>
    <fill>
      <patternFill patternType="solid">
        <fgColor theme="3" tint="0.39997558519241921"/>
        <bgColor theme="6"/>
      </patternFill>
    </fill>
    <fill>
      <patternFill patternType="solid">
        <fgColor theme="3" tint="0.79998168889431442"/>
        <bgColor indexed="64"/>
      </patternFill>
    </fill>
    <fill>
      <patternFill patternType="solid">
        <fgColor theme="3" tint="0.39997558519241921"/>
        <bgColor theme="6" tint="0.79998168889431442"/>
      </patternFill>
    </fill>
    <fill>
      <patternFill patternType="solid">
        <fgColor theme="3" tint="0.79998168889431442"/>
        <bgColor theme="6" tint="0.79998168889431442"/>
      </patternFill>
    </fill>
    <fill>
      <patternFill patternType="solid">
        <fgColor theme="0"/>
        <bgColor indexed="64"/>
      </patternFill>
    </fill>
    <fill>
      <patternFill patternType="solid">
        <fgColor theme="0"/>
        <bgColor theme="6" tint="0.79998168889431442"/>
      </patternFill>
    </fill>
    <fill>
      <patternFill patternType="solid">
        <fgColor indexed="47"/>
      </patternFill>
    </fill>
    <fill>
      <patternFill patternType="solid">
        <fgColor theme="9"/>
        <bgColor indexed="64"/>
      </patternFill>
    </fill>
    <fill>
      <patternFill patternType="solid">
        <fgColor theme="9" tint="0.79998168889431442"/>
        <bgColor indexed="64"/>
      </patternFill>
    </fill>
    <fill>
      <patternFill patternType="solid">
        <fgColor rgb="FFF79646"/>
        <bgColor theme="6"/>
      </patternFill>
    </fill>
    <fill>
      <patternFill patternType="solid">
        <fgColor rgb="FFF79646"/>
        <bgColor indexed="64"/>
      </patternFill>
    </fill>
    <fill>
      <patternFill patternType="solid">
        <fgColor rgb="FFF79646"/>
        <bgColor theme="6" tint="0.79998168889431442"/>
      </patternFill>
    </fill>
    <fill>
      <patternFill patternType="solid">
        <fgColor theme="9" tint="0.79998168889431442"/>
        <bgColor theme="6" tint="0.79998168889431442"/>
      </patternFill>
    </fill>
    <fill>
      <patternFill patternType="solid">
        <fgColor theme="9"/>
        <bgColor theme="6"/>
      </patternFill>
    </fill>
    <fill>
      <patternFill patternType="solid">
        <fgColor rgb="FF9BBB59"/>
        <bgColor indexed="64"/>
      </patternFill>
    </fill>
    <fill>
      <patternFill patternType="solid">
        <fgColor rgb="FFC0504D"/>
        <bgColor indexed="64"/>
      </patternFill>
    </fill>
    <fill>
      <patternFill patternType="solid">
        <fgColor theme="5" tint="0.79998168889431442"/>
        <bgColor indexed="64"/>
      </patternFill>
    </fill>
    <fill>
      <patternFill patternType="solid">
        <fgColor rgb="FFF2DCDB"/>
        <bgColor indexed="64"/>
      </patternFill>
    </fill>
    <fill>
      <patternFill patternType="solid">
        <fgColor theme="8"/>
        <bgColor indexed="64"/>
      </patternFill>
    </fill>
    <fill>
      <patternFill patternType="solid">
        <fgColor theme="8" tint="0.79998168889431442"/>
        <bgColor indexed="64"/>
      </patternFill>
    </fill>
    <fill>
      <patternFill patternType="solid">
        <fgColor rgb="FFC0504D"/>
        <bgColor rgb="FF000000"/>
      </patternFill>
    </fill>
    <fill>
      <patternFill patternType="solid">
        <fgColor rgb="FFF2DCDB"/>
        <bgColor rgb="FF000000"/>
      </patternFill>
    </fill>
  </fills>
  <borders count="6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auto="1"/>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medium">
        <color auto="1"/>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auto="1"/>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indexed="64"/>
      </top>
      <bottom style="thin">
        <color auto="1"/>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xf numFmtId="173"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xf numFmtId="0" fontId="15" fillId="13" borderId="0" applyNumberFormat="0" applyBorder="0" applyAlignment="0" applyProtection="0"/>
    <xf numFmtId="0" fontId="9" fillId="0" borderId="0"/>
    <xf numFmtId="0" fontId="1" fillId="0" borderId="0"/>
    <xf numFmtId="0" fontId="9" fillId="0" borderId="0"/>
    <xf numFmtId="0" fontId="47" fillId="0" borderId="0" applyNumberFormat="0" applyFill="0" applyBorder="0" applyAlignment="0" applyProtection="0"/>
  </cellStyleXfs>
  <cellXfs count="603">
    <xf numFmtId="0" fontId="0" fillId="0" borderId="0" xfId="0"/>
    <xf numFmtId="0" fontId="7" fillId="0" borderId="0" xfId="3" applyFont="1" applyFill="1"/>
    <xf numFmtId="0" fontId="3" fillId="0" borderId="0" xfId="0" applyFont="1"/>
    <xf numFmtId="0" fontId="5" fillId="0" borderId="0" xfId="0" applyFont="1"/>
    <xf numFmtId="0" fontId="4" fillId="0" borderId="0" xfId="0" applyFont="1"/>
    <xf numFmtId="0" fontId="0" fillId="0" borderId="0" xfId="0" applyAlignment="1">
      <alignment wrapText="1"/>
    </xf>
    <xf numFmtId="0" fontId="2" fillId="3" borderId="1" xfId="0" applyFont="1" applyFill="1" applyBorder="1"/>
    <xf numFmtId="0" fontId="2" fillId="6" borderId="6" xfId="0" applyFont="1" applyFill="1" applyBorder="1" applyAlignment="1">
      <alignment horizontal="center" vertical="center"/>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164" fontId="9" fillId="0" borderId="0" xfId="0" applyNumberFormat="1" applyFont="1"/>
    <xf numFmtId="3" fontId="0" fillId="0" borderId="0" xfId="0" applyNumberFormat="1"/>
    <xf numFmtId="0" fontId="2" fillId="7" borderId="6" xfId="0" applyFont="1" applyFill="1" applyBorder="1" applyAlignment="1">
      <alignment horizontal="right"/>
    </xf>
    <xf numFmtId="165" fontId="2" fillId="6" borderId="4" xfId="0" applyNumberFormat="1" applyFont="1" applyFill="1" applyBorder="1" applyAlignment="1">
      <alignment horizontal="right"/>
    </xf>
    <xf numFmtId="3" fontId="12" fillId="0" borderId="10" xfId="0" applyNumberFormat="1" applyFont="1" applyBorder="1" applyAlignment="1">
      <alignment horizontal="center" vertical="center"/>
    </xf>
    <xf numFmtId="3" fontId="12" fillId="0" borderId="0" xfId="0" applyNumberFormat="1" applyFont="1" applyAlignment="1">
      <alignment horizontal="center" vertical="center"/>
    </xf>
    <xf numFmtId="3" fontId="12" fillId="0" borderId="10" xfId="2" applyNumberFormat="1" applyFont="1" applyBorder="1" applyAlignment="1" applyProtection="1">
      <alignment horizontal="center" vertical="center"/>
    </xf>
    <xf numFmtId="9" fontId="12" fillId="0" borderId="11" xfId="2" applyFont="1" applyBorder="1" applyAlignment="1" applyProtection="1">
      <alignment horizontal="center" vertical="center"/>
    </xf>
    <xf numFmtId="0" fontId="2" fillId="6" borderId="12" xfId="0" applyFont="1" applyFill="1" applyBorder="1" applyAlignment="1">
      <alignment horizontal="right"/>
    </xf>
    <xf numFmtId="3" fontId="0" fillId="0" borderId="13" xfId="0" applyNumberFormat="1" applyBorder="1" applyAlignment="1">
      <alignment horizontal="center" vertical="center"/>
    </xf>
    <xf numFmtId="9" fontId="0" fillId="0" borderId="13" xfId="2" applyFont="1" applyFill="1" applyBorder="1" applyAlignment="1">
      <alignment horizontal="center" vertical="center"/>
    </xf>
    <xf numFmtId="3" fontId="0" fillId="0" borderId="13" xfId="2" applyNumberFormat="1" applyFont="1" applyFill="1" applyBorder="1" applyAlignment="1">
      <alignment horizontal="center" vertical="center"/>
    </xf>
    <xf numFmtId="9" fontId="0" fillId="0" borderId="11" xfId="2" applyFont="1" applyFill="1" applyBorder="1" applyAlignment="1">
      <alignment horizontal="center" vertical="center"/>
    </xf>
    <xf numFmtId="9" fontId="0" fillId="0" borderId="0" xfId="2" applyFont="1"/>
    <xf numFmtId="166" fontId="2" fillId="6" borderId="4" xfId="0" applyNumberFormat="1" applyFont="1" applyFill="1" applyBorder="1" applyAlignment="1">
      <alignment horizontal="right"/>
    </xf>
    <xf numFmtId="3" fontId="12" fillId="8" borderId="10" xfId="0" applyNumberFormat="1" applyFont="1" applyFill="1" applyBorder="1" applyAlignment="1">
      <alignment horizontal="center" vertical="center"/>
    </xf>
    <xf numFmtId="3" fontId="12" fillId="8" borderId="0" xfId="0" applyNumberFormat="1" applyFont="1" applyFill="1" applyAlignment="1">
      <alignment horizontal="center" vertical="center"/>
    </xf>
    <xf numFmtId="3" fontId="12" fillId="8" borderId="10" xfId="2" applyNumberFormat="1" applyFont="1" applyFill="1" applyBorder="1" applyAlignment="1" applyProtection="1">
      <alignment horizontal="center" vertical="center"/>
    </xf>
    <xf numFmtId="9" fontId="12" fillId="8" borderId="11" xfId="2" applyFont="1" applyFill="1" applyBorder="1" applyAlignment="1" applyProtection="1">
      <alignment horizontal="center" vertical="center"/>
    </xf>
    <xf numFmtId="0" fontId="2" fillId="9" borderId="12" xfId="0" applyFont="1" applyFill="1" applyBorder="1" applyAlignment="1">
      <alignment horizontal="right"/>
    </xf>
    <xf numFmtId="3" fontId="0" fillId="10" borderId="0" xfId="0" applyNumberFormat="1" applyFill="1" applyAlignment="1">
      <alignment horizontal="center" vertical="center"/>
    </xf>
    <xf numFmtId="3" fontId="0" fillId="10" borderId="10" xfId="0" applyNumberFormat="1" applyFill="1" applyBorder="1" applyAlignment="1">
      <alignment horizontal="center" vertical="center"/>
    </xf>
    <xf numFmtId="9" fontId="0" fillId="10" borderId="0" xfId="2" applyFont="1" applyFill="1" applyBorder="1" applyAlignment="1">
      <alignment horizontal="center" vertical="center"/>
    </xf>
    <xf numFmtId="3" fontId="0" fillId="10" borderId="10" xfId="2" applyNumberFormat="1" applyFont="1" applyFill="1" applyBorder="1" applyAlignment="1">
      <alignment horizontal="center" vertical="center"/>
    </xf>
    <xf numFmtId="9" fontId="0" fillId="10" borderId="11" xfId="2" applyFont="1" applyFill="1" applyBorder="1" applyAlignment="1">
      <alignment horizontal="center" vertical="center"/>
    </xf>
    <xf numFmtId="3" fontId="0" fillId="0" borderId="0" xfId="0" applyNumberFormat="1" applyAlignment="1">
      <alignment horizontal="center" vertical="center"/>
    </xf>
    <xf numFmtId="3" fontId="0" fillId="0" borderId="10" xfId="0" applyNumberFormat="1" applyBorder="1" applyAlignment="1">
      <alignment horizontal="center" vertical="center"/>
    </xf>
    <xf numFmtId="9" fontId="0" fillId="0" borderId="0" xfId="2" applyFont="1" applyFill="1" applyBorder="1" applyAlignment="1">
      <alignment horizontal="center" vertical="center"/>
    </xf>
    <xf numFmtId="3" fontId="0" fillId="0" borderId="10" xfId="2" applyNumberFormat="1" applyFont="1" applyFill="1" applyBorder="1" applyAlignment="1">
      <alignment horizontal="center" vertical="center"/>
    </xf>
    <xf numFmtId="17" fontId="2" fillId="9" borderId="14" xfId="0" applyNumberFormat="1" applyFont="1" applyFill="1" applyBorder="1" applyAlignment="1">
      <alignment horizontal="right"/>
    </xf>
    <xf numFmtId="3" fontId="0" fillId="10" borderId="5" xfId="0" applyNumberFormat="1" applyFill="1" applyBorder="1" applyAlignment="1">
      <alignment horizontal="center" vertical="center"/>
    </xf>
    <xf numFmtId="3" fontId="0" fillId="10" borderId="15" xfId="0" applyNumberFormat="1" applyFill="1" applyBorder="1" applyAlignment="1">
      <alignment horizontal="center" vertical="center"/>
    </xf>
    <xf numFmtId="9" fontId="0" fillId="10" borderId="5" xfId="2" applyFont="1" applyFill="1" applyBorder="1" applyAlignment="1">
      <alignment horizontal="center" vertical="center"/>
    </xf>
    <xf numFmtId="3" fontId="0" fillId="10" borderId="15" xfId="2" applyNumberFormat="1" applyFont="1" applyFill="1" applyBorder="1" applyAlignment="1">
      <alignment horizontal="center" vertical="center"/>
    </xf>
    <xf numFmtId="9" fontId="0" fillId="10" borderId="16" xfId="2" applyFont="1" applyFill="1" applyBorder="1" applyAlignment="1">
      <alignment horizontal="center" vertical="center"/>
    </xf>
    <xf numFmtId="167" fontId="0" fillId="0" borderId="0" xfId="0" applyNumberFormat="1"/>
    <xf numFmtId="168" fontId="9" fillId="0" borderId="0" xfId="0" applyNumberFormat="1" applyFont="1"/>
    <xf numFmtId="166" fontId="2" fillId="6" borderId="14" xfId="0" applyNumberFormat="1" applyFont="1" applyFill="1" applyBorder="1" applyAlignment="1">
      <alignment horizontal="right"/>
    </xf>
    <xf numFmtId="9" fontId="12" fillId="0" borderId="0" xfId="2" applyFont="1" applyFill="1" applyBorder="1" applyAlignment="1" applyProtection="1">
      <alignment horizontal="center" vertical="center"/>
    </xf>
    <xf numFmtId="1" fontId="0" fillId="0" borderId="0" xfId="0" applyNumberFormat="1"/>
    <xf numFmtId="0" fontId="2" fillId="6" borderId="1" xfId="0" applyFont="1" applyFill="1" applyBorder="1"/>
    <xf numFmtId="0" fontId="0" fillId="8" borderId="3" xfId="0" applyFill="1" applyBorder="1"/>
    <xf numFmtId="0" fontId="13" fillId="0" borderId="0" xfId="0" applyFont="1"/>
    <xf numFmtId="0" fontId="2" fillId="6" borderId="17" xfId="0" applyFont="1" applyFill="1" applyBorder="1"/>
    <xf numFmtId="1" fontId="2" fillId="6" borderId="18" xfId="0" applyNumberFormat="1" applyFont="1" applyFill="1" applyBorder="1" applyAlignment="1">
      <alignment horizontal="center"/>
    </xf>
    <xf numFmtId="1" fontId="2" fillId="6" borderId="21" xfId="0" applyNumberFormat="1" applyFont="1" applyFill="1" applyBorder="1" applyAlignment="1">
      <alignment horizontal="left"/>
    </xf>
    <xf numFmtId="3" fontId="2" fillId="6" borderId="22" xfId="0" applyNumberFormat="1" applyFont="1" applyFill="1" applyBorder="1" applyAlignment="1">
      <alignment horizontal="center"/>
    </xf>
    <xf numFmtId="3" fontId="2" fillId="6" borderId="23" xfId="0" applyNumberFormat="1" applyFont="1" applyFill="1" applyBorder="1" applyAlignment="1">
      <alignment horizontal="center"/>
    </xf>
    <xf numFmtId="38" fontId="2" fillId="6" borderId="24" xfId="0" quotePrefix="1" applyNumberFormat="1" applyFont="1" applyFill="1" applyBorder="1" applyAlignment="1">
      <alignment horizontal="center"/>
    </xf>
    <xf numFmtId="1" fontId="2" fillId="6" borderId="4" xfId="0" applyNumberFormat="1" applyFont="1" applyFill="1" applyBorder="1"/>
    <xf numFmtId="3" fontId="12" fillId="0" borderId="10" xfId="0" applyNumberFormat="1" applyFont="1" applyBorder="1" applyAlignment="1">
      <alignment horizontal="center"/>
    </xf>
    <xf numFmtId="3" fontId="12" fillId="0" borderId="25" xfId="0" applyNumberFormat="1" applyFont="1" applyBorder="1" applyAlignment="1">
      <alignment horizontal="center"/>
    </xf>
    <xf numFmtId="9" fontId="12" fillId="0" borderId="11" xfId="2" applyFont="1" applyFill="1" applyBorder="1" applyAlignment="1">
      <alignment horizontal="center"/>
    </xf>
    <xf numFmtId="9" fontId="0" fillId="0" borderId="0" xfId="2" applyFont="1" applyAlignment="1">
      <alignment horizontal="left"/>
    </xf>
    <xf numFmtId="3" fontId="12" fillId="8" borderId="10" xfId="0" applyNumberFormat="1" applyFont="1" applyFill="1" applyBorder="1" applyAlignment="1">
      <alignment horizontal="center"/>
    </xf>
    <xf numFmtId="3" fontId="12" fillId="8" borderId="25" xfId="0" applyNumberFormat="1" applyFont="1" applyFill="1" applyBorder="1" applyAlignment="1">
      <alignment horizontal="center"/>
    </xf>
    <xf numFmtId="9" fontId="12" fillId="8" borderId="11" xfId="2" applyFont="1" applyFill="1" applyBorder="1" applyAlignment="1">
      <alignment horizontal="center"/>
    </xf>
    <xf numFmtId="1" fontId="2" fillId="6" borderId="4" xfId="0" applyNumberFormat="1" applyFont="1" applyFill="1" applyBorder="1" applyAlignment="1">
      <alignment horizontal="left"/>
    </xf>
    <xf numFmtId="3" fontId="12" fillId="0" borderId="25" xfId="0" applyNumberFormat="1" applyFont="1" applyBorder="1"/>
    <xf numFmtId="167" fontId="12" fillId="0" borderId="0" xfId="2" applyNumberFormat="1" applyFont="1" applyFill="1" applyBorder="1"/>
    <xf numFmtId="3" fontId="12" fillId="11" borderId="0" xfId="0" applyNumberFormat="1" applyFont="1" applyFill="1"/>
    <xf numFmtId="167" fontId="12" fillId="11" borderId="0" xfId="2" applyNumberFormat="1" applyFont="1" applyFill="1" applyBorder="1"/>
    <xf numFmtId="1" fontId="2" fillId="6" borderId="26" xfId="0" applyNumberFormat="1" applyFont="1" applyFill="1" applyBorder="1"/>
    <xf numFmtId="3" fontId="0" fillId="8" borderId="13" xfId="0" applyNumberFormat="1" applyFill="1" applyBorder="1" applyAlignment="1">
      <alignment horizontal="center"/>
    </xf>
    <xf numFmtId="3" fontId="4" fillId="8" borderId="13" xfId="0" applyNumberFormat="1" applyFont="1" applyFill="1" applyBorder="1" applyAlignment="1">
      <alignment horizontal="center"/>
    </xf>
    <xf numFmtId="9" fontId="4" fillId="8" borderId="27" xfId="2" applyFont="1" applyFill="1" applyBorder="1" applyAlignment="1">
      <alignment horizontal="center"/>
    </xf>
    <xf numFmtId="1" fontId="2" fillId="6" borderId="0" xfId="0" applyNumberFormat="1" applyFont="1" applyFill="1"/>
    <xf numFmtId="9" fontId="0" fillId="8" borderId="10" xfId="2" applyFont="1" applyFill="1" applyBorder="1" applyAlignment="1" applyProtection="1">
      <alignment horizontal="center"/>
    </xf>
    <xf numFmtId="3" fontId="4" fillId="8" borderId="10" xfId="0" applyNumberFormat="1" applyFont="1" applyFill="1" applyBorder="1" applyAlignment="1">
      <alignment horizontal="center"/>
    </xf>
    <xf numFmtId="9" fontId="4" fillId="8" borderId="11" xfId="2" applyFont="1" applyFill="1" applyBorder="1" applyAlignment="1">
      <alignment horizontal="center"/>
    </xf>
    <xf numFmtId="3" fontId="0" fillId="8" borderId="10" xfId="0" applyNumberFormat="1" applyFill="1" applyBorder="1" applyAlignment="1">
      <alignment horizontal="center"/>
    </xf>
    <xf numFmtId="1" fontId="2" fillId="6" borderId="5" xfId="0" applyNumberFormat="1" applyFont="1" applyFill="1" applyBorder="1"/>
    <xf numFmtId="9" fontId="0" fillId="8" borderId="15" xfId="2" applyFont="1" applyFill="1" applyBorder="1" applyAlignment="1">
      <alignment horizontal="center" vertical="top" wrapText="1"/>
    </xf>
    <xf numFmtId="9" fontId="4" fillId="8" borderId="15" xfId="2" applyFont="1" applyFill="1" applyBorder="1" applyAlignment="1">
      <alignment horizontal="center" vertical="top" wrapText="1"/>
    </xf>
    <xf numFmtId="9" fontId="4" fillId="8" borderId="16" xfId="2" applyFont="1" applyFill="1" applyBorder="1" applyAlignment="1">
      <alignment horizontal="center"/>
    </xf>
    <xf numFmtId="0" fontId="5" fillId="0" borderId="0" xfId="0" applyFont="1" applyAlignment="1">
      <alignment horizontal="left"/>
    </xf>
    <xf numFmtId="0" fontId="12" fillId="0" borderId="0" xfId="0" applyFont="1"/>
    <xf numFmtId="0" fontId="14" fillId="0" borderId="0" xfId="0" applyFont="1"/>
    <xf numFmtId="1" fontId="2" fillId="6" borderId="28" xfId="0" applyNumberFormat="1" applyFont="1" applyFill="1" applyBorder="1" applyAlignment="1">
      <alignment horizontal="center"/>
    </xf>
    <xf numFmtId="169" fontId="2" fillId="6" borderId="28" xfId="0" applyNumberFormat="1" applyFont="1" applyFill="1" applyBorder="1" applyAlignment="1">
      <alignment horizontal="center"/>
    </xf>
    <xf numFmtId="169" fontId="2" fillId="6" borderId="23" xfId="0" applyNumberFormat="1" applyFont="1" applyFill="1" applyBorder="1" applyAlignment="1">
      <alignment horizontal="center"/>
    </xf>
    <xf numFmtId="169" fontId="2" fillId="6" borderId="30" xfId="0" applyNumberFormat="1" applyFont="1" applyFill="1" applyBorder="1" applyAlignment="1">
      <alignment horizontal="center"/>
    </xf>
    <xf numFmtId="3" fontId="0" fillId="0" borderId="0" xfId="0" applyNumberFormat="1" applyAlignment="1">
      <alignment horizontal="center"/>
    </xf>
    <xf numFmtId="9" fontId="12" fillId="0" borderId="11" xfId="0" applyNumberFormat="1" applyFont="1" applyBorder="1" applyAlignment="1">
      <alignment horizontal="center" vertical="center"/>
    </xf>
    <xf numFmtId="3" fontId="0" fillId="0" borderId="32" xfId="0" applyNumberFormat="1" applyBorder="1" applyAlignment="1">
      <alignment horizontal="center"/>
    </xf>
    <xf numFmtId="3" fontId="0" fillId="0" borderId="33" xfId="0" applyNumberFormat="1" applyBorder="1" applyAlignment="1">
      <alignment horizontal="center"/>
    </xf>
    <xf numFmtId="9" fontId="0" fillId="0" borderId="25" xfId="2" applyFont="1" applyFill="1" applyBorder="1" applyAlignment="1" applyProtection="1">
      <alignment horizontal="center"/>
    </xf>
    <xf numFmtId="9" fontId="0" fillId="0" borderId="0" xfId="2" applyFont="1" applyFill="1" applyBorder="1" applyAlignment="1" applyProtection="1">
      <alignment horizontal="center"/>
    </xf>
    <xf numFmtId="9" fontId="1" fillId="0" borderId="0" xfId="2" applyFont="1" applyFill="1" applyBorder="1" applyAlignment="1" applyProtection="1">
      <alignment horizontal="center"/>
    </xf>
    <xf numFmtId="3" fontId="0" fillId="0" borderId="25" xfId="0" applyNumberFormat="1" applyBorder="1" applyAlignment="1">
      <alignment horizontal="center"/>
    </xf>
    <xf numFmtId="9" fontId="1" fillId="0" borderId="34" xfId="2" applyFont="1" applyFill="1" applyBorder="1" applyAlignment="1" applyProtection="1">
      <alignment horizontal="center"/>
    </xf>
    <xf numFmtId="9" fontId="1" fillId="0" borderId="5" xfId="2" applyFont="1" applyFill="1" applyBorder="1" applyAlignment="1" applyProtection="1">
      <alignment horizontal="center"/>
    </xf>
    <xf numFmtId="1" fontId="2" fillId="0" borderId="0" xfId="0" applyNumberFormat="1" applyFont="1"/>
    <xf numFmtId="170" fontId="14" fillId="0" borderId="0" xfId="0" applyNumberFormat="1" applyFont="1"/>
    <xf numFmtId="169" fontId="2" fillId="0" borderId="0" xfId="0" applyNumberFormat="1" applyFont="1" applyAlignment="1">
      <alignment horizontal="center"/>
    </xf>
    <xf numFmtId="170" fontId="0" fillId="0" borderId="0" xfId="0" applyNumberFormat="1"/>
    <xf numFmtId="4" fontId="12" fillId="0" borderId="0" xfId="0" applyNumberFormat="1" applyFont="1" applyAlignment="1">
      <alignment horizontal="center"/>
    </xf>
    <xf numFmtId="9" fontId="0" fillId="0" borderId="34" xfId="2" applyFont="1" applyFill="1" applyBorder="1" applyAlignment="1">
      <alignment horizontal="center"/>
    </xf>
    <xf numFmtId="9" fontId="0" fillId="0" borderId="5" xfId="2" applyFont="1" applyFill="1" applyBorder="1" applyAlignment="1">
      <alignment horizontal="center"/>
    </xf>
    <xf numFmtId="14" fontId="5" fillId="0" borderId="0" xfId="0" applyNumberFormat="1" applyFont="1"/>
    <xf numFmtId="0" fontId="2" fillId="6" borderId="6" xfId="0" applyFont="1" applyFill="1" applyBorder="1" applyAlignment="1">
      <alignment horizontal="right"/>
    </xf>
    <xf numFmtId="0" fontId="2" fillId="0" borderId="36" xfId="0" applyFont="1" applyBorder="1" applyAlignment="1">
      <alignment horizontal="center" vertical="center" wrapText="1"/>
    </xf>
    <xf numFmtId="0" fontId="2" fillId="6" borderId="38" xfId="0" applyFont="1" applyFill="1" applyBorder="1" applyAlignment="1">
      <alignment horizontal="center" vertical="center" wrapText="1"/>
    </xf>
    <xf numFmtId="9" fontId="0" fillId="0" borderId="10" xfId="2" applyFont="1" applyFill="1" applyBorder="1" applyAlignment="1">
      <alignment horizontal="center" vertical="center"/>
    </xf>
    <xf numFmtId="3" fontId="0" fillId="12" borderId="0" xfId="0" applyNumberFormat="1" applyFill="1" applyAlignment="1">
      <alignment horizontal="center" vertical="center"/>
    </xf>
    <xf numFmtId="3" fontId="0" fillId="12" borderId="10" xfId="0" applyNumberFormat="1" applyFill="1" applyBorder="1" applyAlignment="1">
      <alignment horizontal="center" vertical="center"/>
    </xf>
    <xf numFmtId="9" fontId="0" fillId="12" borderId="0" xfId="2" applyFont="1" applyFill="1" applyBorder="1" applyAlignment="1">
      <alignment horizontal="center" vertical="center"/>
    </xf>
    <xf numFmtId="3" fontId="0" fillId="12" borderId="10" xfId="2" applyNumberFormat="1" applyFont="1" applyFill="1" applyBorder="1" applyAlignment="1">
      <alignment horizontal="center" vertical="center"/>
    </xf>
    <xf numFmtId="9" fontId="0" fillId="12" borderId="11" xfId="2" applyFont="1" applyFill="1" applyBorder="1" applyAlignment="1">
      <alignment horizontal="center" vertical="center"/>
    </xf>
    <xf numFmtId="9" fontId="0" fillId="10" borderId="10" xfId="2" applyFont="1" applyFill="1" applyBorder="1" applyAlignment="1">
      <alignment horizontal="center" vertical="center"/>
    </xf>
    <xf numFmtId="0" fontId="2" fillId="9" borderId="14" xfId="0" applyFont="1" applyFill="1" applyBorder="1" applyAlignment="1">
      <alignment horizontal="right"/>
    </xf>
    <xf numFmtId="9" fontId="0" fillId="10" borderId="15" xfId="2" applyFont="1" applyFill="1" applyBorder="1" applyAlignment="1">
      <alignment horizontal="center" vertical="center"/>
    </xf>
    <xf numFmtId="167" fontId="0" fillId="0" borderId="0" xfId="2" applyNumberFormat="1" applyFont="1"/>
    <xf numFmtId="3" fontId="0" fillId="8" borderId="10" xfId="0" applyNumberFormat="1" applyFill="1" applyBorder="1" applyAlignment="1">
      <alignment horizontal="center" vertical="center"/>
    </xf>
    <xf numFmtId="3" fontId="0" fillId="8" borderId="0" xfId="0" applyNumberFormat="1" applyFill="1" applyAlignment="1">
      <alignment horizontal="center" vertical="center"/>
    </xf>
    <xf numFmtId="9" fontId="1" fillId="8" borderId="11" xfId="2" applyFont="1" applyFill="1" applyBorder="1" applyAlignment="1" applyProtection="1">
      <alignment horizontal="center" vertical="center"/>
    </xf>
    <xf numFmtId="3" fontId="0" fillId="0" borderId="15" xfId="0" applyNumberFormat="1" applyBorder="1" applyAlignment="1">
      <alignment horizontal="center" vertical="center"/>
    </xf>
    <xf numFmtId="9" fontId="1" fillId="0" borderId="16" xfId="2" applyFont="1" applyBorder="1" applyAlignment="1" applyProtection="1">
      <alignment horizontal="center" vertical="center"/>
    </xf>
    <xf numFmtId="0" fontId="2" fillId="14" borderId="1" xfId="5" applyFont="1" applyFill="1" applyBorder="1" applyAlignment="1">
      <alignment horizontal="left"/>
    </xf>
    <xf numFmtId="0" fontId="12" fillId="15" borderId="3" xfId="5" applyFont="1" applyFill="1" applyBorder="1" applyAlignment="1">
      <alignment horizontal="right"/>
    </xf>
    <xf numFmtId="164" fontId="16" fillId="0" borderId="0" xfId="0" applyNumberFormat="1" applyFont="1"/>
    <xf numFmtId="0" fontId="4" fillId="0" borderId="0" xfId="0" applyFont="1" applyAlignment="1">
      <alignment horizontal="center"/>
    </xf>
    <xf numFmtId="0" fontId="2" fillId="14" borderId="39" xfId="0" applyFont="1" applyFill="1" applyBorder="1" applyAlignment="1">
      <alignment horizontal="right"/>
    </xf>
    <xf numFmtId="0" fontId="2" fillId="14" borderId="8" xfId="0" applyFont="1" applyFill="1" applyBorder="1" applyAlignment="1">
      <alignment horizontal="center" vertical="center" wrapText="1"/>
    </xf>
    <xf numFmtId="0" fontId="2" fillId="14" borderId="38" xfId="0" applyFont="1" applyFill="1" applyBorder="1" applyAlignment="1">
      <alignment horizontal="center" vertical="center" wrapText="1"/>
    </xf>
    <xf numFmtId="0" fontId="2" fillId="14" borderId="40" xfId="0" applyFont="1" applyFill="1" applyBorder="1" applyAlignment="1">
      <alignment horizontal="center" vertical="center" wrapText="1"/>
    </xf>
    <xf numFmtId="0" fontId="2" fillId="16" borderId="6" xfId="0" applyFont="1" applyFill="1" applyBorder="1" applyAlignment="1">
      <alignment horizontal="right"/>
    </xf>
    <xf numFmtId="0" fontId="2" fillId="0" borderId="0" xfId="0" applyFont="1" applyAlignment="1">
      <alignment horizontal="center" vertical="center" wrapText="1"/>
    </xf>
    <xf numFmtId="166" fontId="2" fillId="14" borderId="4" xfId="0" applyNumberFormat="1" applyFont="1" applyFill="1" applyBorder="1" applyAlignment="1">
      <alignment horizontal="right"/>
    </xf>
    <xf numFmtId="9" fontId="12" fillId="0" borderId="36" xfId="2" applyFont="1" applyBorder="1" applyAlignment="1" applyProtection="1">
      <alignment horizontal="center" vertical="center"/>
    </xf>
    <xf numFmtId="0" fontId="2" fillId="17" borderId="4" xfId="0" applyFont="1" applyFill="1" applyBorder="1" applyAlignment="1">
      <alignment horizontal="right"/>
    </xf>
    <xf numFmtId="3" fontId="0" fillId="0" borderId="10" xfId="0" applyNumberFormat="1" applyBorder="1" applyAlignment="1">
      <alignment horizontal="center"/>
    </xf>
    <xf numFmtId="9" fontId="0" fillId="0" borderId="36" xfId="2" applyFont="1" applyFill="1" applyBorder="1" applyAlignment="1">
      <alignment horizontal="center"/>
    </xf>
    <xf numFmtId="0" fontId="2" fillId="17" borderId="12" xfId="0" applyFont="1" applyFill="1" applyBorder="1" applyAlignment="1">
      <alignment horizontal="right"/>
    </xf>
    <xf numFmtId="9" fontId="12" fillId="0" borderId="36" xfId="2" applyFont="1" applyFill="1" applyBorder="1" applyAlignment="1">
      <alignment horizontal="center"/>
    </xf>
    <xf numFmtId="3" fontId="12" fillId="15" borderId="10" xfId="0" applyNumberFormat="1" applyFont="1" applyFill="1" applyBorder="1" applyAlignment="1">
      <alignment horizontal="center" vertical="center"/>
    </xf>
    <xf numFmtId="3" fontId="12" fillId="15" borderId="0" xfId="0" applyNumberFormat="1" applyFont="1" applyFill="1" applyAlignment="1">
      <alignment horizontal="center" vertical="center"/>
    </xf>
    <xf numFmtId="9" fontId="12" fillId="15" borderId="36" xfId="2" applyFont="1" applyFill="1" applyBorder="1" applyAlignment="1" applyProtection="1">
      <alignment horizontal="center" vertical="center"/>
    </xf>
    <xf numFmtId="0" fontId="2" fillId="18" borderId="4" xfId="0" applyFont="1" applyFill="1" applyBorder="1" applyAlignment="1">
      <alignment horizontal="right"/>
    </xf>
    <xf numFmtId="3" fontId="0" fillId="19" borderId="10" xfId="0" applyNumberFormat="1" applyFill="1" applyBorder="1" applyAlignment="1">
      <alignment horizontal="center"/>
    </xf>
    <xf numFmtId="3" fontId="0" fillId="19" borderId="0" xfId="0" applyNumberFormat="1" applyFill="1" applyAlignment="1">
      <alignment horizontal="center"/>
    </xf>
    <xf numFmtId="9" fontId="0" fillId="19" borderId="36" xfId="2" applyFont="1" applyFill="1" applyBorder="1" applyAlignment="1">
      <alignment horizontal="center"/>
    </xf>
    <xf numFmtId="3" fontId="12" fillId="15" borderId="10" xfId="0" applyNumberFormat="1" applyFont="1" applyFill="1" applyBorder="1" applyAlignment="1">
      <alignment horizontal="center"/>
    </xf>
    <xf numFmtId="9" fontId="12" fillId="19" borderId="36" xfId="2" applyFont="1" applyFill="1" applyBorder="1" applyAlignment="1">
      <alignment horizontal="center"/>
    </xf>
    <xf numFmtId="0" fontId="2" fillId="18" borderId="41" xfId="0" applyFont="1" applyFill="1" applyBorder="1" applyAlignment="1">
      <alignment horizontal="right"/>
    </xf>
    <xf numFmtId="3" fontId="12" fillId="15" borderId="15" xfId="0" applyNumberFormat="1" applyFont="1" applyFill="1" applyBorder="1" applyAlignment="1">
      <alignment horizontal="center"/>
    </xf>
    <xf numFmtId="3" fontId="12" fillId="15" borderId="5" xfId="0" applyNumberFormat="1" applyFont="1" applyFill="1" applyBorder="1" applyAlignment="1">
      <alignment horizontal="center"/>
    </xf>
    <xf numFmtId="9" fontId="12" fillId="15" borderId="37" xfId="2" applyFont="1" applyFill="1" applyBorder="1" applyAlignment="1">
      <alignment horizontal="center"/>
    </xf>
    <xf numFmtId="0" fontId="2" fillId="17" borderId="14" xfId="0" applyFont="1" applyFill="1" applyBorder="1" applyAlignment="1">
      <alignment horizontal="right"/>
    </xf>
    <xf numFmtId="9" fontId="12" fillId="19" borderId="37" xfId="2" applyFont="1" applyFill="1" applyBorder="1" applyAlignment="1">
      <alignment horizontal="center"/>
    </xf>
    <xf numFmtId="166" fontId="2" fillId="14" borderId="41" xfId="0" applyNumberFormat="1" applyFont="1" applyFill="1" applyBorder="1" applyAlignment="1">
      <alignment horizontal="right"/>
    </xf>
    <xf numFmtId="3" fontId="12" fillId="15" borderId="15" xfId="0" applyNumberFormat="1" applyFont="1" applyFill="1" applyBorder="1" applyAlignment="1">
      <alignment horizontal="center" vertical="center"/>
    </xf>
    <xf numFmtId="3" fontId="12" fillId="15" borderId="5" xfId="0" applyNumberFormat="1" applyFont="1" applyFill="1" applyBorder="1" applyAlignment="1">
      <alignment horizontal="center" vertical="center"/>
    </xf>
    <xf numFmtId="9" fontId="12" fillId="15" borderId="37" xfId="2" applyFont="1" applyFill="1" applyBorder="1" applyAlignment="1" applyProtection="1">
      <alignment horizontal="center" vertical="center"/>
    </xf>
    <xf numFmtId="166" fontId="17" fillId="0" borderId="0" xfId="6" applyNumberFormat="1" applyFont="1" applyAlignment="1">
      <alignment horizontal="left"/>
    </xf>
    <xf numFmtId="166" fontId="18" fillId="0" borderId="0" xfId="6" applyNumberFormat="1" applyFont="1" applyAlignment="1">
      <alignment horizontal="left"/>
    </xf>
    <xf numFmtId="166" fontId="19" fillId="0" borderId="0" xfId="6" applyNumberFormat="1" applyFont="1" applyAlignment="1">
      <alignment horizontal="left"/>
    </xf>
    <xf numFmtId="166" fontId="20" fillId="0" borderId="0" xfId="6" applyNumberFormat="1" applyFont="1" applyAlignment="1">
      <alignment horizontal="left"/>
    </xf>
    <xf numFmtId="172" fontId="0" fillId="0" borderId="0" xfId="0" applyNumberFormat="1"/>
    <xf numFmtId="0" fontId="2" fillId="14" borderId="6" xfId="0" applyFont="1" applyFill="1" applyBorder="1" applyAlignment="1">
      <alignment horizontal="right"/>
    </xf>
    <xf numFmtId="0" fontId="2" fillId="14" borderId="7" xfId="0" applyFont="1" applyFill="1" applyBorder="1" applyAlignment="1">
      <alignment horizontal="center" vertical="center" wrapText="1"/>
    </xf>
    <xf numFmtId="0" fontId="2" fillId="14" borderId="42" xfId="0" applyFont="1" applyFill="1" applyBorder="1" applyAlignment="1">
      <alignment horizontal="center" vertical="center" wrapText="1"/>
    </xf>
    <xf numFmtId="3" fontId="0" fillId="0" borderId="43" xfId="0" applyNumberFormat="1" applyBorder="1"/>
    <xf numFmtId="0" fontId="2" fillId="20" borderId="6" xfId="0" applyFont="1" applyFill="1" applyBorder="1" applyAlignment="1">
      <alignment horizontal="right"/>
    </xf>
    <xf numFmtId="9" fontId="12" fillId="0" borderId="10" xfId="2" applyFont="1" applyFill="1" applyBorder="1" applyAlignment="1" applyProtection="1">
      <alignment horizontal="center" vertical="center"/>
    </xf>
    <xf numFmtId="9" fontId="12" fillId="0" borderId="11" xfId="2" applyFont="1" applyFill="1" applyBorder="1" applyAlignment="1" applyProtection="1">
      <alignment horizontal="center" vertical="center"/>
    </xf>
    <xf numFmtId="0" fontId="0" fillId="0" borderId="0" xfId="2" applyNumberFormat="1" applyFont="1"/>
    <xf numFmtId="9" fontId="0" fillId="0" borderId="0" xfId="0" applyNumberFormat="1" applyAlignment="1">
      <alignment horizontal="center" vertical="center"/>
    </xf>
    <xf numFmtId="9" fontId="0" fillId="0" borderId="11" xfId="0" applyNumberFormat="1" applyBorder="1" applyAlignment="1">
      <alignment horizontal="center" vertical="center"/>
    </xf>
    <xf numFmtId="167" fontId="0" fillId="0" borderId="0" xfId="0" applyNumberFormat="1" applyAlignment="1">
      <alignment horizontal="center" vertical="center"/>
    </xf>
    <xf numFmtId="9" fontId="12" fillId="15" borderId="10" xfId="2" applyFont="1" applyFill="1" applyBorder="1" applyAlignment="1" applyProtection="1">
      <alignment horizontal="center" vertical="center"/>
    </xf>
    <xf numFmtId="9" fontId="12" fillId="15" borderId="0" xfId="2" applyFont="1" applyFill="1" applyBorder="1" applyAlignment="1" applyProtection="1">
      <alignment horizontal="center" vertical="center"/>
    </xf>
    <xf numFmtId="9" fontId="12" fillId="15" borderId="11" xfId="2" applyFont="1" applyFill="1" applyBorder="1" applyAlignment="1" applyProtection="1">
      <alignment horizontal="center" vertical="center"/>
    </xf>
    <xf numFmtId="9" fontId="0" fillId="15" borderId="10" xfId="2" applyFont="1" applyFill="1" applyBorder="1" applyAlignment="1">
      <alignment horizontal="center" vertical="center"/>
    </xf>
    <xf numFmtId="9" fontId="0" fillId="15" borderId="0" xfId="0" applyNumberFormat="1" applyFill="1" applyAlignment="1">
      <alignment horizontal="center" vertical="center"/>
    </xf>
    <xf numFmtId="9" fontId="0" fillId="15" borderId="11" xfId="0" applyNumberFormat="1" applyFill="1" applyBorder="1" applyAlignment="1">
      <alignment horizontal="center" vertical="center"/>
    </xf>
    <xf numFmtId="9" fontId="12" fillId="0" borderId="10" xfId="2" applyFont="1" applyFill="1" applyBorder="1" applyAlignment="1">
      <alignment horizontal="center" vertical="center"/>
    </xf>
    <xf numFmtId="9" fontId="12" fillId="0" borderId="0" xfId="0" applyNumberFormat="1" applyFont="1" applyAlignment="1">
      <alignment horizontal="center" vertical="center"/>
    </xf>
    <xf numFmtId="9" fontId="0" fillId="15" borderId="15" xfId="2" applyFont="1" applyFill="1" applyBorder="1" applyAlignment="1">
      <alignment horizontal="center" vertical="center"/>
    </xf>
    <xf numFmtId="9" fontId="0" fillId="15" borderId="5" xfId="0" applyNumberFormat="1" applyFill="1" applyBorder="1" applyAlignment="1">
      <alignment horizontal="center" vertical="center"/>
    </xf>
    <xf numFmtId="9" fontId="0" fillId="15" borderId="16" xfId="0" applyNumberFormat="1" applyFill="1" applyBorder="1" applyAlignment="1">
      <alignment horizontal="center" vertical="center"/>
    </xf>
    <xf numFmtId="166" fontId="2" fillId="14" borderId="12" xfId="0" applyNumberFormat="1" applyFont="1" applyFill="1" applyBorder="1" applyAlignment="1">
      <alignment horizontal="right"/>
    </xf>
    <xf numFmtId="9" fontId="0" fillId="0" borderId="10" xfId="2" applyFont="1" applyFill="1" applyBorder="1" applyAlignment="1" applyProtection="1">
      <alignment horizontal="center" vertical="center"/>
    </xf>
    <xf numFmtId="9" fontId="0" fillId="0" borderId="0" xfId="2" applyFont="1" applyFill="1" applyBorder="1" applyAlignment="1" applyProtection="1">
      <alignment horizontal="center" vertical="center"/>
    </xf>
    <xf numFmtId="9" fontId="0" fillId="0" borderId="11" xfId="2" applyFont="1" applyFill="1" applyBorder="1" applyAlignment="1" applyProtection="1">
      <alignment horizontal="center" vertical="center"/>
    </xf>
    <xf numFmtId="9" fontId="0" fillId="15" borderId="10" xfId="2" applyFont="1" applyFill="1" applyBorder="1" applyAlignment="1" applyProtection="1">
      <alignment horizontal="center" vertical="center"/>
    </xf>
    <xf numFmtId="9" fontId="0" fillId="15" borderId="0" xfId="2" applyFont="1" applyFill="1" applyBorder="1" applyAlignment="1" applyProtection="1">
      <alignment horizontal="center" vertical="center"/>
    </xf>
    <xf numFmtId="9" fontId="0" fillId="15" borderId="11" xfId="2" applyFont="1" applyFill="1" applyBorder="1" applyAlignment="1" applyProtection="1">
      <alignment horizontal="center" vertical="center"/>
    </xf>
    <xf numFmtId="166" fontId="2" fillId="14" borderId="14" xfId="0" applyNumberFormat="1" applyFont="1" applyFill="1" applyBorder="1" applyAlignment="1">
      <alignment horizontal="right"/>
    </xf>
    <xf numFmtId="9" fontId="0" fillId="15" borderId="15" xfId="2" applyFont="1" applyFill="1" applyBorder="1" applyAlignment="1" applyProtection="1">
      <alignment horizontal="center" vertical="center"/>
    </xf>
    <xf numFmtId="9" fontId="0" fillId="15" borderId="5" xfId="2" applyFont="1" applyFill="1" applyBorder="1" applyAlignment="1" applyProtection="1">
      <alignment horizontal="center" vertical="center"/>
    </xf>
    <xf numFmtId="9" fontId="0" fillId="15" borderId="16" xfId="2" applyFont="1" applyFill="1" applyBorder="1" applyAlignment="1" applyProtection="1">
      <alignment horizontal="center" vertical="center"/>
    </xf>
    <xf numFmtId="0" fontId="0" fillId="0" borderId="0" xfId="0" applyAlignment="1">
      <alignment horizontal="center"/>
    </xf>
    <xf numFmtId="0" fontId="19" fillId="0" borderId="0" xfId="7" applyFont="1"/>
    <xf numFmtId="0" fontId="21" fillId="0" borderId="0" xfId="7" applyFont="1"/>
    <xf numFmtId="0" fontId="21" fillId="11" borderId="0" xfId="7" applyFont="1" applyFill="1"/>
    <xf numFmtId="0" fontId="22" fillId="0" borderId="0" xfId="7" applyFont="1"/>
    <xf numFmtId="0" fontId="19" fillId="0" borderId="0" xfId="0" applyFont="1" applyAlignment="1">
      <alignment wrapText="1"/>
    </xf>
    <xf numFmtId="0" fontId="2" fillId="11" borderId="0" xfId="0" applyFont="1" applyFill="1" applyAlignment="1">
      <alignment horizontal="center" vertical="center" wrapText="1"/>
    </xf>
    <xf numFmtId="0" fontId="19" fillId="0" borderId="0" xfId="1" applyNumberFormat="1" applyFont="1" applyAlignment="1">
      <alignment horizontal="left"/>
    </xf>
    <xf numFmtId="166" fontId="19" fillId="0" borderId="0" xfId="0" applyNumberFormat="1" applyFont="1" applyAlignment="1">
      <alignment horizontal="left"/>
    </xf>
    <xf numFmtId="174" fontId="1" fillId="11" borderId="0" xfId="1" applyNumberFormat="1" applyFont="1" applyFill="1" applyBorder="1" applyAlignment="1" applyProtection="1">
      <alignment horizontal="right"/>
    </xf>
    <xf numFmtId="0" fontId="23" fillId="0" borderId="0" xfId="7" applyFont="1"/>
    <xf numFmtId="174" fontId="5" fillId="11" borderId="0" xfId="1" applyNumberFormat="1" applyFont="1" applyFill="1" applyBorder="1" applyAlignment="1" applyProtection="1">
      <alignment horizontal="right"/>
    </xf>
    <xf numFmtId="3" fontId="19" fillId="0" borderId="0" xfId="7" applyNumberFormat="1" applyFont="1"/>
    <xf numFmtId="0" fontId="24" fillId="11" borderId="0" xfId="0" applyFont="1" applyFill="1"/>
    <xf numFmtId="14" fontId="3" fillId="0" borderId="0" xfId="0" applyNumberFormat="1" applyFont="1"/>
    <xf numFmtId="0" fontId="25" fillId="11" borderId="0" xfId="0" applyFont="1" applyFill="1"/>
    <xf numFmtId="0" fontId="26" fillId="0" borderId="0" xfId="0" applyFont="1"/>
    <xf numFmtId="164" fontId="27" fillId="0" borderId="0" xfId="0" applyNumberFormat="1" applyFont="1"/>
    <xf numFmtId="9" fontId="0" fillId="0" borderId="36" xfId="2" applyFont="1" applyFill="1" applyBorder="1" applyAlignment="1">
      <alignment horizontal="center" vertical="center"/>
    </xf>
    <xf numFmtId="9" fontId="0" fillId="19" borderId="36" xfId="2" applyFont="1" applyFill="1" applyBorder="1" applyAlignment="1">
      <alignment horizontal="center" vertical="center"/>
    </xf>
    <xf numFmtId="9" fontId="0" fillId="19" borderId="37" xfId="2" applyFont="1" applyFill="1" applyBorder="1" applyAlignment="1">
      <alignment horizontal="center" vertical="center"/>
    </xf>
    <xf numFmtId="9" fontId="12" fillId="0" borderId="36" xfId="2" applyFont="1" applyFill="1" applyBorder="1" applyAlignment="1" applyProtection="1">
      <alignment horizontal="center" vertical="center"/>
    </xf>
    <xf numFmtId="9" fontId="12" fillId="11" borderId="36" xfId="2" applyFont="1" applyFill="1" applyBorder="1" applyAlignment="1" applyProtection="1">
      <alignment horizontal="center" vertical="center"/>
    </xf>
    <xf numFmtId="0" fontId="28" fillId="0" borderId="0" xfId="0" applyFont="1"/>
    <xf numFmtId="0" fontId="29" fillId="0" borderId="0" xfId="7" applyFont="1"/>
    <xf numFmtId="0" fontId="30" fillId="0" borderId="0" xfId="0" applyFont="1"/>
    <xf numFmtId="0" fontId="31" fillId="0" borderId="0" xfId="7" applyFont="1"/>
    <xf numFmtId="0" fontId="32" fillId="0" borderId="0" xfId="0" applyFont="1"/>
    <xf numFmtId="0" fontId="2" fillId="14" borderId="9" xfId="0" applyFont="1" applyFill="1" applyBorder="1" applyAlignment="1">
      <alignment horizontal="center" vertical="center" wrapText="1"/>
    </xf>
    <xf numFmtId="0" fontId="2" fillId="16" borderId="39" xfId="0" applyFont="1" applyFill="1" applyBorder="1" applyAlignment="1">
      <alignment horizontal="right"/>
    </xf>
    <xf numFmtId="0" fontId="19" fillId="0" borderId="0" xfId="0" applyFont="1" applyAlignment="1">
      <alignment horizontal="left"/>
    </xf>
    <xf numFmtId="9" fontId="0" fillId="11" borderId="11" xfId="2" applyFont="1" applyFill="1" applyBorder="1" applyAlignment="1">
      <alignment horizontal="center" vertical="center"/>
    </xf>
    <xf numFmtId="9" fontId="12" fillId="15" borderId="11" xfId="0" applyNumberFormat="1" applyFont="1" applyFill="1" applyBorder="1" applyAlignment="1">
      <alignment horizontal="center" vertical="center"/>
    </xf>
    <xf numFmtId="9" fontId="0" fillId="19" borderId="11" xfId="2" applyFont="1" applyFill="1" applyBorder="1" applyAlignment="1">
      <alignment horizontal="center" vertical="center"/>
    </xf>
    <xf numFmtId="0" fontId="2" fillId="17" borderId="41" xfId="0" applyFont="1" applyFill="1" applyBorder="1" applyAlignment="1">
      <alignment horizontal="right"/>
    </xf>
    <xf numFmtId="9" fontId="1" fillId="15" borderId="16" xfId="2" applyFont="1" applyFill="1" applyBorder="1" applyAlignment="1">
      <alignment horizontal="center" vertical="center"/>
    </xf>
    <xf numFmtId="9" fontId="12" fillId="0" borderId="16" xfId="0" applyNumberFormat="1" applyFont="1" applyBorder="1" applyAlignment="1">
      <alignment horizontal="center" vertical="center"/>
    </xf>
    <xf numFmtId="9" fontId="12" fillId="11" borderId="11" xfId="2" applyFont="1" applyFill="1" applyBorder="1" applyAlignment="1" applyProtection="1">
      <alignment horizontal="center" vertical="center"/>
    </xf>
    <xf numFmtId="9" fontId="12" fillId="11" borderId="16" xfId="2" applyFont="1" applyFill="1" applyBorder="1" applyAlignment="1" applyProtection="1">
      <alignment horizontal="center" vertical="center"/>
    </xf>
    <xf numFmtId="9" fontId="19" fillId="0" borderId="0" xfId="2" applyFont="1" applyAlignment="1"/>
    <xf numFmtId="9" fontId="19" fillId="0" borderId="0" xfId="7" applyNumberFormat="1" applyFont="1"/>
    <xf numFmtId="0" fontId="0" fillId="4" borderId="3" xfId="0" applyFill="1" applyBorder="1"/>
    <xf numFmtId="0" fontId="2" fillId="3" borderId="17" xfId="0" applyFont="1" applyFill="1" applyBorder="1"/>
    <xf numFmtId="1" fontId="2" fillId="3" borderId="18" xfId="0" applyNumberFormat="1" applyFont="1" applyFill="1" applyBorder="1" applyAlignment="1">
      <alignment horizontal="center"/>
    </xf>
    <xf numFmtId="1" fontId="2" fillId="3" borderId="21" xfId="0" applyNumberFormat="1" applyFont="1" applyFill="1" applyBorder="1" applyAlignment="1">
      <alignment horizontal="left"/>
    </xf>
    <xf numFmtId="3" fontId="2" fillId="3" borderId="22" xfId="0" applyNumberFormat="1" applyFont="1" applyFill="1" applyBorder="1" applyAlignment="1">
      <alignment horizontal="center"/>
    </xf>
    <xf numFmtId="3" fontId="2" fillId="3" borderId="23" xfId="0" applyNumberFormat="1" applyFont="1" applyFill="1" applyBorder="1" applyAlignment="1">
      <alignment horizontal="center"/>
    </xf>
    <xf numFmtId="38" fontId="2" fillId="3" borderId="24" xfId="0" quotePrefix="1" applyNumberFormat="1" applyFont="1" applyFill="1" applyBorder="1" applyAlignment="1">
      <alignment horizontal="center"/>
    </xf>
    <xf numFmtId="0" fontId="33" fillId="21" borderId="4" xfId="0" applyFont="1" applyFill="1" applyBorder="1" applyAlignment="1">
      <alignment vertical="center"/>
    </xf>
    <xf numFmtId="4" fontId="12" fillId="4" borderId="10" xfId="0" applyNumberFormat="1" applyFont="1" applyFill="1" applyBorder="1" applyAlignment="1">
      <alignment horizontal="center"/>
    </xf>
    <xf numFmtId="4" fontId="12" fillId="4" borderId="25" xfId="0" applyNumberFormat="1" applyFont="1" applyFill="1" applyBorder="1" applyAlignment="1">
      <alignment horizontal="center"/>
    </xf>
    <xf numFmtId="9" fontId="12" fillId="4" borderId="11" xfId="2" applyFont="1" applyFill="1" applyBorder="1" applyAlignment="1">
      <alignment horizontal="center"/>
    </xf>
    <xf numFmtId="4" fontId="12" fillId="11" borderId="10" xfId="0" applyNumberFormat="1" applyFont="1" applyFill="1" applyBorder="1" applyAlignment="1">
      <alignment horizontal="center"/>
    </xf>
    <xf numFmtId="4" fontId="12" fillId="11" borderId="25" xfId="0" applyNumberFormat="1" applyFont="1" applyFill="1" applyBorder="1" applyAlignment="1">
      <alignment horizontal="center"/>
    </xf>
    <xf numFmtId="9" fontId="12" fillId="11" borderId="11" xfId="2" applyFont="1" applyFill="1" applyBorder="1" applyAlignment="1">
      <alignment horizontal="center"/>
    </xf>
    <xf numFmtId="167" fontId="3" fillId="0" borderId="0" xfId="2" applyNumberFormat="1" applyFont="1" applyFill="1" applyBorder="1"/>
    <xf numFmtId="3" fontId="12" fillId="11" borderId="25" xfId="0" applyNumberFormat="1" applyFont="1" applyFill="1" applyBorder="1"/>
    <xf numFmtId="0" fontId="33" fillId="21" borderId="12" xfId="0" applyFont="1" applyFill="1" applyBorder="1" applyAlignment="1">
      <alignment vertical="center"/>
    </xf>
    <xf numFmtId="0" fontId="33" fillId="21" borderId="45" xfId="0" applyFont="1" applyFill="1" applyBorder="1" applyAlignment="1">
      <alignment vertical="center"/>
    </xf>
    <xf numFmtId="4" fontId="14" fillId="0" borderId="13" xfId="0" applyNumberFormat="1" applyFont="1" applyBorder="1" applyAlignment="1">
      <alignment horizontal="center"/>
    </xf>
    <xf numFmtId="4" fontId="14" fillId="0" borderId="32" xfId="0" applyNumberFormat="1" applyFont="1" applyBorder="1" applyAlignment="1">
      <alignment horizontal="center"/>
    </xf>
    <xf numFmtId="9" fontId="14" fillId="0" borderId="27" xfId="2" applyFont="1" applyFill="1" applyBorder="1" applyAlignment="1">
      <alignment horizontal="center"/>
    </xf>
    <xf numFmtId="0" fontId="33" fillId="21" borderId="14" xfId="0" applyFont="1" applyFill="1" applyBorder="1" applyAlignment="1">
      <alignment vertical="center"/>
    </xf>
    <xf numFmtId="4" fontId="14" fillId="0" borderId="15" xfId="0" applyNumberFormat="1" applyFont="1" applyBorder="1" applyAlignment="1">
      <alignment horizontal="center"/>
    </xf>
    <xf numFmtId="4" fontId="14" fillId="0" borderId="34" xfId="0" applyNumberFormat="1" applyFont="1" applyBorder="1" applyAlignment="1">
      <alignment horizontal="center"/>
    </xf>
    <xf numFmtId="9" fontId="14" fillId="0" borderId="16" xfId="2" applyFont="1" applyFill="1" applyBorder="1" applyAlignment="1">
      <alignment horizontal="center"/>
    </xf>
    <xf numFmtId="0" fontId="35" fillId="0" borderId="0" xfId="0" applyFont="1"/>
    <xf numFmtId="0" fontId="12" fillId="0" borderId="0" xfId="0" applyFont="1" applyAlignment="1">
      <alignment vertical="center"/>
    </xf>
    <xf numFmtId="1" fontId="2" fillId="3" borderId="19" xfId="0" applyNumberFormat="1" applyFont="1" applyFill="1" applyBorder="1" applyAlignment="1">
      <alignment horizontal="center"/>
    </xf>
    <xf numFmtId="1" fontId="2" fillId="3" borderId="28" xfId="0" applyNumberFormat="1" applyFont="1" applyFill="1" applyBorder="1" applyAlignment="1">
      <alignment horizontal="center"/>
    </xf>
    <xf numFmtId="3" fontId="2" fillId="3" borderId="30" xfId="0" applyNumberFormat="1" applyFont="1" applyFill="1" applyBorder="1" applyAlignment="1">
      <alignment horizontal="center"/>
    </xf>
    <xf numFmtId="0" fontId="2" fillId="3" borderId="30" xfId="0" applyFont="1" applyFill="1" applyBorder="1" applyAlignment="1">
      <alignment horizontal="center"/>
    </xf>
    <xf numFmtId="171" fontId="2" fillId="3" borderId="30" xfId="0" applyNumberFormat="1" applyFont="1" applyFill="1" applyBorder="1" applyAlignment="1">
      <alignment horizontal="center"/>
    </xf>
    <xf numFmtId="169" fontId="2" fillId="3" borderId="30" xfId="0" applyNumberFormat="1" applyFont="1" applyFill="1" applyBorder="1" applyAlignment="1">
      <alignment horizontal="center"/>
    </xf>
    <xf numFmtId="169" fontId="2" fillId="3" borderId="23" xfId="0" applyNumberFormat="1" applyFont="1" applyFill="1" applyBorder="1" applyAlignment="1">
      <alignment horizontal="center"/>
    </xf>
    <xf numFmtId="170" fontId="2" fillId="3" borderId="24" xfId="0" applyNumberFormat="1" applyFont="1" applyFill="1" applyBorder="1" applyAlignment="1">
      <alignment horizontal="center"/>
    </xf>
    <xf numFmtId="1" fontId="2" fillId="3" borderId="4" xfId="0" applyNumberFormat="1" applyFont="1" applyFill="1" applyBorder="1"/>
    <xf numFmtId="4" fontId="12" fillId="0" borderId="25" xfId="0" applyNumberFormat="1" applyFont="1" applyBorder="1" applyAlignment="1">
      <alignment horizontal="center"/>
    </xf>
    <xf numFmtId="4" fontId="12" fillId="0" borderId="25" xfId="0" applyNumberFormat="1" applyFont="1" applyBorder="1" applyAlignment="1">
      <alignment horizontal="center" vertical="center"/>
    </xf>
    <xf numFmtId="9" fontId="12" fillId="0" borderId="36" xfId="0" applyNumberFormat="1" applyFont="1" applyBorder="1" applyAlignment="1">
      <alignment horizontal="center" vertical="center"/>
    </xf>
    <xf numFmtId="4" fontId="12" fillId="4" borderId="0" xfId="0" applyNumberFormat="1" applyFont="1" applyFill="1" applyAlignment="1">
      <alignment horizontal="center"/>
    </xf>
    <xf numFmtId="4" fontId="12" fillId="4" borderId="25" xfId="0" applyNumberFormat="1" applyFont="1" applyFill="1" applyBorder="1" applyAlignment="1">
      <alignment horizontal="center" vertical="center"/>
    </xf>
    <xf numFmtId="9" fontId="12" fillId="4" borderId="36" xfId="0" applyNumberFormat="1" applyFont="1" applyFill="1" applyBorder="1" applyAlignment="1">
      <alignment horizontal="center" vertical="center"/>
    </xf>
    <xf numFmtId="1" fontId="2" fillId="3" borderId="4" xfId="0" applyNumberFormat="1" applyFont="1" applyFill="1" applyBorder="1" applyAlignment="1">
      <alignment horizontal="left"/>
    </xf>
    <xf numFmtId="9" fontId="12" fillId="11" borderId="36" xfId="0" applyNumberFormat="1" applyFont="1" applyFill="1" applyBorder="1" applyAlignment="1">
      <alignment horizontal="center" vertical="center"/>
    </xf>
    <xf numFmtId="1" fontId="2" fillId="3" borderId="26" xfId="0" applyNumberFormat="1" applyFont="1" applyFill="1" applyBorder="1"/>
    <xf numFmtId="4" fontId="14" fillId="4" borderId="32" xfId="0" applyNumberFormat="1" applyFont="1" applyFill="1" applyBorder="1" applyAlignment="1">
      <alignment horizontal="center"/>
    </xf>
    <xf numFmtId="4" fontId="14" fillId="4" borderId="33" xfId="0" applyNumberFormat="1" applyFont="1" applyFill="1" applyBorder="1" applyAlignment="1">
      <alignment horizontal="center"/>
    </xf>
    <xf numFmtId="1" fontId="2" fillId="3" borderId="41" xfId="0" applyNumberFormat="1" applyFont="1" applyFill="1" applyBorder="1"/>
    <xf numFmtId="4" fontId="14" fillId="4" borderId="34" xfId="0" applyNumberFormat="1" applyFont="1" applyFill="1" applyBorder="1" applyAlignment="1">
      <alignment horizontal="center"/>
    </xf>
    <xf numFmtId="4" fontId="14" fillId="4" borderId="5" xfId="0" applyNumberFormat="1" applyFont="1" applyFill="1" applyBorder="1" applyAlignment="1">
      <alignment horizontal="center"/>
    </xf>
    <xf numFmtId="9" fontId="14" fillId="4" borderId="37" xfId="0" applyNumberFormat="1" applyFont="1" applyFill="1" applyBorder="1" applyAlignment="1">
      <alignment horizontal="center" vertical="center"/>
    </xf>
    <xf numFmtId="170" fontId="14" fillId="0" borderId="0" xfId="0" applyNumberFormat="1" applyFont="1" applyAlignment="1">
      <alignment horizontal="right"/>
    </xf>
    <xf numFmtId="0" fontId="14" fillId="0" borderId="0" xfId="0" applyFont="1" applyAlignment="1">
      <alignment horizontal="center"/>
    </xf>
    <xf numFmtId="0" fontId="2" fillId="2" borderId="39" xfId="0" applyFont="1" applyFill="1" applyBorder="1"/>
    <xf numFmtId="1" fontId="2" fillId="2" borderId="38" xfId="0" applyNumberFormat="1" applyFont="1" applyFill="1" applyBorder="1" applyAlignment="1">
      <alignment horizontal="right"/>
    </xf>
    <xf numFmtId="1" fontId="2" fillId="2" borderId="40" xfId="0" applyNumberFormat="1" applyFont="1" applyFill="1" applyBorder="1" applyAlignment="1">
      <alignment horizontal="right"/>
    </xf>
    <xf numFmtId="0" fontId="36" fillId="22" borderId="45" xfId="0" applyFont="1" applyFill="1" applyBorder="1" applyAlignment="1">
      <alignment vertical="center"/>
    </xf>
    <xf numFmtId="3" fontId="12" fillId="23" borderId="0" xfId="0" applyNumberFormat="1" applyFont="1" applyFill="1"/>
    <xf numFmtId="3" fontId="12" fillId="23" borderId="36" xfId="0" applyNumberFormat="1" applyFont="1" applyFill="1" applyBorder="1"/>
    <xf numFmtId="0" fontId="36" fillId="22" borderId="12" xfId="0" applyFont="1" applyFill="1" applyBorder="1" applyAlignment="1">
      <alignment vertical="center"/>
    </xf>
    <xf numFmtId="3" fontId="12" fillId="0" borderId="0" xfId="0" applyNumberFormat="1" applyFont="1"/>
    <xf numFmtId="3" fontId="12" fillId="0" borderId="36" xfId="0" applyNumberFormat="1" applyFont="1" applyBorder="1"/>
    <xf numFmtId="0" fontId="2" fillId="2" borderId="45" xfId="0" applyFont="1" applyFill="1" applyBorder="1"/>
    <xf numFmtId="3" fontId="14" fillId="24" borderId="33" xfId="0" applyNumberFormat="1" applyFont="1" applyFill="1" applyBorder="1"/>
    <xf numFmtId="3" fontId="14" fillId="24" borderId="35" xfId="0" applyNumberFormat="1" applyFont="1" applyFill="1" applyBorder="1"/>
    <xf numFmtId="0" fontId="2" fillId="2" borderId="12" xfId="0" applyFont="1" applyFill="1" applyBorder="1"/>
    <xf numFmtId="171" fontId="14" fillId="0" borderId="0" xfId="0" applyNumberFormat="1" applyFont="1"/>
    <xf numFmtId="171" fontId="14" fillId="0" borderId="0" xfId="0" applyNumberFormat="1" applyFont="1" applyAlignment="1">
      <alignment horizontal="right"/>
    </xf>
    <xf numFmtId="171" fontId="14" fillId="0" borderId="36" xfId="0" applyNumberFormat="1" applyFont="1" applyBorder="1" applyAlignment="1">
      <alignment horizontal="right"/>
    </xf>
    <xf numFmtId="0" fontId="2" fillId="2" borderId="14" xfId="0" applyFont="1" applyFill="1" applyBorder="1"/>
    <xf numFmtId="3" fontId="14" fillId="23" borderId="5" xfId="0" applyNumberFormat="1" applyFont="1" applyFill="1" applyBorder="1"/>
    <xf numFmtId="3" fontId="14" fillId="23" borderId="37" xfId="0" applyNumberFormat="1" applyFont="1" applyFill="1" applyBorder="1"/>
    <xf numFmtId="0" fontId="2" fillId="0" borderId="0" xfId="0" applyFont="1"/>
    <xf numFmtId="171" fontId="14" fillId="0" borderId="0" xfId="1" applyNumberFormat="1" applyFont="1" applyFill="1" applyBorder="1"/>
    <xf numFmtId="0" fontId="37" fillId="0" borderId="0" xfId="0" applyFont="1"/>
    <xf numFmtId="0" fontId="11" fillId="0" borderId="0" xfId="0" applyFont="1"/>
    <xf numFmtId="0" fontId="38" fillId="0" borderId="0" xfId="0" applyFont="1"/>
    <xf numFmtId="0" fontId="21" fillId="0" borderId="0" xfId="0" applyFont="1"/>
    <xf numFmtId="0" fontId="39" fillId="0" borderId="0" xfId="0" applyFont="1"/>
    <xf numFmtId="0" fontId="2" fillId="2" borderId="38" xfId="0" applyFont="1" applyFill="1" applyBorder="1" applyAlignment="1">
      <alignment horizontal="right"/>
    </xf>
    <xf numFmtId="171" fontId="12" fillId="0" borderId="0" xfId="0" applyNumberFormat="1" applyFont="1"/>
    <xf numFmtId="171" fontId="12" fillId="23" borderId="0" xfId="0" applyNumberFormat="1" applyFont="1" applyFill="1"/>
    <xf numFmtId="0" fontId="2" fillId="2" borderId="26" xfId="0" applyFont="1" applyFill="1" applyBorder="1"/>
    <xf numFmtId="0" fontId="2" fillId="2" borderId="4" xfId="0" applyFont="1" applyFill="1" applyBorder="1"/>
    <xf numFmtId="171" fontId="0" fillId="0" borderId="0" xfId="2" applyNumberFormat="1" applyFont="1"/>
    <xf numFmtId="17" fontId="2" fillId="2" borderId="38" xfId="0" applyNumberFormat="1" applyFont="1" applyFill="1" applyBorder="1" applyAlignment="1">
      <alignment horizontal="right"/>
    </xf>
    <xf numFmtId="17" fontId="2" fillId="2" borderId="38" xfId="0" applyNumberFormat="1" applyFont="1" applyFill="1" applyBorder="1"/>
    <xf numFmtId="17" fontId="2" fillId="25" borderId="38" xfId="0" applyNumberFormat="1" applyFont="1" applyFill="1" applyBorder="1"/>
    <xf numFmtId="17" fontId="2" fillId="25" borderId="40" xfId="0" applyNumberFormat="1" applyFont="1" applyFill="1" applyBorder="1"/>
    <xf numFmtId="3" fontId="0" fillId="23" borderId="0" xfId="0" applyNumberFormat="1" applyFill="1"/>
    <xf numFmtId="3" fontId="0" fillId="26" borderId="0" xfId="0" applyNumberFormat="1" applyFill="1"/>
    <xf numFmtId="3" fontId="0" fillId="26" borderId="36" xfId="0" applyNumberFormat="1" applyFill="1" applyBorder="1"/>
    <xf numFmtId="3" fontId="0" fillId="0" borderId="36" xfId="0" applyNumberFormat="1" applyBorder="1"/>
    <xf numFmtId="0" fontId="2" fillId="2" borderId="46" xfId="0" applyFont="1" applyFill="1" applyBorder="1"/>
    <xf numFmtId="3" fontId="14" fillId="24" borderId="47" xfId="0" applyNumberFormat="1" applyFont="1" applyFill="1" applyBorder="1"/>
    <xf numFmtId="3" fontId="4" fillId="24" borderId="47" xfId="0" applyNumberFormat="1" applyFont="1" applyFill="1" applyBorder="1"/>
    <xf numFmtId="3" fontId="4" fillId="26" borderId="47" xfId="0" applyNumberFormat="1" applyFont="1" applyFill="1" applyBorder="1"/>
    <xf numFmtId="3" fontId="4" fillId="26" borderId="48" xfId="0" applyNumberFormat="1" applyFont="1" applyFill="1" applyBorder="1"/>
    <xf numFmtId="171" fontId="0" fillId="0" borderId="0" xfId="0" applyNumberFormat="1"/>
    <xf numFmtId="3" fontId="14" fillId="0" borderId="0" xfId="0" applyNumberFormat="1" applyFont="1"/>
    <xf numFmtId="0" fontId="14" fillId="0" borderId="0" xfId="0" applyFont="1" applyAlignment="1">
      <alignment horizontal="left"/>
    </xf>
    <xf numFmtId="0" fontId="5" fillId="0" borderId="0" xfId="0" applyFont="1" applyAlignment="1">
      <alignment horizontal="right"/>
    </xf>
    <xf numFmtId="0" fontId="2" fillId="2" borderId="49" xfId="0" applyFont="1" applyFill="1" applyBorder="1"/>
    <xf numFmtId="17" fontId="2" fillId="2" borderId="2" xfId="0" applyNumberFormat="1" applyFont="1" applyFill="1" applyBorder="1" applyAlignment="1">
      <alignment horizontal="right"/>
    </xf>
    <xf numFmtId="17" fontId="2" fillId="2" borderId="3" xfId="0" applyNumberFormat="1" applyFont="1" applyFill="1" applyBorder="1" applyAlignment="1">
      <alignment horizontal="right"/>
    </xf>
    <xf numFmtId="17" fontId="2" fillId="0" borderId="0" xfId="0" applyNumberFormat="1" applyFont="1" applyAlignment="1">
      <alignment horizontal="right"/>
    </xf>
    <xf numFmtId="0" fontId="40" fillId="22" borderId="43" xfId="0" applyFont="1" applyFill="1" applyBorder="1" applyAlignment="1">
      <alignment vertical="center"/>
    </xf>
    <xf numFmtId="0" fontId="36" fillId="22" borderId="43" xfId="0" applyFont="1" applyFill="1" applyBorder="1" applyAlignment="1">
      <alignment vertical="center"/>
    </xf>
    <xf numFmtId="0" fontId="36" fillId="22" borderId="50" xfId="0" applyFont="1" applyFill="1" applyBorder="1" applyAlignment="1">
      <alignment vertical="center"/>
    </xf>
    <xf numFmtId="3" fontId="4" fillId="23" borderId="5" xfId="0" applyNumberFormat="1" applyFont="1" applyFill="1" applyBorder="1"/>
    <xf numFmtId="3" fontId="5" fillId="0" borderId="0" xfId="0" applyNumberFormat="1" applyFont="1"/>
    <xf numFmtId="0" fontId="41" fillId="0" borderId="0" xfId="0" applyFont="1"/>
    <xf numFmtId="3" fontId="41" fillId="0" borderId="0" xfId="0" applyNumberFormat="1" applyFont="1"/>
    <xf numFmtId="0" fontId="36" fillId="22" borderId="51" xfId="0" applyFont="1" applyFill="1" applyBorder="1" applyAlignment="1">
      <alignment vertical="center"/>
    </xf>
    <xf numFmtId="0" fontId="36" fillId="22" borderId="4" xfId="0" applyFont="1" applyFill="1" applyBorder="1" applyAlignment="1">
      <alignment vertical="center"/>
    </xf>
    <xf numFmtId="0" fontId="36" fillId="22" borderId="52" xfId="0" applyFont="1" applyFill="1" applyBorder="1" applyAlignment="1">
      <alignment vertical="center"/>
    </xf>
    <xf numFmtId="3" fontId="14" fillId="0" borderId="47" xfId="0" applyNumberFormat="1" applyFont="1" applyBorder="1"/>
    <xf numFmtId="3" fontId="4" fillId="0" borderId="47" xfId="0" applyNumberFormat="1" applyFont="1" applyBorder="1"/>
    <xf numFmtId="3" fontId="4" fillId="0" borderId="48" xfId="0" applyNumberFormat="1" applyFont="1" applyBorder="1"/>
    <xf numFmtId="3" fontId="4" fillId="0" borderId="0" xfId="0" applyNumberFormat="1" applyFont="1"/>
    <xf numFmtId="0" fontId="33" fillId="22" borderId="53" xfId="0" applyFont="1" applyFill="1" applyBorder="1" applyAlignment="1">
      <alignment vertical="center"/>
    </xf>
    <xf numFmtId="0" fontId="33" fillId="22" borderId="7" xfId="0" applyFont="1" applyFill="1" applyBorder="1" applyAlignment="1">
      <alignment vertical="center"/>
    </xf>
    <xf numFmtId="0" fontId="33" fillId="22" borderId="38" xfId="0" applyFont="1" applyFill="1" applyBorder="1" applyAlignment="1">
      <alignment horizontal="left" vertical="center"/>
    </xf>
    <xf numFmtId="0" fontId="33" fillId="22" borderId="8" xfId="0" applyFont="1" applyFill="1" applyBorder="1" applyAlignment="1">
      <alignment horizontal="center" vertical="center"/>
    </xf>
    <xf numFmtId="0" fontId="33" fillId="22" borderId="9" xfId="0" applyFont="1" applyFill="1" applyBorder="1" applyAlignment="1">
      <alignment horizontal="center" vertical="center"/>
    </xf>
    <xf numFmtId="3" fontId="0" fillId="0" borderId="11" xfId="0" applyNumberFormat="1" applyBorder="1" applyAlignment="1">
      <alignment horizontal="center"/>
    </xf>
    <xf numFmtId="3" fontId="4" fillId="24" borderId="57" xfId="0" quotePrefix="1" applyNumberFormat="1" applyFont="1" applyFill="1" applyBorder="1" applyAlignment="1">
      <alignment horizontal="center"/>
    </xf>
    <xf numFmtId="3" fontId="2" fillId="22" borderId="60" xfId="0" applyNumberFormat="1" applyFont="1" applyFill="1" applyBorder="1" applyAlignment="1">
      <alignment horizontal="center"/>
    </xf>
    <xf numFmtId="0" fontId="14" fillId="0" borderId="0" xfId="0" applyFont="1" applyAlignment="1">
      <alignment horizontal="right"/>
    </xf>
    <xf numFmtId="0" fontId="2" fillId="2" borderId="38" xfId="0" applyFont="1" applyFill="1" applyBorder="1"/>
    <xf numFmtId="0" fontId="2" fillId="2" borderId="40" xfId="0" applyFont="1" applyFill="1" applyBorder="1"/>
    <xf numFmtId="171" fontId="12" fillId="0" borderId="36" xfId="0" applyNumberFormat="1" applyFont="1" applyBorder="1"/>
    <xf numFmtId="171" fontId="12" fillId="23" borderId="36" xfId="0" applyNumberFormat="1" applyFont="1" applyFill="1" applyBorder="1"/>
    <xf numFmtId="3" fontId="14" fillId="0" borderId="48" xfId="0" applyNumberFormat="1" applyFont="1" applyBorder="1"/>
    <xf numFmtId="0" fontId="43" fillId="0" borderId="0" xfId="0" applyFont="1"/>
    <xf numFmtId="0" fontId="36" fillId="27" borderId="39" xfId="0" applyFont="1" applyFill="1" applyBorder="1" applyAlignment="1">
      <alignment horizontal="right"/>
    </xf>
    <xf numFmtId="0" fontId="36" fillId="27" borderId="42" xfId="0" applyFont="1" applyFill="1" applyBorder="1" applyAlignment="1">
      <alignment horizontal="center" vertical="center"/>
    </xf>
    <xf numFmtId="0" fontId="36" fillId="27" borderId="8" xfId="0" applyFont="1" applyFill="1" applyBorder="1" applyAlignment="1">
      <alignment horizontal="center" vertical="center"/>
    </xf>
    <xf numFmtId="0" fontId="36" fillId="27" borderId="9" xfId="0" applyFont="1" applyFill="1" applyBorder="1" applyAlignment="1">
      <alignment horizontal="center" vertical="center"/>
    </xf>
    <xf numFmtId="17" fontId="36" fillId="27" borderId="12" xfId="0" applyNumberFormat="1" applyFont="1" applyFill="1" applyBorder="1"/>
    <xf numFmtId="3" fontId="43" fillId="0" borderId="31" xfId="0" applyNumberFormat="1" applyFont="1" applyBorder="1" applyAlignment="1">
      <alignment horizontal="center"/>
    </xf>
    <xf numFmtId="3" fontId="43" fillId="0" borderId="10" xfId="0" applyNumberFormat="1" applyFont="1" applyBorder="1" applyAlignment="1">
      <alignment horizontal="center"/>
    </xf>
    <xf numFmtId="3" fontId="44" fillId="0" borderId="11" xfId="0" applyNumberFormat="1" applyFont="1" applyBorder="1" applyAlignment="1">
      <alignment horizontal="center"/>
    </xf>
    <xf numFmtId="0" fontId="36" fillId="27" borderId="12" xfId="0" applyFont="1" applyFill="1" applyBorder="1"/>
    <xf numFmtId="3" fontId="43" fillId="0" borderId="11" xfId="0" applyNumberFormat="1" applyFont="1" applyBorder="1" applyAlignment="1">
      <alignment horizontal="center"/>
    </xf>
    <xf numFmtId="17" fontId="36" fillId="27" borderId="12" xfId="0" applyNumberFormat="1" applyFont="1" applyFill="1" applyBorder="1" applyAlignment="1">
      <alignment horizontal="right"/>
    </xf>
    <xf numFmtId="3" fontId="44" fillId="0" borderId="13" xfId="0" applyNumberFormat="1" applyFont="1" applyBorder="1" applyAlignment="1">
      <alignment horizontal="center"/>
    </xf>
    <xf numFmtId="3" fontId="44" fillId="0" borderId="27" xfId="0" applyNumberFormat="1" applyFont="1" applyBorder="1" applyAlignment="1">
      <alignment horizontal="center"/>
    </xf>
    <xf numFmtId="3" fontId="43" fillId="28" borderId="31" xfId="0" applyNumberFormat="1" applyFont="1" applyFill="1" applyBorder="1" applyAlignment="1">
      <alignment horizontal="center"/>
    </xf>
    <xf numFmtId="3" fontId="43" fillId="28" borderId="10" xfId="0" applyNumberFormat="1" applyFont="1" applyFill="1" applyBorder="1" applyAlignment="1">
      <alignment horizontal="center"/>
    </xf>
    <xf numFmtId="3" fontId="43" fillId="28" borderId="11" xfId="0" applyNumberFormat="1" applyFont="1" applyFill="1" applyBorder="1" applyAlignment="1">
      <alignment horizontal="center"/>
    </xf>
    <xf numFmtId="3" fontId="44" fillId="0" borderId="10" xfId="0" applyNumberFormat="1" applyFont="1" applyBorder="1" applyAlignment="1">
      <alignment horizontal="center"/>
    </xf>
    <xf numFmtId="0" fontId="36" fillId="27" borderId="14" xfId="0" applyFont="1" applyFill="1" applyBorder="1"/>
    <xf numFmtId="3" fontId="43" fillId="28" borderId="44" xfId="0" applyNumberFormat="1" applyFont="1" applyFill="1" applyBorder="1" applyAlignment="1">
      <alignment horizontal="center"/>
    </xf>
    <xf numFmtId="3" fontId="43" fillId="28" borderId="15" xfId="0" applyNumberFormat="1" applyFont="1" applyFill="1" applyBorder="1" applyAlignment="1">
      <alignment horizontal="center"/>
    </xf>
    <xf numFmtId="3" fontId="43" fillId="28" borderId="16" xfId="0" applyNumberFormat="1" applyFont="1" applyFill="1" applyBorder="1" applyAlignment="1">
      <alignment horizontal="center"/>
    </xf>
    <xf numFmtId="17" fontId="36" fillId="27" borderId="14" xfId="0" applyNumberFormat="1" applyFont="1" applyFill="1" applyBorder="1" applyAlignment="1">
      <alignment horizontal="right"/>
    </xf>
    <xf numFmtId="17" fontId="36" fillId="27" borderId="14" xfId="0" applyNumberFormat="1" applyFont="1" applyFill="1" applyBorder="1"/>
    <xf numFmtId="0" fontId="2" fillId="2" borderId="6" xfId="0" applyFont="1" applyFill="1" applyBorder="1"/>
    <xf numFmtId="17" fontId="2" fillId="2" borderId="7" xfId="0" applyNumberFormat="1" applyFont="1" applyFill="1" applyBorder="1"/>
    <xf numFmtId="17" fontId="2" fillId="2" borderId="40" xfId="0" applyNumberFormat="1" applyFont="1" applyFill="1" applyBorder="1"/>
    <xf numFmtId="17" fontId="45" fillId="0" borderId="0" xfId="0" applyNumberFormat="1" applyFont="1"/>
    <xf numFmtId="1" fontId="0" fillId="0" borderId="25" xfId="0" applyNumberFormat="1" applyBorder="1" applyAlignment="1">
      <alignment horizontal="right" indent="1"/>
    </xf>
    <xf numFmtId="1" fontId="0" fillId="0" borderId="0" xfId="0" applyNumberFormat="1" applyAlignment="1">
      <alignment horizontal="right" indent="1"/>
    </xf>
    <xf numFmtId="1" fontId="12" fillId="0" borderId="0" xfId="0" applyNumberFormat="1" applyFont="1" applyAlignment="1">
      <alignment horizontal="right" indent="1"/>
    </xf>
    <xf numFmtId="1" fontId="0" fillId="0" borderId="36" xfId="0" applyNumberFormat="1" applyBorder="1" applyAlignment="1">
      <alignment horizontal="right" indent="1"/>
    </xf>
    <xf numFmtId="0" fontId="45" fillId="0" borderId="0" xfId="0" applyFont="1"/>
    <xf numFmtId="1" fontId="0" fillId="23" borderId="25" xfId="0" applyNumberFormat="1" applyFill="1" applyBorder="1" applyAlignment="1">
      <alignment horizontal="right" indent="1"/>
    </xf>
    <xf numFmtId="1" fontId="0" fillId="23" borderId="0" xfId="0" applyNumberFormat="1" applyFill="1" applyAlignment="1">
      <alignment horizontal="right" indent="1"/>
    </xf>
    <xf numFmtId="1" fontId="12" fillId="23" borderId="0" xfId="0" applyNumberFormat="1" applyFont="1" applyFill="1" applyAlignment="1">
      <alignment horizontal="right" indent="1"/>
    </xf>
    <xf numFmtId="1" fontId="0" fillId="23" borderId="36" xfId="0" applyNumberFormat="1" applyFill="1" applyBorder="1" applyAlignment="1">
      <alignment horizontal="right" indent="1"/>
    </xf>
    <xf numFmtId="0" fontId="2" fillId="2" borderId="52" xfId="0" applyFont="1" applyFill="1" applyBorder="1"/>
    <xf numFmtId="1" fontId="4" fillId="24" borderId="59" xfId="0" applyNumberFormat="1" applyFont="1" applyFill="1" applyBorder="1" applyAlignment="1">
      <alignment horizontal="right" indent="1"/>
    </xf>
    <xf numFmtId="1" fontId="4" fillId="24" borderId="47" xfId="0" applyNumberFormat="1" applyFont="1" applyFill="1" applyBorder="1" applyAlignment="1">
      <alignment horizontal="right" indent="1"/>
    </xf>
    <xf numFmtId="1" fontId="14" fillId="24" borderId="47" xfId="0" applyNumberFormat="1" applyFont="1" applyFill="1" applyBorder="1" applyAlignment="1">
      <alignment horizontal="right" indent="1"/>
    </xf>
    <xf numFmtId="1" fontId="4" fillId="24" borderId="48" xfId="0" applyNumberFormat="1" applyFont="1" applyFill="1" applyBorder="1" applyAlignment="1">
      <alignment horizontal="right" indent="1"/>
    </xf>
    <xf numFmtId="0" fontId="46" fillId="0" borderId="0" xfId="0" applyFont="1" applyAlignment="1">
      <alignment horizontal="center" vertical="center"/>
    </xf>
    <xf numFmtId="0" fontId="46" fillId="0" borderId="0" xfId="0" applyFont="1"/>
    <xf numFmtId="0" fontId="46" fillId="0" borderId="0" xfId="0" applyFont="1" applyAlignment="1">
      <alignment horizontal="center"/>
    </xf>
    <xf numFmtId="0" fontId="38" fillId="0" borderId="0" xfId="0" applyFont="1" applyAlignment="1">
      <alignment horizontal="center" vertical="center"/>
    </xf>
    <xf numFmtId="0" fontId="38" fillId="0" borderId="0" xfId="0" applyFont="1" applyAlignment="1">
      <alignment horizontal="center"/>
    </xf>
    <xf numFmtId="175" fontId="21" fillId="0" borderId="0" xfId="0" applyNumberFormat="1" applyFont="1"/>
    <xf numFmtId="0" fontId="2" fillId="14" borderId="17" xfId="0" applyFont="1" applyFill="1" applyBorder="1" applyAlignment="1">
      <alignment horizontal="right"/>
    </xf>
    <xf numFmtId="0" fontId="2" fillId="14" borderId="4" xfId="0" applyFont="1" applyFill="1" applyBorder="1" applyAlignment="1">
      <alignment horizontal="right"/>
    </xf>
    <xf numFmtId="0" fontId="2" fillId="14" borderId="29" xfId="0" applyFont="1" applyFill="1" applyBorder="1" applyAlignment="1">
      <alignment horizontal="center" vertical="center" wrapText="1"/>
    </xf>
    <xf numFmtId="0" fontId="2" fillId="14" borderId="61" xfId="0" applyFont="1" applyFill="1" applyBorder="1" applyAlignment="1">
      <alignment horizontal="center" vertical="center" wrapText="1"/>
    </xf>
    <xf numFmtId="0" fontId="2" fillId="14" borderId="58" xfId="0" applyFont="1" applyFill="1" applyBorder="1" applyAlignment="1">
      <alignment horizontal="center" vertical="center" wrapText="1"/>
    </xf>
    <xf numFmtId="1" fontId="2" fillId="6" borderId="19" xfId="0" applyNumberFormat="1" applyFont="1" applyFill="1" applyBorder="1" applyAlignment="1">
      <alignment horizontal="center"/>
    </xf>
    <xf numFmtId="1" fontId="2" fillId="6" borderId="20" xfId="0" applyNumberFormat="1" applyFont="1" applyFill="1" applyBorder="1" applyAlignment="1">
      <alignment horizontal="center"/>
    </xf>
    <xf numFmtId="169" fontId="2" fillId="6" borderId="20" xfId="0" applyNumberFormat="1" applyFont="1" applyFill="1" applyBorder="1" applyAlignment="1">
      <alignment horizontal="center"/>
    </xf>
    <xf numFmtId="169" fontId="2" fillId="6" borderId="24" xfId="0" applyNumberFormat="1" applyFont="1" applyFill="1" applyBorder="1" applyAlignment="1">
      <alignment horizontal="center"/>
    </xf>
    <xf numFmtId="3" fontId="12" fillId="0" borderId="0" xfId="0" applyNumberFormat="1" applyFont="1" applyAlignment="1">
      <alignment horizontal="center"/>
    </xf>
    <xf numFmtId="3" fontId="0" fillId="0" borderId="36" xfId="0" applyNumberFormat="1" applyBorder="1" applyAlignment="1">
      <alignment horizontal="center"/>
    </xf>
    <xf numFmtId="3" fontId="12" fillId="8" borderId="0" xfId="0" applyNumberFormat="1" applyFont="1" applyFill="1" applyAlignment="1">
      <alignment horizontal="center"/>
    </xf>
    <xf numFmtId="3" fontId="0" fillId="8" borderId="0" xfId="0" applyNumberFormat="1" applyFill="1" applyAlignment="1">
      <alignment horizontal="center"/>
    </xf>
    <xf numFmtId="3" fontId="0" fillId="8" borderId="36" xfId="0" applyNumberFormat="1" applyFill="1" applyBorder="1" applyAlignment="1">
      <alignment horizontal="center"/>
    </xf>
    <xf numFmtId="3" fontId="0" fillId="0" borderId="35" xfId="0" applyNumberFormat="1" applyBorder="1" applyAlignment="1">
      <alignment horizontal="center"/>
    </xf>
    <xf numFmtId="9" fontId="1" fillId="0" borderId="36" xfId="2" applyFont="1" applyFill="1" applyBorder="1" applyAlignment="1" applyProtection="1">
      <alignment horizontal="center"/>
    </xf>
    <xf numFmtId="1" fontId="2" fillId="6" borderId="41" xfId="0" applyNumberFormat="1" applyFont="1" applyFill="1" applyBorder="1"/>
    <xf numFmtId="9" fontId="1" fillId="0" borderId="37" xfId="2" applyFont="1" applyFill="1" applyBorder="1" applyAlignment="1" applyProtection="1">
      <alignment horizontal="center"/>
    </xf>
    <xf numFmtId="3" fontId="12" fillId="0" borderId="36" xfId="0" applyNumberFormat="1" applyFont="1" applyBorder="1" applyAlignment="1">
      <alignment horizontal="center"/>
    </xf>
    <xf numFmtId="3" fontId="12" fillId="8" borderId="36" xfId="0" applyNumberFormat="1" applyFont="1" applyFill="1" applyBorder="1" applyAlignment="1">
      <alignment horizontal="center"/>
    </xf>
    <xf numFmtId="9" fontId="0" fillId="0" borderId="37" xfId="2" applyFont="1" applyFill="1" applyBorder="1" applyAlignment="1">
      <alignment horizontal="center"/>
    </xf>
    <xf numFmtId="1" fontId="12" fillId="0" borderId="10" xfId="0" applyNumberFormat="1" applyFont="1" applyBorder="1" applyAlignment="1">
      <alignment horizontal="center" vertical="center"/>
    </xf>
    <xf numFmtId="4" fontId="14" fillId="4" borderId="44" xfId="0" applyNumberFormat="1" applyFont="1" applyFill="1" applyBorder="1" applyAlignment="1">
      <alignment horizontal="center"/>
    </xf>
    <xf numFmtId="176" fontId="12" fillId="0" borderId="4" xfId="0" applyNumberFormat="1" applyFont="1" applyBorder="1" applyAlignment="1">
      <alignment horizontal="center" vertical="top"/>
    </xf>
    <xf numFmtId="176" fontId="12" fillId="0" borderId="25" xfId="0" applyNumberFormat="1" applyFont="1" applyBorder="1" applyAlignment="1">
      <alignment horizontal="center" vertical="top"/>
    </xf>
    <xf numFmtId="176" fontId="12" fillId="0" borderId="12" xfId="0" applyNumberFormat="1" applyFont="1" applyBorder="1" applyAlignment="1">
      <alignment horizontal="center" vertical="top"/>
    </xf>
    <xf numFmtId="176" fontId="12" fillId="0" borderId="10" xfId="0" applyNumberFormat="1" applyFont="1" applyBorder="1" applyAlignment="1">
      <alignment horizontal="center" vertical="top"/>
    </xf>
    <xf numFmtId="176" fontId="12" fillId="0" borderId="11" xfId="0" applyNumberFormat="1" applyFont="1" applyBorder="1" applyAlignment="1">
      <alignment horizontal="center" vertical="top"/>
    </xf>
    <xf numFmtId="176" fontId="12" fillId="0" borderId="27" xfId="0" applyNumberFormat="1" applyFont="1" applyBorder="1" applyAlignment="1">
      <alignment horizontal="center" vertical="top"/>
    </xf>
    <xf numFmtId="176" fontId="12" fillId="0" borderId="4" xfId="2" applyNumberFormat="1" applyFont="1" applyBorder="1" applyAlignment="1" applyProtection="1">
      <alignment horizontal="center" vertical="top"/>
    </xf>
    <xf numFmtId="176" fontId="12" fillId="0" borderId="25" xfId="2" applyNumberFormat="1" applyFont="1" applyBorder="1" applyAlignment="1" applyProtection="1">
      <alignment horizontal="center" vertical="top"/>
    </xf>
    <xf numFmtId="176" fontId="12" fillId="0" borderId="11" xfId="2" applyNumberFormat="1" applyFont="1" applyBorder="1" applyAlignment="1" applyProtection="1">
      <alignment horizontal="center" vertical="top"/>
    </xf>
    <xf numFmtId="176" fontId="12" fillId="15" borderId="4" xfId="0" applyNumberFormat="1" applyFont="1" applyFill="1" applyBorder="1" applyAlignment="1">
      <alignment horizontal="center" vertical="top"/>
    </xf>
    <xf numFmtId="176" fontId="12" fillId="15" borderId="25" xfId="0" applyNumberFormat="1" applyFont="1" applyFill="1" applyBorder="1" applyAlignment="1">
      <alignment horizontal="center" vertical="top"/>
    </xf>
    <xf numFmtId="176" fontId="12" fillId="15" borderId="12" xfId="0" applyNumberFormat="1" applyFont="1" applyFill="1" applyBorder="1" applyAlignment="1">
      <alignment horizontal="center" vertical="top"/>
    </xf>
    <xf numFmtId="176" fontId="12" fillId="15" borderId="10" xfId="0" applyNumberFormat="1" applyFont="1" applyFill="1" applyBorder="1" applyAlignment="1">
      <alignment horizontal="center" vertical="top"/>
    </xf>
    <xf numFmtId="176" fontId="12" fillId="15" borderId="11" xfId="0" applyNumberFormat="1" applyFont="1" applyFill="1" applyBorder="1" applyAlignment="1">
      <alignment horizontal="center" vertical="top"/>
    </xf>
    <xf numFmtId="176" fontId="12" fillId="15" borderId="4" xfId="2" applyNumberFormat="1" applyFont="1" applyFill="1" applyBorder="1" applyAlignment="1" applyProtection="1">
      <alignment horizontal="center" vertical="top"/>
    </xf>
    <xf numFmtId="176" fontId="12" fillId="15" borderId="25" xfId="2" applyNumberFormat="1" applyFont="1" applyFill="1" applyBorder="1" applyAlignment="1" applyProtection="1">
      <alignment horizontal="center" vertical="top"/>
    </xf>
    <xf numFmtId="176" fontId="12" fillId="15" borderId="11" xfId="2" applyNumberFormat="1" applyFont="1" applyFill="1" applyBorder="1" applyAlignment="1" applyProtection="1">
      <alignment horizontal="center" vertical="top"/>
    </xf>
    <xf numFmtId="176" fontId="12" fillId="15" borderId="41" xfId="0" applyNumberFormat="1" applyFont="1" applyFill="1" applyBorder="1" applyAlignment="1">
      <alignment horizontal="center" vertical="top"/>
    </xf>
    <xf numFmtId="176" fontId="12" fillId="15" borderId="34" xfId="0" applyNumberFormat="1" applyFont="1" applyFill="1" applyBorder="1" applyAlignment="1">
      <alignment horizontal="center" vertical="top"/>
    </xf>
    <xf numFmtId="176" fontId="12" fillId="15" borderId="14" xfId="0" applyNumberFormat="1" applyFont="1" applyFill="1" applyBorder="1" applyAlignment="1">
      <alignment horizontal="center" vertical="top"/>
    </xf>
    <xf numFmtId="176" fontId="12" fillId="15" borderId="15" xfId="0" applyNumberFormat="1" applyFont="1" applyFill="1" applyBorder="1" applyAlignment="1">
      <alignment horizontal="center" vertical="top"/>
    </xf>
    <xf numFmtId="176" fontId="12" fillId="15" borderId="16" xfId="0" applyNumberFormat="1" applyFont="1" applyFill="1" applyBorder="1" applyAlignment="1">
      <alignment horizontal="center" vertical="top"/>
    </xf>
    <xf numFmtId="176" fontId="12" fillId="15" borderId="41" xfId="2" applyNumberFormat="1" applyFont="1" applyFill="1" applyBorder="1" applyAlignment="1" applyProtection="1">
      <alignment horizontal="center" vertical="top"/>
    </xf>
    <xf numFmtId="176" fontId="12" fillId="15" borderId="34" xfId="2" applyNumberFormat="1" applyFont="1" applyFill="1" applyBorder="1" applyAlignment="1" applyProtection="1">
      <alignment horizontal="center" vertical="top"/>
    </xf>
    <xf numFmtId="176" fontId="12" fillId="15" borderId="16" xfId="2" applyNumberFormat="1" applyFont="1" applyFill="1" applyBorder="1" applyAlignment="1" applyProtection="1">
      <alignment horizontal="center" vertical="top"/>
    </xf>
    <xf numFmtId="172" fontId="12" fillId="0" borderId="10" xfId="0" applyNumberFormat="1" applyFont="1" applyBorder="1" applyAlignment="1">
      <alignment horizontal="center" vertical="center"/>
    </xf>
    <xf numFmtId="172" fontId="12" fillId="15" borderId="10" xfId="0" applyNumberFormat="1" applyFont="1" applyFill="1" applyBorder="1" applyAlignment="1">
      <alignment horizontal="center" vertical="center"/>
    </xf>
    <xf numFmtId="172" fontId="0" fillId="0" borderId="10" xfId="0" applyNumberFormat="1" applyBorder="1" applyAlignment="1">
      <alignment horizontal="center" vertical="center"/>
    </xf>
    <xf numFmtId="172" fontId="0" fillId="15" borderId="10" xfId="0" applyNumberFormat="1" applyFill="1" applyBorder="1" applyAlignment="1">
      <alignment horizontal="center" vertical="center"/>
    </xf>
    <xf numFmtId="172" fontId="0" fillId="15" borderId="15" xfId="0" applyNumberFormat="1" applyFill="1" applyBorder="1" applyAlignment="1">
      <alignment horizontal="center" vertical="center"/>
    </xf>
    <xf numFmtId="172" fontId="12" fillId="0" borderId="0" xfId="0" applyNumberFormat="1" applyFont="1" applyAlignment="1">
      <alignment horizontal="center" vertical="center"/>
    </xf>
    <xf numFmtId="172" fontId="12" fillId="15" borderId="0" xfId="0" applyNumberFormat="1" applyFont="1" applyFill="1" applyAlignment="1">
      <alignment horizontal="center" vertical="center"/>
    </xf>
    <xf numFmtId="172" fontId="0" fillId="0" borderId="0" xfId="0" applyNumberFormat="1" applyAlignment="1">
      <alignment horizontal="center" vertical="center"/>
    </xf>
    <xf numFmtId="172" fontId="0" fillId="15" borderId="25" xfId="0" applyNumberFormat="1" applyFill="1" applyBorder="1" applyAlignment="1">
      <alignment horizontal="center" vertical="center"/>
    </xf>
    <xf numFmtId="172" fontId="0" fillId="15" borderId="0" xfId="0" applyNumberFormat="1" applyFill="1" applyAlignment="1">
      <alignment horizontal="center" vertical="center"/>
    </xf>
    <xf numFmtId="172" fontId="0" fillId="15" borderId="34" xfId="0" applyNumberFormat="1" applyFill="1" applyBorder="1" applyAlignment="1">
      <alignment horizontal="center" vertical="center"/>
    </xf>
    <xf numFmtId="172" fontId="0" fillId="15" borderId="5" xfId="0" applyNumberFormat="1" applyFill="1" applyBorder="1" applyAlignment="1">
      <alignment horizontal="center" vertical="center"/>
    </xf>
    <xf numFmtId="172" fontId="0" fillId="0" borderId="10" xfId="2" applyNumberFormat="1" applyFont="1" applyFill="1" applyBorder="1" applyAlignment="1">
      <alignment horizontal="center" vertical="center"/>
    </xf>
    <xf numFmtId="172" fontId="0" fillId="15" borderId="10" xfId="2" applyNumberFormat="1" applyFont="1" applyFill="1" applyBorder="1" applyAlignment="1">
      <alignment horizontal="center" vertical="center"/>
    </xf>
    <xf numFmtId="172" fontId="12" fillId="15" borderId="15" xfId="2" applyNumberFormat="1" applyFont="1" applyFill="1" applyBorder="1" applyAlignment="1">
      <alignment horizontal="center" vertical="center"/>
    </xf>
    <xf numFmtId="172" fontId="12" fillId="15" borderId="5" xfId="0" applyNumberFormat="1" applyFont="1" applyFill="1" applyBorder="1" applyAlignment="1">
      <alignment horizontal="center" vertical="center"/>
    </xf>
    <xf numFmtId="172" fontId="0" fillId="15" borderId="15" xfId="2" applyNumberFormat="1" applyFont="1" applyFill="1" applyBorder="1" applyAlignment="1">
      <alignment horizontal="center" vertical="center"/>
    </xf>
    <xf numFmtId="172" fontId="12" fillId="0" borderId="10" xfId="2" applyNumberFormat="1" applyFont="1" applyFill="1" applyBorder="1" applyAlignment="1">
      <alignment horizontal="center" vertical="center"/>
    </xf>
    <xf numFmtId="172" fontId="12" fillId="0" borderId="10" xfId="1" applyNumberFormat="1" applyFont="1" applyBorder="1" applyAlignment="1" applyProtection="1">
      <alignment horizontal="center" vertical="center"/>
    </xf>
    <xf numFmtId="172" fontId="12" fillId="0" borderId="0" xfId="1" applyNumberFormat="1" applyFont="1" applyBorder="1" applyAlignment="1" applyProtection="1">
      <alignment horizontal="center" vertical="center"/>
    </xf>
    <xf numFmtId="172" fontId="12" fillId="0" borderId="11" xfId="1" applyNumberFormat="1" applyFont="1" applyBorder="1" applyAlignment="1" applyProtection="1">
      <alignment horizontal="center" vertical="center"/>
    </xf>
    <xf numFmtId="172" fontId="12" fillId="15" borderId="10" xfId="1" applyNumberFormat="1" applyFont="1" applyFill="1" applyBorder="1" applyAlignment="1" applyProtection="1">
      <alignment horizontal="center" vertical="center"/>
    </xf>
    <xf numFmtId="172" fontId="12" fillId="15" borderId="0" xfId="1" applyNumberFormat="1" applyFont="1" applyFill="1" applyBorder="1" applyAlignment="1" applyProtection="1">
      <alignment horizontal="center" vertical="center"/>
    </xf>
    <xf numFmtId="172" fontId="12" fillId="15" borderId="11" xfId="1" applyNumberFormat="1" applyFont="1" applyFill="1" applyBorder="1" applyAlignment="1" applyProtection="1">
      <alignment horizontal="center" vertical="center"/>
    </xf>
    <xf numFmtId="172" fontId="12" fillId="0" borderId="10" xfId="1" applyNumberFormat="1" applyFont="1" applyFill="1" applyBorder="1" applyAlignment="1" applyProtection="1">
      <alignment horizontal="center" vertical="center"/>
    </xf>
    <xf numFmtId="172" fontId="12" fillId="0" borderId="0" xfId="1" applyNumberFormat="1" applyFont="1" applyFill="1" applyBorder="1" applyAlignment="1" applyProtection="1">
      <alignment horizontal="center" vertical="center"/>
    </xf>
    <xf numFmtId="172" fontId="12" fillId="0" borderId="11" xfId="1" applyNumberFormat="1" applyFont="1" applyFill="1" applyBorder="1" applyAlignment="1" applyProtection="1">
      <alignment horizontal="center" vertical="center"/>
    </xf>
    <xf numFmtId="172" fontId="12" fillId="0" borderId="36" xfId="1" applyNumberFormat="1" applyFont="1" applyBorder="1" applyAlignment="1" applyProtection="1">
      <alignment horizontal="center" vertical="center"/>
    </xf>
    <xf numFmtId="172" fontId="12" fillId="15" borderId="36" xfId="1" applyNumberFormat="1" applyFont="1" applyFill="1" applyBorder="1" applyAlignment="1" applyProtection="1">
      <alignment horizontal="center" vertical="center"/>
    </xf>
    <xf numFmtId="172" fontId="12" fillId="15" borderId="15" xfId="1" applyNumberFormat="1" applyFont="1" applyFill="1" applyBorder="1" applyAlignment="1" applyProtection="1">
      <alignment horizontal="center" vertical="center"/>
    </xf>
    <xf numFmtId="172" fontId="12" fillId="15" borderId="37" xfId="1" applyNumberFormat="1" applyFont="1" applyFill="1" applyBorder="1" applyAlignment="1" applyProtection="1">
      <alignment horizontal="center" vertical="center"/>
    </xf>
    <xf numFmtId="172" fontId="12" fillId="11" borderId="10" xfId="0" applyNumberFormat="1" applyFont="1" applyFill="1" applyBorder="1" applyAlignment="1">
      <alignment horizontal="center" vertical="center"/>
    </xf>
    <xf numFmtId="172" fontId="12" fillId="11" borderId="0" xfId="0" applyNumberFormat="1" applyFont="1" applyFill="1" applyAlignment="1">
      <alignment horizontal="center" vertical="center"/>
    </xf>
    <xf numFmtId="172" fontId="0" fillId="19" borderId="10" xfId="0" applyNumberFormat="1" applyFill="1" applyBorder="1" applyAlignment="1">
      <alignment horizontal="center" vertical="center"/>
    </xf>
    <xf numFmtId="172" fontId="0" fillId="19" borderId="0" xfId="0" applyNumberFormat="1" applyFill="1" applyAlignment="1">
      <alignment horizontal="center" vertical="center"/>
    </xf>
    <xf numFmtId="172" fontId="0" fillId="19" borderId="15" xfId="0" applyNumberFormat="1" applyFill="1" applyBorder="1" applyAlignment="1">
      <alignment horizontal="center" vertical="center"/>
    </xf>
    <xf numFmtId="172" fontId="0" fillId="19" borderId="5" xfId="0" applyNumberFormat="1" applyFill="1" applyBorder="1" applyAlignment="1">
      <alignment horizontal="center" vertical="center"/>
    </xf>
    <xf numFmtId="172" fontId="12" fillId="15" borderId="15" xfId="0" applyNumberFormat="1" applyFont="1" applyFill="1" applyBorder="1" applyAlignment="1">
      <alignment horizontal="center" vertical="center"/>
    </xf>
    <xf numFmtId="177" fontId="12" fillId="0" borderId="31" xfId="1" applyNumberFormat="1" applyFont="1" applyBorder="1" applyAlignment="1" applyProtection="1">
      <alignment horizontal="center" vertical="center"/>
    </xf>
    <xf numFmtId="177" fontId="12" fillId="0" borderId="10" xfId="1" applyNumberFormat="1" applyFont="1" applyBorder="1" applyAlignment="1" applyProtection="1">
      <alignment horizontal="center" vertical="center"/>
    </xf>
    <xf numFmtId="177" fontId="12" fillId="15" borderId="31" xfId="1" applyNumberFormat="1" applyFont="1" applyFill="1" applyBorder="1" applyAlignment="1" applyProtection="1">
      <alignment horizontal="center" vertical="center"/>
    </xf>
    <xf numFmtId="177" fontId="12" fillId="15" borderId="10" xfId="1" applyNumberFormat="1" applyFont="1" applyFill="1" applyBorder="1" applyAlignment="1" applyProtection="1">
      <alignment horizontal="center" vertical="center"/>
    </xf>
    <xf numFmtId="177" fontId="12" fillId="11" borderId="31" xfId="1" applyNumberFormat="1" applyFont="1" applyFill="1" applyBorder="1" applyAlignment="1" applyProtection="1">
      <alignment horizontal="center" vertical="center"/>
    </xf>
    <xf numFmtId="177" fontId="12" fillId="11" borderId="10" xfId="1" applyNumberFormat="1" applyFont="1" applyFill="1" applyBorder="1" applyAlignment="1" applyProtection="1">
      <alignment horizontal="center" vertical="center"/>
    </xf>
    <xf numFmtId="177" fontId="12" fillId="11" borderId="44" xfId="1" applyNumberFormat="1" applyFont="1" applyFill="1" applyBorder="1" applyAlignment="1" applyProtection="1">
      <alignment horizontal="center" vertical="center"/>
    </xf>
    <xf numFmtId="177" fontId="12" fillId="11" borderId="15" xfId="1" applyNumberFormat="1" applyFont="1" applyFill="1" applyBorder="1" applyAlignment="1" applyProtection="1">
      <alignment horizontal="center" vertical="center"/>
    </xf>
    <xf numFmtId="177" fontId="0" fillId="11" borderId="25" xfId="1" applyNumberFormat="1" applyFont="1" applyFill="1" applyBorder="1" applyAlignment="1">
      <alignment horizontal="center" vertical="center"/>
    </xf>
    <xf numFmtId="177" fontId="0" fillId="19" borderId="25" xfId="1" applyNumberFormat="1" applyFont="1" applyFill="1" applyBorder="1" applyAlignment="1">
      <alignment horizontal="center" vertical="center"/>
    </xf>
    <xf numFmtId="177" fontId="12" fillId="15" borderId="34" xfId="1" applyNumberFormat="1" applyFont="1" applyFill="1" applyBorder="1" applyAlignment="1">
      <alignment horizontal="center" vertical="center"/>
    </xf>
    <xf numFmtId="177" fontId="12" fillId="19" borderId="25" xfId="1" applyNumberFormat="1" applyFont="1" applyFill="1" applyBorder="1" applyAlignment="1">
      <alignment horizontal="center" vertical="center"/>
    </xf>
    <xf numFmtId="177" fontId="12" fillId="11" borderId="25" xfId="1" applyNumberFormat="1" applyFont="1" applyFill="1" applyBorder="1" applyAlignment="1">
      <alignment horizontal="center" vertical="center"/>
    </xf>
    <xf numFmtId="177" fontId="12" fillId="11" borderId="34" xfId="1" applyNumberFormat="1" applyFont="1" applyFill="1" applyBorder="1" applyAlignment="1">
      <alignment horizontal="center" vertical="center"/>
    </xf>
    <xf numFmtId="0" fontId="14" fillId="0" borderId="5" xfId="0" applyFont="1" applyBorder="1" applyAlignment="1">
      <alignment vertical="center"/>
    </xf>
    <xf numFmtId="0" fontId="33" fillId="22" borderId="52" xfId="0" applyFont="1" applyFill="1" applyBorder="1" applyAlignment="1">
      <alignment vertical="center"/>
    </xf>
    <xf numFmtId="0" fontId="33" fillId="22" borderId="47" xfId="0" applyFont="1" applyFill="1" applyBorder="1" applyAlignment="1">
      <alignment vertical="center"/>
    </xf>
    <xf numFmtId="0" fontId="33" fillId="22" borderId="62" xfId="0" applyFont="1" applyFill="1" applyBorder="1" applyAlignment="1">
      <alignment vertical="center"/>
    </xf>
    <xf numFmtId="166" fontId="2" fillId="6" borderId="41" xfId="0" applyNumberFormat="1" applyFont="1" applyFill="1" applyBorder="1" applyAlignment="1">
      <alignment horizontal="right"/>
    </xf>
    <xf numFmtId="9" fontId="14" fillId="4" borderId="35" xfId="2" applyFont="1" applyFill="1" applyBorder="1" applyAlignment="1">
      <alignment horizontal="center" vertical="center"/>
    </xf>
    <xf numFmtId="0" fontId="0" fillId="0" borderId="31" xfId="0" applyBorder="1"/>
    <xf numFmtId="3" fontId="4" fillId="24" borderId="58" xfId="0" quotePrefix="1" applyNumberFormat="1" applyFont="1" applyFill="1" applyBorder="1" applyAlignment="1">
      <alignment horizontal="center"/>
    </xf>
    <xf numFmtId="3" fontId="2" fillId="22" borderId="63" xfId="0" applyNumberFormat="1" applyFont="1" applyFill="1" applyBorder="1" applyAlignment="1">
      <alignment horizontal="center"/>
    </xf>
    <xf numFmtId="0" fontId="12" fillId="0" borderId="0" xfId="0" applyFont="1" applyAlignment="1">
      <alignment wrapText="1"/>
    </xf>
    <xf numFmtId="3" fontId="0" fillId="8" borderId="31" xfId="0" applyNumberFormat="1" applyFill="1" applyBorder="1" applyAlignment="1">
      <alignment horizontal="center" vertical="center"/>
    </xf>
    <xf numFmtId="3" fontId="0" fillId="0" borderId="44" xfId="0" applyNumberFormat="1" applyBorder="1" applyAlignment="1">
      <alignment horizontal="center" vertical="center"/>
    </xf>
    <xf numFmtId="3" fontId="12" fillId="0" borderId="13" xfId="0" applyNumberFormat="1" applyFont="1" applyBorder="1" applyAlignment="1">
      <alignment horizontal="center" vertical="center"/>
    </xf>
    <xf numFmtId="3" fontId="12" fillId="23" borderId="36" xfId="0" applyNumberFormat="1" applyFont="1" applyFill="1" applyBorder="1" applyAlignment="1">
      <alignment horizontal="right"/>
    </xf>
    <xf numFmtId="3" fontId="0" fillId="26" borderId="36" xfId="0" applyNumberFormat="1" applyFill="1" applyBorder="1" applyAlignment="1">
      <alignment horizontal="right"/>
    </xf>
    <xf numFmtId="3" fontId="12" fillId="0" borderId="25" xfId="0" applyNumberFormat="1" applyFont="1" applyBorder="1" applyAlignment="1">
      <alignment horizontal="center" vertical="center"/>
    </xf>
    <xf numFmtId="3" fontId="12" fillId="8" borderId="25" xfId="0" applyNumberFormat="1" applyFont="1" applyFill="1" applyBorder="1" applyAlignment="1">
      <alignment horizontal="center" vertical="center"/>
    </xf>
    <xf numFmtId="3" fontId="12" fillId="8" borderId="15" xfId="0" applyNumberFormat="1" applyFont="1" applyFill="1" applyBorder="1" applyAlignment="1">
      <alignment horizontal="center" vertical="center"/>
    </xf>
    <xf numFmtId="3" fontId="12" fillId="8" borderId="34" xfId="0" applyNumberFormat="1" applyFont="1" applyFill="1" applyBorder="1" applyAlignment="1">
      <alignment horizontal="center" vertical="center"/>
    </xf>
    <xf numFmtId="9" fontId="12" fillId="8" borderId="16" xfId="2" applyFont="1" applyFill="1" applyBorder="1" applyAlignment="1" applyProtection="1">
      <alignment horizontal="center" vertical="center"/>
    </xf>
    <xf numFmtId="9" fontId="12" fillId="0" borderId="25" xfId="2" applyFont="1" applyBorder="1" applyAlignment="1" applyProtection="1">
      <alignment horizontal="center" vertical="center"/>
    </xf>
    <xf numFmtId="9" fontId="12" fillId="8" borderId="25" xfId="2" applyFont="1" applyFill="1" applyBorder="1" applyAlignment="1" applyProtection="1">
      <alignment horizontal="center" vertical="center"/>
    </xf>
    <xf numFmtId="9" fontId="12" fillId="8" borderId="34" xfId="2" applyFont="1" applyFill="1" applyBorder="1" applyAlignment="1" applyProtection="1">
      <alignment horizontal="center" vertical="center"/>
    </xf>
    <xf numFmtId="3" fontId="12" fillId="0" borderId="13" xfId="2" applyNumberFormat="1" applyFont="1" applyBorder="1" applyAlignment="1" applyProtection="1">
      <alignment horizontal="center" vertical="center"/>
    </xf>
    <xf numFmtId="3" fontId="12" fillId="8" borderId="15" xfId="2" applyNumberFormat="1" applyFont="1" applyFill="1" applyBorder="1" applyAlignment="1" applyProtection="1">
      <alignment horizontal="center" vertical="center"/>
    </xf>
    <xf numFmtId="9" fontId="12" fillId="0" borderId="27" xfId="2" applyFont="1" applyBorder="1" applyAlignment="1" applyProtection="1">
      <alignment horizontal="center" vertical="center"/>
    </xf>
    <xf numFmtId="3" fontId="12" fillId="0" borderId="31" xfId="2" applyNumberFormat="1" applyFont="1" applyBorder="1" applyAlignment="1" applyProtection="1">
      <alignment horizontal="center" vertical="center"/>
    </xf>
    <xf numFmtId="3" fontId="12" fillId="8" borderId="31" xfId="2" applyNumberFormat="1" applyFont="1" applyFill="1" applyBorder="1" applyAlignment="1" applyProtection="1">
      <alignment horizontal="center" vertical="center"/>
    </xf>
    <xf numFmtId="3" fontId="1" fillId="8" borderId="31" xfId="2" applyNumberFormat="1" applyFont="1" applyFill="1" applyBorder="1" applyAlignment="1" applyProtection="1">
      <alignment horizontal="center" vertical="center"/>
    </xf>
    <xf numFmtId="3" fontId="1" fillId="0" borderId="44" xfId="2" applyNumberFormat="1" applyFont="1" applyBorder="1" applyAlignment="1" applyProtection="1">
      <alignment horizontal="center" vertical="center"/>
    </xf>
    <xf numFmtId="9" fontId="12" fillId="0" borderId="13" xfId="2" applyFont="1" applyBorder="1" applyAlignment="1" applyProtection="1">
      <alignment horizontal="center" vertical="center"/>
    </xf>
    <xf numFmtId="9" fontId="12" fillId="8" borderId="10" xfId="2" applyFont="1" applyFill="1" applyBorder="1" applyAlignment="1" applyProtection="1">
      <alignment horizontal="center" vertical="center"/>
    </xf>
    <xf numFmtId="9" fontId="12" fillId="0" borderId="10" xfId="2" applyFont="1" applyBorder="1" applyAlignment="1" applyProtection="1">
      <alignment horizontal="center" vertical="center"/>
    </xf>
    <xf numFmtId="9" fontId="1" fillId="8" borderId="10" xfId="2" applyFont="1" applyFill="1" applyBorder="1" applyAlignment="1" applyProtection="1">
      <alignment horizontal="center" vertical="center"/>
    </xf>
    <xf numFmtId="9" fontId="1" fillId="0" borderId="15" xfId="2" applyFont="1" applyBorder="1" applyAlignment="1" applyProtection="1">
      <alignment horizontal="center" vertical="center"/>
    </xf>
    <xf numFmtId="177" fontId="19" fillId="0" borderId="0" xfId="7" applyNumberFormat="1" applyFont="1"/>
    <xf numFmtId="4" fontId="0" fillId="0" borderId="0" xfId="0" applyNumberFormat="1"/>
    <xf numFmtId="0" fontId="8" fillId="2" borderId="1" xfId="0" applyFont="1" applyFill="1" applyBorder="1" applyAlignment="1">
      <alignment horizontal="center"/>
    </xf>
    <xf numFmtId="0" fontId="8" fillId="2" borderId="2" xfId="0" applyFont="1" applyFill="1" applyBorder="1" applyAlignment="1">
      <alignment horizontal="center"/>
    </xf>
    <xf numFmtId="0" fontId="8" fillId="2" borderId="3" xfId="0" applyFont="1" applyFill="1" applyBorder="1"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10" fillId="0" borderId="0" xfId="0" applyFont="1" applyAlignment="1">
      <alignment horizontal="center" vertical="top"/>
    </xf>
    <xf numFmtId="0" fontId="0" fillId="4" borderId="2" xfId="0" applyFill="1" applyBorder="1" applyAlignment="1">
      <alignment horizontal="center"/>
    </xf>
    <xf numFmtId="0" fontId="0" fillId="4" borderId="3" xfId="0" applyFill="1" applyBorder="1" applyAlignment="1">
      <alignment horizontal="center"/>
    </xf>
    <xf numFmtId="0" fontId="11" fillId="5" borderId="4" xfId="0" applyFont="1" applyFill="1" applyBorder="1" applyAlignment="1">
      <alignment horizontal="left"/>
    </xf>
    <xf numFmtId="0" fontId="11" fillId="5" borderId="0" xfId="0" applyFont="1" applyFill="1" applyAlignment="1">
      <alignment horizontal="left"/>
    </xf>
    <xf numFmtId="0" fontId="4" fillId="0" borderId="0" xfId="0" applyFont="1" applyAlignment="1">
      <alignment horizontal="center" vertical="center"/>
    </xf>
    <xf numFmtId="0" fontId="4" fillId="0" borderId="5" xfId="0" applyFont="1" applyBorder="1" applyAlignment="1">
      <alignment horizontal="center" vertical="center"/>
    </xf>
    <xf numFmtId="1" fontId="14" fillId="0" borderId="0" xfId="0" applyNumberFormat="1" applyFont="1" applyAlignment="1">
      <alignment horizontal="center" vertical="center"/>
    </xf>
    <xf numFmtId="1" fontId="2" fillId="6" borderId="19" xfId="0" applyNumberFormat="1" applyFont="1" applyFill="1" applyBorder="1" applyAlignment="1">
      <alignment horizontal="center"/>
    </xf>
    <xf numFmtId="1" fontId="2" fillId="6" borderId="20" xfId="0" applyNumberFormat="1" applyFont="1" applyFill="1" applyBorder="1" applyAlignment="1">
      <alignment horizontal="center"/>
    </xf>
    <xf numFmtId="1" fontId="2" fillId="6" borderId="17" xfId="0" applyNumberFormat="1" applyFont="1" applyFill="1" applyBorder="1" applyAlignment="1">
      <alignment horizontal="center" vertical="center"/>
    </xf>
    <xf numFmtId="1" fontId="2" fillId="6" borderId="29" xfId="0" applyNumberFormat="1" applyFont="1" applyFill="1" applyBorder="1" applyAlignment="1">
      <alignment horizontal="center" vertical="center"/>
    </xf>
    <xf numFmtId="0" fontId="2" fillId="14" borderId="6" xfId="5" applyFont="1" applyFill="1" applyBorder="1" applyAlignment="1">
      <alignment horizontal="center" vertical="center" wrapText="1"/>
    </xf>
    <xf numFmtId="0" fontId="2" fillId="14" borderId="38" xfId="5" applyFont="1" applyFill="1" applyBorder="1" applyAlignment="1">
      <alignment horizontal="center" vertical="center" wrapText="1"/>
    </xf>
    <xf numFmtId="0" fontId="2" fillId="14" borderId="40" xfId="5" applyFont="1" applyFill="1" applyBorder="1" applyAlignment="1">
      <alignment horizontal="center" vertical="center" wrapText="1"/>
    </xf>
    <xf numFmtId="0" fontId="14" fillId="0" borderId="0" xfId="0" applyFont="1" applyAlignment="1">
      <alignment horizontal="center" vertical="top"/>
    </xf>
    <xf numFmtId="0" fontId="4" fillId="0" borderId="5" xfId="0" applyFont="1" applyBorder="1" applyAlignment="1">
      <alignment horizontal="center"/>
    </xf>
    <xf numFmtId="0" fontId="14" fillId="0" borderId="5" xfId="7" applyFont="1" applyBorder="1" applyAlignment="1">
      <alignment horizontal="center"/>
    </xf>
    <xf numFmtId="0" fontId="2" fillId="0" borderId="0" xfId="7" applyFont="1" applyAlignment="1">
      <alignment horizontal="center"/>
    </xf>
    <xf numFmtId="0" fontId="4" fillId="0" borderId="0" xfId="0" applyFont="1" applyAlignment="1">
      <alignment horizontal="center"/>
    </xf>
    <xf numFmtId="1" fontId="4" fillId="0" borderId="0" xfId="0" applyNumberFormat="1" applyFont="1" applyAlignment="1">
      <alignment horizontal="center" vertical="center"/>
    </xf>
    <xf numFmtId="1" fontId="2" fillId="3" borderId="19" xfId="0" applyNumberFormat="1" applyFont="1" applyFill="1" applyBorder="1" applyAlignment="1">
      <alignment horizontal="center"/>
    </xf>
    <xf numFmtId="1" fontId="2" fillId="3" borderId="20" xfId="0" applyNumberFormat="1" applyFont="1" applyFill="1" applyBorder="1" applyAlignment="1">
      <alignment horizontal="center"/>
    </xf>
    <xf numFmtId="0" fontId="34" fillId="0" borderId="0" xfId="0" applyFont="1" applyAlignment="1">
      <alignment horizontal="left" vertical="top" wrapText="1"/>
    </xf>
    <xf numFmtId="1" fontId="2" fillId="3" borderId="17" xfId="0" applyNumberFormat="1" applyFont="1" applyFill="1" applyBorder="1" applyAlignment="1">
      <alignment horizontal="center" vertical="center"/>
    </xf>
    <xf numFmtId="1" fontId="2" fillId="3" borderId="29" xfId="0" applyNumberFormat="1" applyFont="1" applyFill="1" applyBorder="1" applyAlignment="1">
      <alignment horizontal="center" vertical="center"/>
    </xf>
    <xf numFmtId="170" fontId="2" fillId="3" borderId="19" xfId="0" applyNumberFormat="1" applyFont="1" applyFill="1" applyBorder="1" applyAlignment="1">
      <alignment horizontal="center"/>
    </xf>
    <xf numFmtId="170" fontId="2" fillId="3" borderId="20" xfId="0" applyNumberFormat="1" applyFont="1" applyFill="1" applyBorder="1" applyAlignment="1">
      <alignment horizontal="center"/>
    </xf>
    <xf numFmtId="0" fontId="10" fillId="0" borderId="0" xfId="0" applyFont="1" applyAlignment="1">
      <alignment horizontal="center" vertical="center"/>
    </xf>
    <xf numFmtId="0" fontId="12" fillId="0" borderId="0" xfId="0" applyFont="1" applyAlignment="1">
      <alignment horizontal="center" wrapText="1"/>
    </xf>
    <xf numFmtId="0" fontId="4" fillId="24" borderId="54" xfId="0" applyFont="1" applyFill="1" applyBorder="1" applyAlignment="1">
      <alignment horizontal="right"/>
    </xf>
    <xf numFmtId="0" fontId="4" fillId="24" borderId="55" xfId="0" applyFont="1" applyFill="1" applyBorder="1" applyAlignment="1">
      <alignment horizontal="right"/>
    </xf>
    <xf numFmtId="0" fontId="4" fillId="24" borderId="56" xfId="0" applyFont="1" applyFill="1" applyBorder="1" applyAlignment="1">
      <alignment horizontal="right"/>
    </xf>
    <xf numFmtId="0" fontId="42" fillId="0" borderId="5" xfId="0" applyFont="1" applyBorder="1" applyAlignment="1">
      <alignment horizontal="center"/>
    </xf>
  </cellXfs>
  <cellStyles count="9">
    <cellStyle name="20 % - Accent6" xfId="4" xr:uid="{0C3B5136-28F5-424E-AD5C-F934E93DAA66}"/>
    <cellStyle name="Comma" xfId="1" builtinId="3"/>
    <cellStyle name="Hyperlink" xfId="3" builtinId="8"/>
    <cellStyle name="Hyperlink 2" xfId="8" xr:uid="{A78DAA87-44D5-4719-AE84-B53BF9108108}"/>
    <cellStyle name="Normal" xfId="0" builtinId="0"/>
    <cellStyle name="Normal 13 11" xfId="7" xr:uid="{C170B77B-71DA-42AE-A959-98A0B4B8D304}"/>
    <cellStyle name="Normal 278" xfId="5" xr:uid="{09AA6A73-FDD4-45B1-9669-60B991487494}"/>
    <cellStyle name="Normal 4 10" xfId="6" xr:uid="{A70FA6F9-DAC5-4C64-B3DB-9FCBCF743962}"/>
    <cellStyle name="Percent" xfId="2" builtinId="5"/>
  </cellStyles>
  <dxfs count="4">
    <dxf>
      <font>
        <color rgb="FF9C0006"/>
      </font>
    </dxf>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4.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2.xml"/><Relationship Id="rId1" Type="http://schemas.microsoft.com/office/2011/relationships/chartStyle" Target="style12.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xml"/><Relationship Id="rId1" Type="http://schemas.microsoft.com/office/2011/relationships/chartStyle" Target="style2.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13.xml"/><Relationship Id="rId1" Type="http://schemas.microsoft.com/office/2011/relationships/chartStyle" Target="style13.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14.xml"/><Relationship Id="rId1" Type="http://schemas.microsoft.com/office/2011/relationships/chartStyle" Target="style14.xml"/></Relationships>
</file>

<file path=xl/charts/_rels/chart2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Mining Economic Impact</a:t>
            </a:r>
          </a:p>
          <a:p>
            <a:pPr>
              <a:defRPr/>
            </a:pPr>
            <a:r>
              <a:rPr lang="en-AU" sz="900"/>
              <a:t>Last 10 Financial Years</a:t>
            </a:r>
          </a:p>
        </c:rich>
      </c:tx>
      <c:layout>
        <c:manualLayout>
          <c:xMode val="edge"/>
          <c:yMode val="edge"/>
          <c:x val="0.40950356036972341"/>
          <c:y val="3.1967474653903559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4541715441395023"/>
          <c:y val="0.24957808539457194"/>
          <c:w val="0.76685710402704521"/>
          <c:h val="0.52199250254317786"/>
        </c:manualLayout>
      </c:layout>
      <c:barChart>
        <c:barDir val="col"/>
        <c:grouping val="stacked"/>
        <c:varyColors val="0"/>
        <c:ser>
          <c:idx val="1"/>
          <c:order val="0"/>
          <c:tx>
            <c:v>Western Australia</c:v>
          </c:tx>
          <c:spPr>
            <a:solidFill>
              <a:schemeClr val="accent1"/>
            </a:solidFill>
            <a:ln>
              <a:noFill/>
            </a:ln>
            <a:effectLst/>
          </c:spPr>
          <c:invertIfNegative val="0"/>
          <c:dPt>
            <c:idx val="9"/>
            <c:invertIfNegative val="0"/>
            <c:bubble3D val="0"/>
            <c:spPr>
              <a:solidFill>
                <a:schemeClr val="accent1"/>
              </a:solidFill>
              <a:ln>
                <a:noFill/>
              </a:ln>
              <a:effectLst/>
            </c:spPr>
            <c:extLst>
              <c:ext xmlns:c16="http://schemas.microsoft.com/office/drawing/2014/chart" uri="{C3380CC4-5D6E-409C-BE32-E72D297353CC}">
                <c16:uniqueId val="{00000001-D928-4375-9A69-99CC99202EEE}"/>
              </c:ext>
            </c:extLst>
          </c:dPt>
          <c:cat>
            <c:strRef>
              <c:f>'Mining Economic Impact'!$L$9:$L$18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Economic Impact'!$M$9:$M$18</c:f>
              <c:numCache>
                <c:formatCode>#,##0</c:formatCode>
                <c:ptCount val="10"/>
                <c:pt idx="0">
                  <c:v>57275</c:v>
                </c:pt>
                <c:pt idx="1">
                  <c:v>72378</c:v>
                </c:pt>
                <c:pt idx="2">
                  <c:v>79198</c:v>
                </c:pt>
                <c:pt idx="3">
                  <c:v>108179</c:v>
                </c:pt>
                <c:pt idx="4">
                  <c:v>131090</c:v>
                </c:pt>
                <c:pt idx="5">
                  <c:v>172316</c:v>
                </c:pt>
                <c:pt idx="6">
                  <c:v>185374</c:v>
                </c:pt>
                <c:pt idx="7">
                  <c:v>206058</c:v>
                </c:pt>
                <c:pt idx="8">
                  <c:v>195959</c:v>
                </c:pt>
                <c:pt idx="9">
                  <c:v>177844</c:v>
                </c:pt>
              </c:numCache>
            </c:numRef>
          </c:val>
          <c:extLst>
            <c:ext xmlns:c16="http://schemas.microsoft.com/office/drawing/2014/chart" uri="{C3380CC4-5D6E-409C-BE32-E72D297353CC}">
              <c16:uniqueId val="{00000002-D928-4375-9A69-99CC99202EEE}"/>
            </c:ext>
          </c:extLst>
        </c:ser>
        <c:ser>
          <c:idx val="2"/>
          <c:order val="1"/>
          <c:tx>
            <c:v>Rest of Australia</c:v>
          </c:tx>
          <c:spPr>
            <a:solidFill>
              <a:schemeClr val="accent1">
                <a:tint val="65000"/>
              </a:schemeClr>
            </a:solidFill>
            <a:ln>
              <a:noFill/>
            </a:ln>
            <a:effectLst/>
          </c:spPr>
          <c:invertIfNegative val="0"/>
          <c:dPt>
            <c:idx val="9"/>
            <c:invertIfNegative val="0"/>
            <c:bubble3D val="0"/>
            <c:spPr>
              <a:solidFill>
                <a:schemeClr val="accent1">
                  <a:tint val="65000"/>
                </a:schemeClr>
              </a:solidFill>
              <a:ln>
                <a:noFill/>
              </a:ln>
              <a:effectLst/>
            </c:spPr>
            <c:extLst>
              <c:ext xmlns:c16="http://schemas.microsoft.com/office/drawing/2014/chart" uri="{C3380CC4-5D6E-409C-BE32-E72D297353CC}">
                <c16:uniqueId val="{00000004-D928-4375-9A69-99CC99202EEE}"/>
              </c:ext>
            </c:extLst>
          </c:dPt>
          <c:cat>
            <c:strRef>
              <c:f>'Mining Economic Impact'!$L$9:$L$18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Economic Impact'!$N$9:$N$18</c:f>
              <c:numCache>
                <c:formatCode>#,##0</c:formatCode>
                <c:ptCount val="10"/>
                <c:pt idx="0">
                  <c:v>38912</c:v>
                </c:pt>
                <c:pt idx="1">
                  <c:v>60026</c:v>
                </c:pt>
                <c:pt idx="2">
                  <c:v>70504</c:v>
                </c:pt>
                <c:pt idx="3">
                  <c:v>82378</c:v>
                </c:pt>
                <c:pt idx="4">
                  <c:v>71394</c:v>
                </c:pt>
                <c:pt idx="5">
                  <c:v>50173</c:v>
                </c:pt>
                <c:pt idx="6">
                  <c:v>128612</c:v>
                </c:pt>
                <c:pt idx="7">
                  <c:v>143178</c:v>
                </c:pt>
                <c:pt idx="8">
                  <c:v>96753</c:v>
                </c:pt>
                <c:pt idx="9">
                  <c:v>79821</c:v>
                </c:pt>
              </c:numCache>
            </c:numRef>
          </c:val>
          <c:extLst>
            <c:ext xmlns:c16="http://schemas.microsoft.com/office/drawing/2014/chart" uri="{C3380CC4-5D6E-409C-BE32-E72D297353CC}">
              <c16:uniqueId val="{00000005-D928-4375-9A69-99CC99202EEE}"/>
            </c:ext>
          </c:extLst>
        </c:ser>
        <c:dLbls>
          <c:showLegendKey val="0"/>
          <c:showVal val="0"/>
          <c:showCatName val="0"/>
          <c:showSerName val="0"/>
          <c:showPercent val="0"/>
          <c:showBubbleSize val="0"/>
        </c:dLbls>
        <c:gapWidth val="150"/>
        <c:overlap val="100"/>
        <c:axId val="427180032"/>
        <c:axId val="427181952"/>
      </c:barChart>
      <c:lineChart>
        <c:grouping val="standard"/>
        <c:varyColors val="0"/>
        <c:ser>
          <c:idx val="0"/>
          <c:order val="2"/>
          <c:tx>
            <c:strRef>
              <c:f>'Mining Economic Impact'!$P$8</c:f>
              <c:strCache>
                <c:ptCount val="1"/>
                <c:pt idx="0">
                  <c:v>Western Australia Share of Australia</c:v>
                </c:pt>
              </c:strCache>
            </c:strRef>
          </c:tx>
          <c:spPr>
            <a:ln w="28575" cap="rnd" cmpd="sng" algn="ctr">
              <a:solidFill>
                <a:schemeClr val="accent1">
                  <a:shade val="65000"/>
                  <a:shade val="95000"/>
                  <a:satMod val="105000"/>
                </a:schemeClr>
              </a:solidFill>
              <a:prstDash val="solid"/>
              <a:round/>
            </a:ln>
            <a:effectLst/>
          </c:spPr>
          <c:marker>
            <c:symbol val="none"/>
          </c:marker>
          <c:cat>
            <c:strRef>
              <c:f>'Mining Economic Impact'!$L$9:$L$18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Economic Impact'!$P$9:$P$18</c:f>
              <c:numCache>
                <c:formatCode>0%</c:formatCode>
                <c:ptCount val="10"/>
                <c:pt idx="0">
                  <c:v>0.5954546872238452</c:v>
                </c:pt>
                <c:pt idx="1">
                  <c:v>0.5466451164617383</c:v>
                </c:pt>
                <c:pt idx="2">
                  <c:v>0.5290376882072384</c:v>
                </c:pt>
                <c:pt idx="3">
                  <c:v>0.56769890374008825</c:v>
                </c:pt>
                <c:pt idx="4">
                  <c:v>0.64740917800912667</c:v>
                </c:pt>
                <c:pt idx="5">
                  <c:v>0.77449222208738411</c:v>
                </c:pt>
                <c:pt idx="6">
                  <c:v>0.59038938041823519</c:v>
                </c:pt>
                <c:pt idx="7">
                  <c:v>0.59002508332474313</c:v>
                </c:pt>
                <c:pt idx="8">
                  <c:v>0.66946008363169263</c:v>
                </c:pt>
                <c:pt idx="9">
                  <c:v>0.69021403760697031</c:v>
                </c:pt>
              </c:numCache>
            </c:numRef>
          </c:val>
          <c:smooth val="0"/>
          <c:extLst>
            <c:ext xmlns:c16="http://schemas.microsoft.com/office/drawing/2014/chart" uri="{C3380CC4-5D6E-409C-BE32-E72D297353CC}">
              <c16:uniqueId val="{00000006-D928-4375-9A69-99CC99202EEE}"/>
            </c:ext>
          </c:extLst>
        </c:ser>
        <c:dLbls>
          <c:showLegendKey val="0"/>
          <c:showVal val="0"/>
          <c:showCatName val="0"/>
          <c:showSerName val="0"/>
          <c:showPercent val="0"/>
          <c:showBubbleSize val="0"/>
        </c:dLbls>
        <c:marker val="1"/>
        <c:smooth val="0"/>
        <c:axId val="856744784"/>
        <c:axId val="856740944"/>
      </c:line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9.2280856373997047E-3"/>
              <c:y val="0.9464176411910775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layout>
            <c:manualLayout>
              <c:xMode val="edge"/>
              <c:yMode val="edge"/>
              <c:x val="3.4343289331155782E-2"/>
              <c:y val="0.45070955874105473"/>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100000"/>
      </c:valAx>
      <c:valAx>
        <c:axId val="856740944"/>
        <c:scaling>
          <c:orientation val="minMax"/>
          <c:max val="1"/>
        </c:scaling>
        <c:delete val="0"/>
        <c:axPos val="r"/>
        <c:numFmt formatCode="0%" sourceLinked="1"/>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856744784"/>
        <c:crosses val="max"/>
        <c:crossBetween val="between"/>
        <c:majorUnit val="0.25"/>
      </c:valAx>
      <c:catAx>
        <c:axId val="856744784"/>
        <c:scaling>
          <c:orientation val="minMax"/>
        </c:scaling>
        <c:delete val="1"/>
        <c:axPos val="b"/>
        <c:numFmt formatCode="General" sourceLinked="1"/>
        <c:majorTickMark val="out"/>
        <c:minorTickMark val="none"/>
        <c:tickLblPos val="nextTo"/>
        <c:crossAx val="856740944"/>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AU" sz="1800" b="1"/>
              <a:t>Australia</a:t>
            </a:r>
            <a:r>
              <a:rPr lang="en-AU" sz="1800" b="1" baseline="0"/>
              <a:t> D</a:t>
            </a:r>
            <a:r>
              <a:rPr lang="en-AU" sz="1800" b="1"/>
              <a:t>rill Metres</a:t>
            </a:r>
            <a:br>
              <a:rPr lang="en-AU" sz="1800" b="1"/>
            </a:br>
            <a:r>
              <a:rPr lang="en-AU" sz="900" b="1"/>
              <a:t>New And Existing Deposits</a:t>
            </a:r>
          </a:p>
        </c:rich>
      </c:tx>
      <c:layout>
        <c:manualLayout>
          <c:xMode val="edge"/>
          <c:yMode val="edge"/>
          <c:x val="0.36129821323673456"/>
          <c:y val="1.1411411411411412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9.2653670307340619E-2"/>
          <c:y val="0.17189851268591427"/>
          <c:w val="0.87580962661925321"/>
          <c:h val="0.68630167175049062"/>
        </c:manualLayout>
      </c:layout>
      <c:areaChart>
        <c:grouping val="stacked"/>
        <c:varyColors val="0"/>
        <c:ser>
          <c:idx val="0"/>
          <c:order val="0"/>
          <c:tx>
            <c:v>New Deposits</c:v>
          </c:tx>
          <c:spPr>
            <a:solidFill>
              <a:schemeClr val="accent6">
                <a:shade val="76000"/>
              </a:schemeClr>
            </a:solidFill>
            <a:ln>
              <a:noFill/>
            </a:ln>
            <a:effectLst/>
          </c:spPr>
          <c:cat>
            <c:numRef>
              <c:f>'Min. Expl. Metres Drilled'!$C$9:$C$141</c:f>
              <c:numCache>
                <c:formatCode>mmm\-yyyy</c:formatCode>
                <c:ptCount val="133"/>
                <c:pt idx="0">
                  <c:v>37865</c:v>
                </c:pt>
                <c:pt idx="1">
                  <c:v>37956</c:v>
                </c:pt>
                <c:pt idx="2">
                  <c:v>38047</c:v>
                </c:pt>
                <c:pt idx="3">
                  <c:v>38139</c:v>
                </c:pt>
                <c:pt idx="4">
                  <c:v>38231</c:v>
                </c:pt>
                <c:pt idx="5">
                  <c:v>38322</c:v>
                </c:pt>
                <c:pt idx="6">
                  <c:v>38412</c:v>
                </c:pt>
                <c:pt idx="7">
                  <c:v>38504</c:v>
                </c:pt>
                <c:pt idx="8">
                  <c:v>38596</c:v>
                </c:pt>
                <c:pt idx="9">
                  <c:v>38687</c:v>
                </c:pt>
                <c:pt idx="10">
                  <c:v>38777</c:v>
                </c:pt>
                <c:pt idx="11">
                  <c:v>38869</c:v>
                </c:pt>
                <c:pt idx="12">
                  <c:v>38961</c:v>
                </c:pt>
                <c:pt idx="13">
                  <c:v>39052</c:v>
                </c:pt>
                <c:pt idx="14">
                  <c:v>39142</c:v>
                </c:pt>
                <c:pt idx="15">
                  <c:v>39234</c:v>
                </c:pt>
                <c:pt idx="16">
                  <c:v>39326</c:v>
                </c:pt>
                <c:pt idx="17">
                  <c:v>39417</c:v>
                </c:pt>
                <c:pt idx="18">
                  <c:v>39508</c:v>
                </c:pt>
                <c:pt idx="19">
                  <c:v>39600</c:v>
                </c:pt>
                <c:pt idx="20">
                  <c:v>39692</c:v>
                </c:pt>
                <c:pt idx="21">
                  <c:v>39783</c:v>
                </c:pt>
                <c:pt idx="22">
                  <c:v>39873</c:v>
                </c:pt>
                <c:pt idx="23">
                  <c:v>39965</c:v>
                </c:pt>
                <c:pt idx="24">
                  <c:v>40057</c:v>
                </c:pt>
                <c:pt idx="25">
                  <c:v>40148</c:v>
                </c:pt>
                <c:pt idx="26">
                  <c:v>40238</c:v>
                </c:pt>
                <c:pt idx="27">
                  <c:v>40330</c:v>
                </c:pt>
                <c:pt idx="28">
                  <c:v>40422</c:v>
                </c:pt>
                <c:pt idx="29">
                  <c:v>40513</c:v>
                </c:pt>
                <c:pt idx="30">
                  <c:v>40603</c:v>
                </c:pt>
                <c:pt idx="31">
                  <c:v>40695</c:v>
                </c:pt>
                <c:pt idx="32">
                  <c:v>40787</c:v>
                </c:pt>
                <c:pt idx="33">
                  <c:v>40878</c:v>
                </c:pt>
                <c:pt idx="34">
                  <c:v>40969</c:v>
                </c:pt>
                <c:pt idx="35">
                  <c:v>41061</c:v>
                </c:pt>
                <c:pt idx="36">
                  <c:v>41153</c:v>
                </c:pt>
                <c:pt idx="37">
                  <c:v>41244</c:v>
                </c:pt>
                <c:pt idx="38">
                  <c:v>41334</c:v>
                </c:pt>
                <c:pt idx="39">
                  <c:v>41426</c:v>
                </c:pt>
                <c:pt idx="40">
                  <c:v>41518</c:v>
                </c:pt>
                <c:pt idx="41">
                  <c:v>41609</c:v>
                </c:pt>
                <c:pt idx="42">
                  <c:v>41699</c:v>
                </c:pt>
                <c:pt idx="43">
                  <c:v>41791</c:v>
                </c:pt>
                <c:pt idx="44">
                  <c:v>41883</c:v>
                </c:pt>
                <c:pt idx="45">
                  <c:v>41974</c:v>
                </c:pt>
                <c:pt idx="46">
                  <c:v>42064</c:v>
                </c:pt>
                <c:pt idx="47">
                  <c:v>42156</c:v>
                </c:pt>
                <c:pt idx="48">
                  <c:v>42248</c:v>
                </c:pt>
                <c:pt idx="49">
                  <c:v>42339</c:v>
                </c:pt>
                <c:pt idx="50">
                  <c:v>42430</c:v>
                </c:pt>
                <c:pt idx="51">
                  <c:v>42522</c:v>
                </c:pt>
                <c:pt idx="52">
                  <c:v>42614</c:v>
                </c:pt>
                <c:pt idx="53">
                  <c:v>42705</c:v>
                </c:pt>
                <c:pt idx="54">
                  <c:v>42795</c:v>
                </c:pt>
                <c:pt idx="55">
                  <c:v>42887</c:v>
                </c:pt>
                <c:pt idx="56">
                  <c:v>42979</c:v>
                </c:pt>
                <c:pt idx="57">
                  <c:v>43070</c:v>
                </c:pt>
                <c:pt idx="58">
                  <c:v>43160</c:v>
                </c:pt>
                <c:pt idx="59">
                  <c:v>43252</c:v>
                </c:pt>
                <c:pt idx="60">
                  <c:v>43344</c:v>
                </c:pt>
                <c:pt idx="61">
                  <c:v>43435</c:v>
                </c:pt>
                <c:pt idx="62">
                  <c:v>43525</c:v>
                </c:pt>
                <c:pt idx="63">
                  <c:v>43617</c:v>
                </c:pt>
                <c:pt idx="64">
                  <c:v>43709</c:v>
                </c:pt>
                <c:pt idx="65">
                  <c:v>43800</c:v>
                </c:pt>
                <c:pt idx="66">
                  <c:v>43891</c:v>
                </c:pt>
                <c:pt idx="67">
                  <c:v>43983</c:v>
                </c:pt>
                <c:pt idx="68">
                  <c:v>44075</c:v>
                </c:pt>
                <c:pt idx="69">
                  <c:v>44166</c:v>
                </c:pt>
                <c:pt idx="70">
                  <c:v>44256</c:v>
                </c:pt>
                <c:pt idx="71">
                  <c:v>44348</c:v>
                </c:pt>
                <c:pt idx="72">
                  <c:v>44440</c:v>
                </c:pt>
                <c:pt idx="73">
                  <c:v>44531</c:v>
                </c:pt>
                <c:pt idx="74">
                  <c:v>44621</c:v>
                </c:pt>
                <c:pt idx="75">
                  <c:v>44713</c:v>
                </c:pt>
                <c:pt idx="76">
                  <c:v>44805</c:v>
                </c:pt>
                <c:pt idx="77">
                  <c:v>44896</c:v>
                </c:pt>
                <c:pt idx="78">
                  <c:v>44986</c:v>
                </c:pt>
                <c:pt idx="79">
                  <c:v>45078</c:v>
                </c:pt>
                <c:pt idx="80">
                  <c:v>45170</c:v>
                </c:pt>
                <c:pt idx="81">
                  <c:v>45261</c:v>
                </c:pt>
                <c:pt idx="82">
                  <c:v>45352</c:v>
                </c:pt>
                <c:pt idx="83">
                  <c:v>45444</c:v>
                </c:pt>
                <c:pt idx="84">
                  <c:v>45536</c:v>
                </c:pt>
                <c:pt idx="85">
                  <c:v>45627</c:v>
                </c:pt>
                <c:pt idx="86">
                  <c:v>45717</c:v>
                </c:pt>
                <c:pt idx="87">
                  <c:v>45809</c:v>
                </c:pt>
                <c:pt idx="88">
                  <c:v>45901</c:v>
                </c:pt>
                <c:pt idx="89">
                  <c:v>45992</c:v>
                </c:pt>
              </c:numCache>
            </c:numRef>
          </c:cat>
          <c:val>
            <c:numRef>
              <c:f>'Min. Expl. Metres Drilled'!$D$9:$D$141</c:f>
              <c:numCache>
                <c:formatCode>#,##0.0</c:formatCode>
                <c:ptCount val="133"/>
                <c:pt idx="0">
                  <c:v>646</c:v>
                </c:pt>
                <c:pt idx="1">
                  <c:v>636</c:v>
                </c:pt>
                <c:pt idx="2">
                  <c:v>508</c:v>
                </c:pt>
                <c:pt idx="3">
                  <c:v>891</c:v>
                </c:pt>
                <c:pt idx="4">
                  <c:v>897.7</c:v>
                </c:pt>
                <c:pt idx="5">
                  <c:v>602.79999999999995</c:v>
                </c:pt>
                <c:pt idx="6">
                  <c:v>532.79999999999995</c:v>
                </c:pt>
                <c:pt idx="7">
                  <c:v>750.1</c:v>
                </c:pt>
                <c:pt idx="8">
                  <c:v>735.1</c:v>
                </c:pt>
                <c:pt idx="9">
                  <c:v>581.79999999999995</c:v>
                </c:pt>
                <c:pt idx="10">
                  <c:v>522.79999999999995</c:v>
                </c:pt>
                <c:pt idx="11">
                  <c:v>778</c:v>
                </c:pt>
                <c:pt idx="12">
                  <c:v>812.4</c:v>
                </c:pt>
                <c:pt idx="13">
                  <c:v>900.4</c:v>
                </c:pt>
                <c:pt idx="14">
                  <c:v>713.2</c:v>
                </c:pt>
                <c:pt idx="15">
                  <c:v>814.1</c:v>
                </c:pt>
                <c:pt idx="16">
                  <c:v>1055.8</c:v>
                </c:pt>
                <c:pt idx="17">
                  <c:v>970.1</c:v>
                </c:pt>
                <c:pt idx="18">
                  <c:v>737.1</c:v>
                </c:pt>
                <c:pt idx="19">
                  <c:v>1157</c:v>
                </c:pt>
                <c:pt idx="20">
                  <c:v>1068.9000000000001</c:v>
                </c:pt>
                <c:pt idx="21">
                  <c:v>792.1</c:v>
                </c:pt>
                <c:pt idx="22">
                  <c:v>338.2</c:v>
                </c:pt>
                <c:pt idx="23">
                  <c:v>521.20000000000005</c:v>
                </c:pt>
                <c:pt idx="24">
                  <c:v>719</c:v>
                </c:pt>
                <c:pt idx="25">
                  <c:v>857.6</c:v>
                </c:pt>
                <c:pt idx="26">
                  <c:v>547.5</c:v>
                </c:pt>
                <c:pt idx="27">
                  <c:v>930.4</c:v>
                </c:pt>
                <c:pt idx="28">
                  <c:v>907.4</c:v>
                </c:pt>
                <c:pt idx="29">
                  <c:v>932.7</c:v>
                </c:pt>
                <c:pt idx="30">
                  <c:v>617.20000000000005</c:v>
                </c:pt>
                <c:pt idx="31">
                  <c:v>979</c:v>
                </c:pt>
                <c:pt idx="32">
                  <c:v>1037.7</c:v>
                </c:pt>
                <c:pt idx="33">
                  <c:v>1008.4</c:v>
                </c:pt>
                <c:pt idx="34">
                  <c:v>582.79999999999995</c:v>
                </c:pt>
                <c:pt idx="35">
                  <c:v>1071.2</c:v>
                </c:pt>
                <c:pt idx="36">
                  <c:v>943.1</c:v>
                </c:pt>
                <c:pt idx="37">
                  <c:v>677.4</c:v>
                </c:pt>
                <c:pt idx="38">
                  <c:v>416.7</c:v>
                </c:pt>
                <c:pt idx="39">
                  <c:v>692.5</c:v>
                </c:pt>
                <c:pt idx="40">
                  <c:v>592.70000000000005</c:v>
                </c:pt>
                <c:pt idx="41">
                  <c:v>396.1</c:v>
                </c:pt>
                <c:pt idx="42">
                  <c:v>300</c:v>
                </c:pt>
                <c:pt idx="43">
                  <c:v>308.8</c:v>
                </c:pt>
                <c:pt idx="44">
                  <c:v>397.2</c:v>
                </c:pt>
                <c:pt idx="45">
                  <c:v>491.9</c:v>
                </c:pt>
                <c:pt idx="46">
                  <c:v>242.1</c:v>
                </c:pt>
                <c:pt idx="47">
                  <c:v>438.1</c:v>
                </c:pt>
                <c:pt idx="48">
                  <c:v>341.1</c:v>
                </c:pt>
                <c:pt idx="49">
                  <c:v>442.4</c:v>
                </c:pt>
                <c:pt idx="50">
                  <c:v>306.60000000000002</c:v>
                </c:pt>
                <c:pt idx="51">
                  <c:v>418.2</c:v>
                </c:pt>
                <c:pt idx="52">
                  <c:v>539.1</c:v>
                </c:pt>
                <c:pt idx="53">
                  <c:v>658.7</c:v>
                </c:pt>
                <c:pt idx="54">
                  <c:v>484</c:v>
                </c:pt>
                <c:pt idx="55">
                  <c:v>682.6</c:v>
                </c:pt>
                <c:pt idx="56">
                  <c:v>841.6</c:v>
                </c:pt>
                <c:pt idx="57">
                  <c:v>766.1</c:v>
                </c:pt>
                <c:pt idx="58">
                  <c:v>631.70000000000005</c:v>
                </c:pt>
                <c:pt idx="59">
                  <c:v>971.8</c:v>
                </c:pt>
                <c:pt idx="60">
                  <c:v>1041.7</c:v>
                </c:pt>
                <c:pt idx="61">
                  <c:v>949.3</c:v>
                </c:pt>
                <c:pt idx="62">
                  <c:v>755.4</c:v>
                </c:pt>
                <c:pt idx="63">
                  <c:v>923.8</c:v>
                </c:pt>
                <c:pt idx="64">
                  <c:v>1115.8</c:v>
                </c:pt>
                <c:pt idx="65">
                  <c:v>917.2</c:v>
                </c:pt>
                <c:pt idx="66">
                  <c:v>805.7</c:v>
                </c:pt>
                <c:pt idx="67">
                  <c:v>850.6</c:v>
                </c:pt>
                <c:pt idx="68">
                  <c:v>1048.5</c:v>
                </c:pt>
                <c:pt idx="69">
                  <c:v>1031.7</c:v>
                </c:pt>
                <c:pt idx="70">
                  <c:v>878.4</c:v>
                </c:pt>
                <c:pt idx="71">
                  <c:v>1107.4000000000001</c:v>
                </c:pt>
                <c:pt idx="72">
                  <c:v>1160.3</c:v>
                </c:pt>
                <c:pt idx="73">
                  <c:v>974.4</c:v>
                </c:pt>
                <c:pt idx="74">
                  <c:v>830.2</c:v>
                </c:pt>
                <c:pt idx="75">
                  <c:v>869.1</c:v>
                </c:pt>
                <c:pt idx="76">
                  <c:v>943.3</c:v>
                </c:pt>
                <c:pt idx="77">
                  <c:v>793.5</c:v>
                </c:pt>
                <c:pt idx="78">
                  <c:v>609.79999999999995</c:v>
                </c:pt>
                <c:pt idx="79">
                  <c:v>818.5</c:v>
                </c:pt>
                <c:pt idx="80">
                  <c:v>821.8</c:v>
                </c:pt>
                <c:pt idx="81">
                  <c:v>745.3</c:v>
                </c:pt>
                <c:pt idx="82">
                  <c:v>490.6</c:v>
                </c:pt>
                <c:pt idx="83">
                  <c:v>656.1</c:v>
                </c:pt>
                <c:pt idx="84">
                  <c:v>692.6</c:v>
                </c:pt>
                <c:pt idx="85">
                  <c:v>611.6</c:v>
                </c:pt>
                <c:pt idx="86">
                  <c:v>480.4</c:v>
                </c:pt>
                <c:pt idx="87">
                  <c:v>597.79999999999995</c:v>
                </c:pt>
                <c:pt idx="88">
                  <c:v>640.1</c:v>
                </c:pt>
                <c:pt idx="89">
                  <c:v>647.6</c:v>
                </c:pt>
              </c:numCache>
            </c:numRef>
          </c:val>
          <c:extLst>
            <c:ext xmlns:c16="http://schemas.microsoft.com/office/drawing/2014/chart" uri="{C3380CC4-5D6E-409C-BE32-E72D297353CC}">
              <c16:uniqueId val="{00000000-2A9B-4A8B-A491-267FCEA62B2B}"/>
            </c:ext>
          </c:extLst>
        </c:ser>
        <c:ser>
          <c:idx val="1"/>
          <c:order val="1"/>
          <c:tx>
            <c:v>Existing Deposits</c:v>
          </c:tx>
          <c:spPr>
            <a:solidFill>
              <a:schemeClr val="accent6">
                <a:tint val="77000"/>
              </a:schemeClr>
            </a:solidFill>
            <a:ln>
              <a:noFill/>
            </a:ln>
            <a:effectLst/>
          </c:spPr>
          <c:cat>
            <c:numRef>
              <c:f>'Min. Expl. Metres Drilled'!$C$9:$C$141</c:f>
              <c:numCache>
                <c:formatCode>mmm\-yyyy</c:formatCode>
                <c:ptCount val="133"/>
                <c:pt idx="0">
                  <c:v>37865</c:v>
                </c:pt>
                <c:pt idx="1">
                  <c:v>37956</c:v>
                </c:pt>
                <c:pt idx="2">
                  <c:v>38047</c:v>
                </c:pt>
                <c:pt idx="3">
                  <c:v>38139</c:v>
                </c:pt>
                <c:pt idx="4">
                  <c:v>38231</c:v>
                </c:pt>
                <c:pt idx="5">
                  <c:v>38322</c:v>
                </c:pt>
                <c:pt idx="6">
                  <c:v>38412</c:v>
                </c:pt>
                <c:pt idx="7">
                  <c:v>38504</c:v>
                </c:pt>
                <c:pt idx="8">
                  <c:v>38596</c:v>
                </c:pt>
                <c:pt idx="9">
                  <c:v>38687</c:v>
                </c:pt>
                <c:pt idx="10">
                  <c:v>38777</c:v>
                </c:pt>
                <c:pt idx="11">
                  <c:v>38869</c:v>
                </c:pt>
                <c:pt idx="12">
                  <c:v>38961</c:v>
                </c:pt>
                <c:pt idx="13">
                  <c:v>39052</c:v>
                </c:pt>
                <c:pt idx="14">
                  <c:v>39142</c:v>
                </c:pt>
                <c:pt idx="15">
                  <c:v>39234</c:v>
                </c:pt>
                <c:pt idx="16">
                  <c:v>39326</c:v>
                </c:pt>
                <c:pt idx="17">
                  <c:v>39417</c:v>
                </c:pt>
                <c:pt idx="18">
                  <c:v>39508</c:v>
                </c:pt>
                <c:pt idx="19">
                  <c:v>39600</c:v>
                </c:pt>
                <c:pt idx="20">
                  <c:v>39692</c:v>
                </c:pt>
                <c:pt idx="21">
                  <c:v>39783</c:v>
                </c:pt>
                <c:pt idx="22">
                  <c:v>39873</c:v>
                </c:pt>
                <c:pt idx="23">
                  <c:v>39965</c:v>
                </c:pt>
                <c:pt idx="24">
                  <c:v>40057</c:v>
                </c:pt>
                <c:pt idx="25">
                  <c:v>40148</c:v>
                </c:pt>
                <c:pt idx="26">
                  <c:v>40238</c:v>
                </c:pt>
                <c:pt idx="27">
                  <c:v>40330</c:v>
                </c:pt>
                <c:pt idx="28">
                  <c:v>40422</c:v>
                </c:pt>
                <c:pt idx="29">
                  <c:v>40513</c:v>
                </c:pt>
                <c:pt idx="30">
                  <c:v>40603</c:v>
                </c:pt>
                <c:pt idx="31">
                  <c:v>40695</c:v>
                </c:pt>
                <c:pt idx="32">
                  <c:v>40787</c:v>
                </c:pt>
                <c:pt idx="33">
                  <c:v>40878</c:v>
                </c:pt>
                <c:pt idx="34">
                  <c:v>40969</c:v>
                </c:pt>
                <c:pt idx="35">
                  <c:v>41061</c:v>
                </c:pt>
                <c:pt idx="36">
                  <c:v>41153</c:v>
                </c:pt>
                <c:pt idx="37">
                  <c:v>41244</c:v>
                </c:pt>
                <c:pt idx="38">
                  <c:v>41334</c:v>
                </c:pt>
                <c:pt idx="39">
                  <c:v>41426</c:v>
                </c:pt>
                <c:pt idx="40">
                  <c:v>41518</c:v>
                </c:pt>
                <c:pt idx="41">
                  <c:v>41609</c:v>
                </c:pt>
                <c:pt idx="42">
                  <c:v>41699</c:v>
                </c:pt>
                <c:pt idx="43">
                  <c:v>41791</c:v>
                </c:pt>
                <c:pt idx="44">
                  <c:v>41883</c:v>
                </c:pt>
                <c:pt idx="45">
                  <c:v>41974</c:v>
                </c:pt>
                <c:pt idx="46">
                  <c:v>42064</c:v>
                </c:pt>
                <c:pt idx="47">
                  <c:v>42156</c:v>
                </c:pt>
                <c:pt idx="48">
                  <c:v>42248</c:v>
                </c:pt>
                <c:pt idx="49">
                  <c:v>42339</c:v>
                </c:pt>
                <c:pt idx="50">
                  <c:v>42430</c:v>
                </c:pt>
                <c:pt idx="51">
                  <c:v>42522</c:v>
                </c:pt>
                <c:pt idx="52">
                  <c:v>42614</c:v>
                </c:pt>
                <c:pt idx="53">
                  <c:v>42705</c:v>
                </c:pt>
                <c:pt idx="54">
                  <c:v>42795</c:v>
                </c:pt>
                <c:pt idx="55">
                  <c:v>42887</c:v>
                </c:pt>
                <c:pt idx="56">
                  <c:v>42979</c:v>
                </c:pt>
                <c:pt idx="57">
                  <c:v>43070</c:v>
                </c:pt>
                <c:pt idx="58">
                  <c:v>43160</c:v>
                </c:pt>
                <c:pt idx="59">
                  <c:v>43252</c:v>
                </c:pt>
                <c:pt idx="60">
                  <c:v>43344</c:v>
                </c:pt>
                <c:pt idx="61">
                  <c:v>43435</c:v>
                </c:pt>
                <c:pt idx="62">
                  <c:v>43525</c:v>
                </c:pt>
                <c:pt idx="63">
                  <c:v>43617</c:v>
                </c:pt>
                <c:pt idx="64">
                  <c:v>43709</c:v>
                </c:pt>
                <c:pt idx="65">
                  <c:v>43800</c:v>
                </c:pt>
                <c:pt idx="66">
                  <c:v>43891</c:v>
                </c:pt>
                <c:pt idx="67">
                  <c:v>43983</c:v>
                </c:pt>
                <c:pt idx="68">
                  <c:v>44075</c:v>
                </c:pt>
                <c:pt idx="69">
                  <c:v>44166</c:v>
                </c:pt>
                <c:pt idx="70">
                  <c:v>44256</c:v>
                </c:pt>
                <c:pt idx="71">
                  <c:v>44348</c:v>
                </c:pt>
                <c:pt idx="72">
                  <c:v>44440</c:v>
                </c:pt>
                <c:pt idx="73">
                  <c:v>44531</c:v>
                </c:pt>
                <c:pt idx="74">
                  <c:v>44621</c:v>
                </c:pt>
                <c:pt idx="75">
                  <c:v>44713</c:v>
                </c:pt>
                <c:pt idx="76">
                  <c:v>44805</c:v>
                </c:pt>
                <c:pt idx="77">
                  <c:v>44896</c:v>
                </c:pt>
                <c:pt idx="78">
                  <c:v>44986</c:v>
                </c:pt>
                <c:pt idx="79">
                  <c:v>45078</c:v>
                </c:pt>
                <c:pt idx="80">
                  <c:v>45170</c:v>
                </c:pt>
                <c:pt idx="81">
                  <c:v>45261</c:v>
                </c:pt>
                <c:pt idx="82">
                  <c:v>45352</c:v>
                </c:pt>
                <c:pt idx="83">
                  <c:v>45444</c:v>
                </c:pt>
                <c:pt idx="84">
                  <c:v>45536</c:v>
                </c:pt>
                <c:pt idx="85">
                  <c:v>45627</c:v>
                </c:pt>
                <c:pt idx="86">
                  <c:v>45717</c:v>
                </c:pt>
                <c:pt idx="87">
                  <c:v>45809</c:v>
                </c:pt>
                <c:pt idx="88">
                  <c:v>45901</c:v>
                </c:pt>
                <c:pt idx="89">
                  <c:v>45992</c:v>
                </c:pt>
              </c:numCache>
            </c:numRef>
          </c:cat>
          <c:val>
            <c:numRef>
              <c:f>'Min. Expl. Metres Drilled'!$E$9:$E$141</c:f>
              <c:numCache>
                <c:formatCode>#,##0.0</c:formatCode>
                <c:ptCount val="133"/>
                <c:pt idx="0">
                  <c:v>758</c:v>
                </c:pt>
                <c:pt idx="1">
                  <c:v>690</c:v>
                </c:pt>
                <c:pt idx="2">
                  <c:v>596</c:v>
                </c:pt>
                <c:pt idx="3">
                  <c:v>956.6</c:v>
                </c:pt>
                <c:pt idx="4">
                  <c:v>1023.9</c:v>
                </c:pt>
                <c:pt idx="5">
                  <c:v>1045.5999999999999</c:v>
                </c:pt>
                <c:pt idx="6">
                  <c:v>898.7</c:v>
                </c:pt>
                <c:pt idx="7">
                  <c:v>1032.8</c:v>
                </c:pt>
                <c:pt idx="8">
                  <c:v>1099.9000000000001</c:v>
                </c:pt>
                <c:pt idx="9">
                  <c:v>1036.7</c:v>
                </c:pt>
                <c:pt idx="10">
                  <c:v>944.4</c:v>
                </c:pt>
                <c:pt idx="11">
                  <c:v>1138.0999999999999</c:v>
                </c:pt>
                <c:pt idx="12">
                  <c:v>1438.6</c:v>
                </c:pt>
                <c:pt idx="13">
                  <c:v>1199.3</c:v>
                </c:pt>
                <c:pt idx="14">
                  <c:v>1071</c:v>
                </c:pt>
                <c:pt idx="15">
                  <c:v>1505.6</c:v>
                </c:pt>
                <c:pt idx="16">
                  <c:v>1500.8</c:v>
                </c:pt>
                <c:pt idx="17">
                  <c:v>1476</c:v>
                </c:pt>
                <c:pt idx="18">
                  <c:v>1275.4000000000001</c:v>
                </c:pt>
                <c:pt idx="19">
                  <c:v>1583.2</c:v>
                </c:pt>
                <c:pt idx="20">
                  <c:v>1636</c:v>
                </c:pt>
                <c:pt idx="21">
                  <c:v>1444.4</c:v>
                </c:pt>
                <c:pt idx="22">
                  <c:v>888.3</c:v>
                </c:pt>
                <c:pt idx="23">
                  <c:v>1198.7</c:v>
                </c:pt>
                <c:pt idx="24">
                  <c:v>1422</c:v>
                </c:pt>
                <c:pt idx="25">
                  <c:v>1436.6</c:v>
                </c:pt>
                <c:pt idx="26">
                  <c:v>995.8</c:v>
                </c:pt>
                <c:pt idx="27">
                  <c:v>1390.1</c:v>
                </c:pt>
                <c:pt idx="28">
                  <c:v>1555.8</c:v>
                </c:pt>
                <c:pt idx="29">
                  <c:v>1449.3</c:v>
                </c:pt>
                <c:pt idx="30">
                  <c:v>1361.7</c:v>
                </c:pt>
                <c:pt idx="31">
                  <c:v>1896.3</c:v>
                </c:pt>
                <c:pt idx="32">
                  <c:v>2120.3000000000002</c:v>
                </c:pt>
                <c:pt idx="33">
                  <c:v>1947.2</c:v>
                </c:pt>
                <c:pt idx="34">
                  <c:v>1688.8</c:v>
                </c:pt>
                <c:pt idx="35">
                  <c:v>1952.4</c:v>
                </c:pt>
                <c:pt idx="36">
                  <c:v>1771.1</c:v>
                </c:pt>
                <c:pt idx="37">
                  <c:v>1501.6</c:v>
                </c:pt>
                <c:pt idx="38">
                  <c:v>1117.5999999999999</c:v>
                </c:pt>
                <c:pt idx="39">
                  <c:v>1300</c:v>
                </c:pt>
                <c:pt idx="40">
                  <c:v>1253.5999999999999</c:v>
                </c:pt>
                <c:pt idx="41">
                  <c:v>1368.1</c:v>
                </c:pt>
                <c:pt idx="42">
                  <c:v>848.1</c:v>
                </c:pt>
                <c:pt idx="43">
                  <c:v>1386</c:v>
                </c:pt>
                <c:pt idx="44">
                  <c:v>1271.8</c:v>
                </c:pt>
                <c:pt idx="45">
                  <c:v>1121.2</c:v>
                </c:pt>
                <c:pt idx="46">
                  <c:v>898.6</c:v>
                </c:pt>
                <c:pt idx="47">
                  <c:v>1103.3</c:v>
                </c:pt>
                <c:pt idx="48">
                  <c:v>1232.7</c:v>
                </c:pt>
                <c:pt idx="49">
                  <c:v>1240.2</c:v>
                </c:pt>
                <c:pt idx="50">
                  <c:v>994.8</c:v>
                </c:pt>
                <c:pt idx="51">
                  <c:v>1376.4</c:v>
                </c:pt>
                <c:pt idx="52">
                  <c:v>1257.9000000000001</c:v>
                </c:pt>
                <c:pt idx="53">
                  <c:v>1183.9000000000001</c:v>
                </c:pt>
                <c:pt idx="54">
                  <c:v>1117.5</c:v>
                </c:pt>
                <c:pt idx="55">
                  <c:v>1616.2</c:v>
                </c:pt>
                <c:pt idx="56">
                  <c:v>1452.4</c:v>
                </c:pt>
                <c:pt idx="57">
                  <c:v>1409.8</c:v>
                </c:pt>
                <c:pt idx="58">
                  <c:v>1221.9000000000001</c:v>
                </c:pt>
                <c:pt idx="59">
                  <c:v>1701</c:v>
                </c:pt>
                <c:pt idx="60">
                  <c:v>1778.6</c:v>
                </c:pt>
                <c:pt idx="61">
                  <c:v>1545.2</c:v>
                </c:pt>
                <c:pt idx="62">
                  <c:v>1460.4</c:v>
                </c:pt>
                <c:pt idx="63">
                  <c:v>1755.9</c:v>
                </c:pt>
                <c:pt idx="64">
                  <c:v>1664.5</c:v>
                </c:pt>
                <c:pt idx="65">
                  <c:v>1798</c:v>
                </c:pt>
                <c:pt idx="66">
                  <c:v>1447</c:v>
                </c:pt>
                <c:pt idx="67">
                  <c:v>1644.8</c:v>
                </c:pt>
                <c:pt idx="68">
                  <c:v>1916.3</c:v>
                </c:pt>
                <c:pt idx="69">
                  <c:v>1958.4</c:v>
                </c:pt>
                <c:pt idx="70">
                  <c:v>1915.4</c:v>
                </c:pt>
                <c:pt idx="71">
                  <c:v>2536.5</c:v>
                </c:pt>
                <c:pt idx="72">
                  <c:v>2462.3000000000002</c:v>
                </c:pt>
                <c:pt idx="73">
                  <c:v>2175.9</c:v>
                </c:pt>
                <c:pt idx="74">
                  <c:v>1824.6</c:v>
                </c:pt>
                <c:pt idx="75">
                  <c:v>2232.6999999999998</c:v>
                </c:pt>
                <c:pt idx="76">
                  <c:v>2133.6</c:v>
                </c:pt>
                <c:pt idx="77">
                  <c:v>2057.5</c:v>
                </c:pt>
                <c:pt idx="78">
                  <c:v>1822.9</c:v>
                </c:pt>
                <c:pt idx="79">
                  <c:v>2116.1999999999998</c:v>
                </c:pt>
                <c:pt idx="80">
                  <c:v>1981.3</c:v>
                </c:pt>
                <c:pt idx="81">
                  <c:v>1903.5</c:v>
                </c:pt>
                <c:pt idx="82">
                  <c:v>1494.4</c:v>
                </c:pt>
                <c:pt idx="83">
                  <c:v>1956.8</c:v>
                </c:pt>
                <c:pt idx="84">
                  <c:v>1920.8</c:v>
                </c:pt>
                <c:pt idx="85">
                  <c:v>1747.8</c:v>
                </c:pt>
                <c:pt idx="86">
                  <c:v>1621.5</c:v>
                </c:pt>
                <c:pt idx="87">
                  <c:v>2280.1</c:v>
                </c:pt>
                <c:pt idx="88">
                  <c:v>2227.6</c:v>
                </c:pt>
                <c:pt idx="89">
                  <c:v>2164.5</c:v>
                </c:pt>
              </c:numCache>
            </c:numRef>
          </c:val>
          <c:extLst>
            <c:ext xmlns:c16="http://schemas.microsoft.com/office/drawing/2014/chart" uri="{C3380CC4-5D6E-409C-BE32-E72D297353CC}">
              <c16:uniqueId val="{00000001-2A9B-4A8B-A491-267FCEA62B2B}"/>
            </c:ext>
          </c:extLst>
        </c:ser>
        <c:dLbls>
          <c:showLegendKey val="0"/>
          <c:showVal val="0"/>
          <c:showCatName val="0"/>
          <c:showSerName val="0"/>
          <c:showPercent val="0"/>
          <c:showBubbleSize val="0"/>
        </c:dLbls>
        <c:axId val="429845888"/>
        <c:axId val="430315008"/>
      </c:areaChart>
      <c:dateAx>
        <c:axId val="429845888"/>
        <c:scaling>
          <c:orientation val="minMax"/>
          <c:min val="39417"/>
        </c:scaling>
        <c:delete val="0"/>
        <c:axPos val="b"/>
        <c:title>
          <c:tx>
            <c:rich>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r>
                  <a:rPr lang="en-AU" sz="900" b="1"/>
                  <a:t>Source: ABS</a:t>
                </a:r>
              </a:p>
            </c:rich>
          </c:tx>
          <c:layout>
            <c:manualLayout>
              <c:xMode val="edge"/>
              <c:yMode val="edge"/>
              <c:x val="6.6421736918875554E-3"/>
              <c:y val="0.96207462439288116"/>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title>
        <c:numFmt formatCode="mmm\-yyyy" sourceLinked="1"/>
        <c:majorTickMark val="out"/>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n-US"/>
          </a:p>
        </c:txPr>
        <c:crossAx val="430315008"/>
        <c:crosses val="autoZero"/>
        <c:auto val="1"/>
        <c:lblOffset val="100"/>
        <c:baseTimeUnit val="months"/>
        <c:majorUnit val="6"/>
        <c:majorTimeUnit val="months"/>
      </c:dateAx>
      <c:valAx>
        <c:axId val="430315008"/>
        <c:scaling>
          <c:orientation val="minMax"/>
          <c:min val="0"/>
        </c:scaling>
        <c:delete val="0"/>
        <c:axPos val="l"/>
        <c:majorGridlines>
          <c:spPr>
            <a:ln w="9525" cap="flat" cmpd="sng" algn="ctr">
              <a:solidFill>
                <a:srgbClr val="868686"/>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AU" b="1"/>
                  <a:t>'000 metres</a:t>
                </a:r>
              </a:p>
            </c:rich>
          </c:tx>
          <c:layout>
            <c:manualLayout>
              <c:xMode val="edge"/>
              <c:yMode val="edge"/>
              <c:x val="3.3742379984759963E-3"/>
              <c:y val="0.46773247271984741"/>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9845888"/>
        <c:crosses val="autoZero"/>
        <c:crossBetween val="between"/>
        <c:majorUnit val="1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rgbClr val="868686"/>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AU" sz="1300" b="1" i="0" baseline="0">
                <a:effectLst/>
              </a:rPr>
              <a:t>Petroleum Exploration Expenditure</a:t>
            </a:r>
            <a:endParaRPr lang="en-AU" sz="1300">
              <a:effectLst/>
            </a:endParaRPr>
          </a:p>
          <a:p>
            <a:pPr>
              <a:defRPr/>
            </a:pPr>
            <a:r>
              <a:rPr lang="en-AU" sz="900"/>
              <a:t>Last 10 Calendar Years</a:t>
            </a:r>
          </a:p>
        </c:rich>
      </c:tx>
      <c:overlay val="0"/>
    </c:title>
    <c:autoTitleDeleted val="0"/>
    <c:plotArea>
      <c:layout>
        <c:manualLayout>
          <c:layoutTarget val="inner"/>
          <c:xMode val="edge"/>
          <c:yMode val="edge"/>
          <c:x val="0.15330887855885483"/>
          <c:y val="0.25332034647858448"/>
          <c:w val="0.75816146475666446"/>
          <c:h val="0.5060472222222222"/>
        </c:manualLayout>
      </c:layout>
      <c:barChart>
        <c:barDir val="col"/>
        <c:grouping val="stacked"/>
        <c:varyColors val="0"/>
        <c:ser>
          <c:idx val="1"/>
          <c:order val="0"/>
          <c:tx>
            <c:v>Western Australia</c:v>
          </c:tx>
          <c:spPr>
            <a:solidFill>
              <a:srgbClr val="F79646"/>
            </a:solidFill>
          </c:spPr>
          <c:invertIfNegative val="0"/>
          <c:cat>
            <c:numRef>
              <c:f>'Pet. Exploration Expenditure'!$H$9:$H$18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Exploration Expenditure'!$I$9:$I$18</c:f>
              <c:numCache>
                <c:formatCode>#,##0.0</c:formatCode>
                <c:ptCount val="10"/>
                <c:pt idx="0">
                  <c:v>995.99999999999989</c:v>
                </c:pt>
                <c:pt idx="1">
                  <c:v>492.5</c:v>
                </c:pt>
                <c:pt idx="2">
                  <c:v>672.30000000000007</c:v>
                </c:pt>
                <c:pt idx="3">
                  <c:v>749.30000000000007</c:v>
                </c:pt>
                <c:pt idx="4">
                  <c:v>416.70000000000005</c:v>
                </c:pt>
                <c:pt idx="5">
                  <c:v>488.8</c:v>
                </c:pt>
                <c:pt idx="6">
                  <c:v>445.4</c:v>
                </c:pt>
                <c:pt idx="7">
                  <c:v>481.40000000000003</c:v>
                </c:pt>
                <c:pt idx="8">
                  <c:v>484</c:v>
                </c:pt>
                <c:pt idx="9">
                  <c:v>364.8</c:v>
                </c:pt>
              </c:numCache>
            </c:numRef>
          </c:val>
          <c:extLst>
            <c:ext xmlns:c16="http://schemas.microsoft.com/office/drawing/2014/chart" uri="{C3380CC4-5D6E-409C-BE32-E72D297353CC}">
              <c16:uniqueId val="{00000000-AC57-4E1E-B152-329C3F76F78B}"/>
            </c:ext>
          </c:extLst>
        </c:ser>
        <c:ser>
          <c:idx val="2"/>
          <c:order val="1"/>
          <c:tx>
            <c:v>Rest of Australia</c:v>
          </c:tx>
          <c:spPr>
            <a:solidFill>
              <a:srgbClr val="FAC090"/>
            </a:solidFill>
          </c:spPr>
          <c:invertIfNegative val="0"/>
          <c:cat>
            <c:numRef>
              <c:f>'Pet. Exploration Expenditure'!$H$9:$H$18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Exploration Expenditure'!$J$9:$J$18</c:f>
              <c:numCache>
                <c:formatCode>#,##0.0</c:formatCode>
                <c:ptCount val="10"/>
                <c:pt idx="0">
                  <c:v>405.70000000000016</c:v>
                </c:pt>
                <c:pt idx="1">
                  <c:v>721.7</c:v>
                </c:pt>
                <c:pt idx="2">
                  <c:v>487.39999999999975</c:v>
                </c:pt>
                <c:pt idx="3">
                  <c:v>635.4</c:v>
                </c:pt>
                <c:pt idx="4">
                  <c:v>577.99999999999989</c:v>
                </c:pt>
                <c:pt idx="5">
                  <c:v>642.29999999999995</c:v>
                </c:pt>
                <c:pt idx="6">
                  <c:v>525.40000000000009</c:v>
                </c:pt>
                <c:pt idx="7">
                  <c:v>579.5</c:v>
                </c:pt>
                <c:pt idx="8">
                  <c:v>931.8</c:v>
                </c:pt>
                <c:pt idx="9">
                  <c:v>1242.8</c:v>
                </c:pt>
              </c:numCache>
            </c:numRef>
          </c:val>
          <c:extLst>
            <c:ext xmlns:c16="http://schemas.microsoft.com/office/drawing/2014/chart" uri="{C3380CC4-5D6E-409C-BE32-E72D297353CC}">
              <c16:uniqueId val="{00000001-AC57-4E1E-B152-329C3F76F78B}"/>
            </c:ext>
          </c:extLst>
        </c:ser>
        <c:dLbls>
          <c:showLegendKey val="0"/>
          <c:showVal val="0"/>
          <c:showCatName val="0"/>
          <c:showSerName val="0"/>
          <c:showPercent val="0"/>
          <c:showBubbleSize val="0"/>
        </c:dLbls>
        <c:gapWidth val="150"/>
        <c:overlap val="100"/>
        <c:axId val="430611072"/>
        <c:axId val="430617344"/>
      </c:barChart>
      <c:lineChart>
        <c:grouping val="standard"/>
        <c:varyColors val="0"/>
        <c:ser>
          <c:idx val="0"/>
          <c:order val="2"/>
          <c:tx>
            <c:strRef>
              <c:f>'Pet. Exploration Expenditure'!$L$8</c:f>
              <c:strCache>
                <c:ptCount val="1"/>
                <c:pt idx="0">
                  <c:v>Western Australia Share of Australia</c:v>
                </c:pt>
              </c:strCache>
            </c:strRef>
          </c:tx>
          <c:spPr>
            <a:ln w="28575"/>
          </c:spPr>
          <c:marker>
            <c:symbol val="none"/>
          </c:marker>
          <c:cat>
            <c:numRef>
              <c:f>'Pet. Exploration Expenditure'!$H$9:$H$18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Exploration Expenditure'!$L$9:$L$18</c:f>
              <c:numCache>
                <c:formatCode>0%</c:formatCode>
                <c:ptCount val="10"/>
                <c:pt idx="0">
                  <c:v>0.71056574159948627</c:v>
                </c:pt>
                <c:pt idx="1">
                  <c:v>0.40561686707296984</c:v>
                </c:pt>
                <c:pt idx="2">
                  <c:v>0.57971889281710798</c:v>
                </c:pt>
                <c:pt idx="3">
                  <c:v>0.54112804217520039</c:v>
                </c:pt>
                <c:pt idx="4">
                  <c:v>0.41892027747059424</c:v>
                </c:pt>
                <c:pt idx="5">
                  <c:v>0.43214569887719922</c:v>
                </c:pt>
                <c:pt idx="6">
                  <c:v>0.45879686856201068</c:v>
                </c:pt>
                <c:pt idx="7">
                  <c:v>0.45376567065698936</c:v>
                </c:pt>
                <c:pt idx="8">
                  <c:v>0.34185619437773695</c:v>
                </c:pt>
                <c:pt idx="9">
                  <c:v>0.22692211993033096</c:v>
                </c:pt>
              </c:numCache>
            </c:numRef>
          </c:val>
          <c:smooth val="0"/>
          <c:extLst>
            <c:ext xmlns:c16="http://schemas.microsoft.com/office/drawing/2014/chart" uri="{C3380CC4-5D6E-409C-BE32-E72D297353CC}">
              <c16:uniqueId val="{00000002-AC57-4E1E-B152-329C3F76F78B}"/>
            </c:ext>
          </c:extLst>
        </c:ser>
        <c:dLbls>
          <c:showLegendKey val="0"/>
          <c:showVal val="0"/>
          <c:showCatName val="0"/>
          <c:showSerName val="0"/>
          <c:showPercent val="0"/>
          <c:showBubbleSize val="0"/>
        </c:dLbls>
        <c:marker val="1"/>
        <c:smooth val="0"/>
        <c:axId val="1338702792"/>
        <c:axId val="1338708368"/>
      </c:lineChart>
      <c:catAx>
        <c:axId val="430611072"/>
        <c:scaling>
          <c:orientation val="minMax"/>
        </c:scaling>
        <c:delete val="0"/>
        <c:axPos val="b"/>
        <c:title>
          <c:tx>
            <c:rich>
              <a:bodyPr/>
              <a:lstStyle/>
              <a:p>
                <a:pPr>
                  <a:defRPr sz="900"/>
                </a:pPr>
                <a:r>
                  <a:rPr lang="en-AU" sz="900"/>
                  <a:t>Source: ABS</a:t>
                </a:r>
              </a:p>
            </c:rich>
          </c:tx>
          <c:layout>
            <c:manualLayout>
              <c:xMode val="edge"/>
              <c:yMode val="edge"/>
              <c:x val="1.4153294129373068E-2"/>
              <c:y val="0.93897871722397885"/>
            </c:manualLayout>
          </c:layout>
          <c:overlay val="0"/>
        </c:title>
        <c:numFmt formatCode="General" sourceLinked="1"/>
        <c:majorTickMark val="out"/>
        <c:minorTickMark val="none"/>
        <c:tickLblPos val="nextTo"/>
        <c:txPr>
          <a:bodyPr rot="-2700000"/>
          <a:lstStyle/>
          <a:p>
            <a:pPr>
              <a:defRPr/>
            </a:pPr>
            <a:endParaRPr lang="en-US"/>
          </a:p>
        </c:txPr>
        <c:crossAx val="430617344"/>
        <c:crosses val="autoZero"/>
        <c:auto val="1"/>
        <c:lblAlgn val="ctr"/>
        <c:lblOffset val="100"/>
        <c:noMultiLvlLbl val="0"/>
      </c:catAx>
      <c:valAx>
        <c:axId val="430617344"/>
        <c:scaling>
          <c:orientation val="minMax"/>
          <c:max val="2000"/>
        </c:scaling>
        <c:delete val="0"/>
        <c:axPos val="l"/>
        <c:majorGridlines/>
        <c:title>
          <c:tx>
            <c:rich>
              <a:bodyPr rot="-5400000" vert="horz"/>
              <a:lstStyle/>
              <a:p>
                <a:pPr>
                  <a:defRPr/>
                </a:pPr>
                <a:r>
                  <a:rPr lang="en-AU"/>
                  <a:t>$ Million</a:t>
                </a:r>
              </a:p>
            </c:rich>
          </c:tx>
          <c:layout>
            <c:manualLayout>
              <c:xMode val="edge"/>
              <c:yMode val="edge"/>
              <c:x val="2.1419009370816599E-2"/>
              <c:y val="0.46282599859119744"/>
            </c:manualLayout>
          </c:layout>
          <c:overlay val="0"/>
        </c:title>
        <c:numFmt formatCode="#,##0" sourceLinked="0"/>
        <c:majorTickMark val="out"/>
        <c:minorTickMark val="none"/>
        <c:tickLblPos val="nextTo"/>
        <c:crossAx val="430611072"/>
        <c:crosses val="autoZero"/>
        <c:crossBetween val="between"/>
        <c:majorUnit val="500"/>
      </c:valAx>
      <c:valAx>
        <c:axId val="1338708368"/>
        <c:scaling>
          <c:orientation val="minMax"/>
          <c:max val="1"/>
          <c:min val="0"/>
        </c:scaling>
        <c:delete val="0"/>
        <c:axPos val="r"/>
        <c:numFmt formatCode="0%" sourceLinked="1"/>
        <c:majorTickMark val="out"/>
        <c:minorTickMark val="none"/>
        <c:tickLblPos val="nextTo"/>
        <c:crossAx val="1338702792"/>
        <c:crosses val="max"/>
        <c:crossBetween val="between"/>
        <c:majorUnit val="0.25"/>
      </c:valAx>
      <c:catAx>
        <c:axId val="1338702792"/>
        <c:scaling>
          <c:orientation val="minMax"/>
        </c:scaling>
        <c:delete val="1"/>
        <c:axPos val="b"/>
        <c:numFmt formatCode="General" sourceLinked="1"/>
        <c:majorTickMark val="out"/>
        <c:minorTickMark val="none"/>
        <c:tickLblPos val="nextTo"/>
        <c:crossAx val="1338708368"/>
        <c:crosses val="autoZero"/>
        <c:auto val="1"/>
        <c:lblAlgn val="ctr"/>
        <c:lblOffset val="100"/>
        <c:noMultiLvlLbl val="0"/>
      </c:catAx>
    </c:plotArea>
    <c:legend>
      <c:legendPos val="t"/>
      <c:layout>
        <c:manualLayout>
          <c:xMode val="edge"/>
          <c:yMode val="edge"/>
          <c:x val="8.0321285140562242E-3"/>
          <c:y val="0.1316754938985327"/>
          <c:w val="0.96799994130066991"/>
          <c:h val="6.3792500000000002E-2"/>
        </c:manualLayout>
      </c:layout>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AU" sz="1300"/>
              <a:t>Petroleum Exploration Expenditure</a:t>
            </a:r>
          </a:p>
          <a:p>
            <a:pPr>
              <a:defRPr/>
            </a:pPr>
            <a:r>
              <a:rPr lang="en-AU" sz="900"/>
              <a:t>Last 10 Financial Years</a:t>
            </a:r>
          </a:p>
        </c:rich>
      </c:tx>
      <c:overlay val="0"/>
    </c:title>
    <c:autoTitleDeleted val="0"/>
    <c:plotArea>
      <c:layout>
        <c:manualLayout>
          <c:layoutTarget val="inner"/>
          <c:xMode val="edge"/>
          <c:yMode val="edge"/>
          <c:x val="0.15148377286172562"/>
          <c:y val="0.25713821709913137"/>
          <c:w val="0.76104049493813275"/>
          <c:h val="0.51246595787785487"/>
        </c:manualLayout>
      </c:layout>
      <c:barChart>
        <c:barDir val="col"/>
        <c:grouping val="stacked"/>
        <c:varyColors val="0"/>
        <c:ser>
          <c:idx val="1"/>
          <c:order val="0"/>
          <c:tx>
            <c:v>Western Australia</c:v>
          </c:tx>
          <c:spPr>
            <a:solidFill>
              <a:srgbClr val="F79646"/>
            </a:solidFill>
          </c:spPr>
          <c:invertIfNegative val="0"/>
          <c:dPt>
            <c:idx val="9"/>
            <c:invertIfNegative val="0"/>
            <c:bubble3D val="0"/>
            <c:extLst>
              <c:ext xmlns:c16="http://schemas.microsoft.com/office/drawing/2014/chart" uri="{C3380CC4-5D6E-409C-BE32-E72D297353CC}">
                <c16:uniqueId val="{00000000-E133-48C8-9BF5-0DC4DE338F25}"/>
              </c:ext>
            </c:extLst>
          </c:dPt>
          <c:cat>
            <c:strRef>
              <c:f>'Pet. Exploration Expenditure'!$N$9:$N$18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Exploration Expenditure'!$O$9:$O$18</c:f>
              <c:numCache>
                <c:formatCode>#,##0.0</c:formatCode>
                <c:ptCount val="10"/>
                <c:pt idx="0">
                  <c:v>1297.4000000000001</c:v>
                </c:pt>
                <c:pt idx="1">
                  <c:v>651.5</c:v>
                </c:pt>
                <c:pt idx="2">
                  <c:v>562.29999999999995</c:v>
                </c:pt>
                <c:pt idx="3">
                  <c:v>734.3</c:v>
                </c:pt>
                <c:pt idx="4">
                  <c:v>595.5</c:v>
                </c:pt>
                <c:pt idx="5">
                  <c:v>441.90000000000003</c:v>
                </c:pt>
                <c:pt idx="6">
                  <c:v>567</c:v>
                </c:pt>
                <c:pt idx="7">
                  <c:v>354.29999999999995</c:v>
                </c:pt>
                <c:pt idx="8">
                  <c:v>568.70000000000005</c:v>
                </c:pt>
                <c:pt idx="9">
                  <c:v>352.70000000000005</c:v>
                </c:pt>
              </c:numCache>
            </c:numRef>
          </c:val>
          <c:extLst>
            <c:ext xmlns:c16="http://schemas.microsoft.com/office/drawing/2014/chart" uri="{C3380CC4-5D6E-409C-BE32-E72D297353CC}">
              <c16:uniqueId val="{00000001-E133-48C8-9BF5-0DC4DE338F25}"/>
            </c:ext>
          </c:extLst>
        </c:ser>
        <c:ser>
          <c:idx val="2"/>
          <c:order val="1"/>
          <c:tx>
            <c:v>Rest of Australia</c:v>
          </c:tx>
          <c:spPr>
            <a:solidFill>
              <a:srgbClr val="FAC090"/>
            </a:solidFill>
          </c:spPr>
          <c:invertIfNegative val="0"/>
          <c:dPt>
            <c:idx val="9"/>
            <c:invertIfNegative val="0"/>
            <c:bubble3D val="0"/>
            <c:extLst>
              <c:ext xmlns:c16="http://schemas.microsoft.com/office/drawing/2014/chart" uri="{C3380CC4-5D6E-409C-BE32-E72D297353CC}">
                <c16:uniqueId val="{00000002-E133-48C8-9BF5-0DC4DE338F25}"/>
              </c:ext>
            </c:extLst>
          </c:dPt>
          <c:cat>
            <c:strRef>
              <c:f>'Pet. Exploration Expenditure'!$N$9:$N$18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Exploration Expenditure'!$P$9:$P$18</c:f>
              <c:numCache>
                <c:formatCode>#,##0.0</c:formatCode>
                <c:ptCount val="10"/>
                <c:pt idx="0">
                  <c:v>478.80000000000018</c:v>
                </c:pt>
                <c:pt idx="1">
                  <c:v>724.5</c:v>
                </c:pt>
                <c:pt idx="2">
                  <c:v>465.70000000000005</c:v>
                </c:pt>
                <c:pt idx="3">
                  <c:v>526.20000000000005</c:v>
                </c:pt>
                <c:pt idx="4">
                  <c:v>667.30000000000018</c:v>
                </c:pt>
                <c:pt idx="5">
                  <c:v>557.70000000000005</c:v>
                </c:pt>
                <c:pt idx="6">
                  <c:v>581</c:v>
                </c:pt>
                <c:pt idx="7">
                  <c:v>554.6</c:v>
                </c:pt>
                <c:pt idx="8">
                  <c:v>696.89999999999986</c:v>
                </c:pt>
                <c:pt idx="9">
                  <c:v>1013</c:v>
                </c:pt>
              </c:numCache>
            </c:numRef>
          </c:val>
          <c:extLst>
            <c:ext xmlns:c16="http://schemas.microsoft.com/office/drawing/2014/chart" uri="{C3380CC4-5D6E-409C-BE32-E72D297353CC}">
              <c16:uniqueId val="{00000003-E133-48C8-9BF5-0DC4DE338F25}"/>
            </c:ext>
          </c:extLst>
        </c:ser>
        <c:dLbls>
          <c:showLegendKey val="0"/>
          <c:showVal val="0"/>
          <c:showCatName val="0"/>
          <c:showSerName val="0"/>
          <c:showPercent val="0"/>
          <c:showBubbleSize val="0"/>
        </c:dLbls>
        <c:gapWidth val="150"/>
        <c:overlap val="100"/>
        <c:axId val="430787200"/>
        <c:axId val="430793472"/>
      </c:barChart>
      <c:lineChart>
        <c:grouping val="standard"/>
        <c:varyColors val="0"/>
        <c:ser>
          <c:idx val="0"/>
          <c:order val="2"/>
          <c:tx>
            <c:strRef>
              <c:f>'Pet. Exploration Expenditure'!$R$8</c:f>
              <c:strCache>
                <c:ptCount val="1"/>
                <c:pt idx="0">
                  <c:v>Western Australia Share of Australia</c:v>
                </c:pt>
              </c:strCache>
            </c:strRef>
          </c:tx>
          <c:spPr>
            <a:ln w="28575"/>
          </c:spPr>
          <c:marker>
            <c:symbol val="none"/>
          </c:marker>
          <c:cat>
            <c:strRef>
              <c:f>'Pet. Exploration Expenditure'!$N$9:$N$18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Exploration Expenditure'!$R$9:$R$18</c:f>
              <c:numCache>
                <c:formatCode>0%</c:formatCode>
                <c:ptCount val="10"/>
                <c:pt idx="0">
                  <c:v>0.73043576173854285</c:v>
                </c:pt>
                <c:pt idx="1">
                  <c:v>0.47347383720930231</c:v>
                </c:pt>
                <c:pt idx="2">
                  <c:v>0.54698443579766531</c:v>
                </c:pt>
                <c:pt idx="3">
                  <c:v>0.58254660848869488</c:v>
                </c:pt>
                <c:pt idx="4">
                  <c:v>0.47157111181501421</c:v>
                </c:pt>
                <c:pt idx="5">
                  <c:v>0.44207683073229292</c:v>
                </c:pt>
                <c:pt idx="6">
                  <c:v>0.49390243902439024</c:v>
                </c:pt>
                <c:pt idx="7">
                  <c:v>0.38981186049070299</c:v>
                </c:pt>
                <c:pt idx="8">
                  <c:v>0.44935208596713028</c:v>
                </c:pt>
                <c:pt idx="9">
                  <c:v>0.25825583949622904</c:v>
                </c:pt>
              </c:numCache>
            </c:numRef>
          </c:val>
          <c:smooth val="0"/>
          <c:extLst>
            <c:ext xmlns:c16="http://schemas.microsoft.com/office/drawing/2014/chart" uri="{C3380CC4-5D6E-409C-BE32-E72D297353CC}">
              <c16:uniqueId val="{00000004-E133-48C8-9BF5-0DC4DE338F25}"/>
            </c:ext>
          </c:extLst>
        </c:ser>
        <c:dLbls>
          <c:showLegendKey val="0"/>
          <c:showVal val="0"/>
          <c:showCatName val="0"/>
          <c:showSerName val="0"/>
          <c:showPercent val="0"/>
          <c:showBubbleSize val="0"/>
        </c:dLbls>
        <c:marker val="1"/>
        <c:smooth val="0"/>
        <c:axId val="1289498608"/>
        <c:axId val="1289498280"/>
      </c:lineChart>
      <c:catAx>
        <c:axId val="430787200"/>
        <c:scaling>
          <c:orientation val="minMax"/>
        </c:scaling>
        <c:delete val="0"/>
        <c:axPos val="b"/>
        <c:title>
          <c:tx>
            <c:rich>
              <a:bodyPr/>
              <a:lstStyle/>
              <a:p>
                <a:pPr>
                  <a:defRPr sz="900"/>
                </a:pPr>
                <a:r>
                  <a:rPr lang="en-AU" sz="900"/>
                  <a:t>Source: ABS</a:t>
                </a:r>
              </a:p>
            </c:rich>
          </c:tx>
          <c:layout>
            <c:manualLayout>
              <c:xMode val="edge"/>
              <c:yMode val="edge"/>
              <c:x val="1.15777194517352E-2"/>
              <c:y val="0.94943916302274811"/>
            </c:manualLayout>
          </c:layout>
          <c:overlay val="0"/>
        </c:title>
        <c:numFmt formatCode="General" sourceLinked="1"/>
        <c:majorTickMark val="out"/>
        <c:minorTickMark val="none"/>
        <c:tickLblPos val="nextTo"/>
        <c:crossAx val="430793472"/>
        <c:crosses val="autoZero"/>
        <c:auto val="1"/>
        <c:lblAlgn val="ctr"/>
        <c:lblOffset val="100"/>
        <c:noMultiLvlLbl val="0"/>
      </c:catAx>
      <c:valAx>
        <c:axId val="430793472"/>
        <c:scaling>
          <c:orientation val="minMax"/>
          <c:max val="2000"/>
        </c:scaling>
        <c:delete val="0"/>
        <c:axPos val="l"/>
        <c:majorGridlines/>
        <c:title>
          <c:tx>
            <c:rich>
              <a:bodyPr rot="-5400000" vert="horz"/>
              <a:lstStyle/>
              <a:p>
                <a:pPr>
                  <a:defRPr/>
                </a:pPr>
                <a:r>
                  <a:rPr lang="en-AU"/>
                  <a:t>$ Million</a:t>
                </a:r>
              </a:p>
            </c:rich>
          </c:tx>
          <c:layout>
            <c:manualLayout>
              <c:xMode val="edge"/>
              <c:yMode val="edge"/>
              <c:x val="2.1164021164021163E-2"/>
              <c:y val="0.43243137503254453"/>
            </c:manualLayout>
          </c:layout>
          <c:overlay val="0"/>
        </c:title>
        <c:numFmt formatCode="#,##0" sourceLinked="0"/>
        <c:majorTickMark val="out"/>
        <c:minorTickMark val="none"/>
        <c:tickLblPos val="nextTo"/>
        <c:crossAx val="430787200"/>
        <c:crosses val="autoZero"/>
        <c:crossBetween val="between"/>
        <c:majorUnit val="500"/>
      </c:valAx>
      <c:valAx>
        <c:axId val="1289498280"/>
        <c:scaling>
          <c:orientation val="minMax"/>
          <c:max val="1"/>
          <c:min val="0"/>
        </c:scaling>
        <c:delete val="0"/>
        <c:axPos val="r"/>
        <c:numFmt formatCode="0%" sourceLinked="1"/>
        <c:majorTickMark val="out"/>
        <c:minorTickMark val="none"/>
        <c:tickLblPos val="nextTo"/>
        <c:crossAx val="1289498608"/>
        <c:crosses val="max"/>
        <c:crossBetween val="between"/>
        <c:majorUnit val="0.25"/>
      </c:valAx>
      <c:catAx>
        <c:axId val="1289498608"/>
        <c:scaling>
          <c:orientation val="minMax"/>
        </c:scaling>
        <c:delete val="1"/>
        <c:axPos val="b"/>
        <c:numFmt formatCode="General" sourceLinked="1"/>
        <c:majorTickMark val="out"/>
        <c:minorTickMark val="none"/>
        <c:tickLblPos val="nextTo"/>
        <c:crossAx val="1289498280"/>
        <c:crosses val="autoZero"/>
        <c:auto val="1"/>
        <c:lblAlgn val="ctr"/>
        <c:lblOffset val="100"/>
        <c:noMultiLvlLbl val="0"/>
      </c:catAx>
    </c:plotArea>
    <c:legend>
      <c:legendPos val="t"/>
      <c:layout>
        <c:manualLayout>
          <c:xMode val="edge"/>
          <c:yMode val="edge"/>
          <c:x val="7.2278465191850929E-3"/>
          <c:y val="0.13266082810862603"/>
          <c:w val="0.99277215348081493"/>
          <c:h val="7.8079593700898481E-2"/>
        </c:manualLayout>
      </c:layout>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lgn="ctr">
              <a:defRPr sz="1800" b="1" i="0" u="none" strike="noStrike" kern="1200" baseline="0">
                <a:solidFill>
                  <a:schemeClr val="tx1"/>
                </a:solidFill>
                <a:latin typeface="+mn-lt"/>
                <a:ea typeface="+mn-ea"/>
                <a:cs typeface="+mn-cs"/>
              </a:defRPr>
            </a:pPr>
            <a:r>
              <a:rPr lang="en-AU" sz="1300" b="1" i="0" u="none" strike="noStrike" baseline="0">
                <a:effectLst/>
              </a:rPr>
              <a:t>Australia Petroleum Exploration Expenditure By Location</a:t>
            </a:r>
            <a:br>
              <a:rPr lang="en-AU" sz="1300" b="1" i="0" u="none" strike="noStrike" baseline="0">
                <a:effectLst/>
              </a:rPr>
            </a:br>
            <a:r>
              <a:rPr lang="en-AU" sz="900"/>
              <a:t>Last 10 Financial</a:t>
            </a:r>
            <a:r>
              <a:rPr lang="en-AU" sz="900" baseline="0"/>
              <a:t> Y</a:t>
            </a:r>
            <a:r>
              <a:rPr lang="en-AU" sz="900"/>
              <a:t>ears</a:t>
            </a:r>
          </a:p>
        </c:rich>
      </c:tx>
      <c:layout>
        <c:manualLayout>
          <c:xMode val="edge"/>
          <c:yMode val="edge"/>
          <c:x val="0.27304361858372905"/>
          <c:y val="2.651515863267799E-2"/>
        </c:manualLayout>
      </c:layout>
      <c:overlay val="0"/>
      <c:spPr>
        <a:noFill/>
        <a:ln>
          <a:noFill/>
        </a:ln>
        <a:effectLst/>
      </c:spPr>
      <c:txPr>
        <a:bodyPr rot="0" spcFirstLastPara="1" vertOverflow="ellipsis" vert="horz" wrap="square" anchor="ctr" anchorCtr="1"/>
        <a:lstStyle/>
        <a:p>
          <a:pPr algn="ct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0997529170916298"/>
          <c:y val="0.21265407760339713"/>
          <c:w val="0.84473712128115686"/>
          <c:h val="0.65751170872162934"/>
        </c:manualLayout>
      </c:layout>
      <c:barChart>
        <c:barDir val="col"/>
        <c:grouping val="stacked"/>
        <c:varyColors val="0"/>
        <c:ser>
          <c:idx val="3"/>
          <c:order val="0"/>
          <c:tx>
            <c:v>Onshore drilling</c:v>
          </c:tx>
          <c:spPr>
            <a:solidFill>
              <a:schemeClr val="accent6">
                <a:tint val="77000"/>
              </a:schemeClr>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Location'!$X$9:$X$18</c:f>
              <c:numCache>
                <c:formatCode>#,##0.0_ ;\-#,##0.0\ </c:formatCode>
                <c:ptCount val="10"/>
                <c:pt idx="0">
                  <c:v>240.49999999999997</c:v>
                </c:pt>
                <c:pt idx="1">
                  <c:v>244.5</c:v>
                </c:pt>
                <c:pt idx="2">
                  <c:v>206.2</c:v>
                </c:pt>
                <c:pt idx="3">
                  <c:v>298.5</c:v>
                </c:pt>
                <c:pt idx="4">
                  <c:v>474.1</c:v>
                </c:pt>
                <c:pt idx="5">
                  <c:v>389.09999999999997</c:v>
                </c:pt>
                <c:pt idx="6">
                  <c:v>441.90000000000003</c:v>
                </c:pt>
                <c:pt idx="7">
                  <c:v>344.4</c:v>
                </c:pt>
                <c:pt idx="8">
                  <c:v>498.4</c:v>
                </c:pt>
                <c:pt idx="9">
                  <c:v>456.19999999999993</c:v>
                </c:pt>
              </c:numCache>
            </c:numRef>
          </c:val>
          <c:extLst>
            <c:ext xmlns:c16="http://schemas.microsoft.com/office/drawing/2014/chart" uri="{C3380CC4-5D6E-409C-BE32-E72D297353CC}">
              <c16:uniqueId val="{00000000-FBBC-4CF6-A388-04E070EE3DB3}"/>
            </c:ext>
          </c:extLst>
        </c:ser>
        <c:ser>
          <c:idx val="0"/>
          <c:order val="1"/>
          <c:tx>
            <c:v>Onshore other</c:v>
          </c:tx>
          <c:spPr>
            <a:solidFill>
              <a:schemeClr val="accent6">
                <a:shade val="53000"/>
              </a:schemeClr>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Location'!$Y$9:$Y$18</c:f>
              <c:numCache>
                <c:formatCode>#,##0.0_ ;\-#,##0.0\ </c:formatCode>
                <c:ptCount val="10"/>
                <c:pt idx="0">
                  <c:v>249</c:v>
                </c:pt>
                <c:pt idx="1">
                  <c:v>190.20000000000002</c:v>
                </c:pt>
                <c:pt idx="2">
                  <c:v>144.4</c:v>
                </c:pt>
                <c:pt idx="3">
                  <c:v>140.70000000000002</c:v>
                </c:pt>
                <c:pt idx="4">
                  <c:v>194.7</c:v>
                </c:pt>
                <c:pt idx="5">
                  <c:v>240.1</c:v>
                </c:pt>
                <c:pt idx="6">
                  <c:v>239.09999999999997</c:v>
                </c:pt>
                <c:pt idx="7">
                  <c:v>250.1</c:v>
                </c:pt>
                <c:pt idx="8">
                  <c:v>312.5</c:v>
                </c:pt>
                <c:pt idx="9">
                  <c:v>390.1</c:v>
                </c:pt>
              </c:numCache>
            </c:numRef>
          </c:val>
          <c:extLst>
            <c:ext xmlns:c16="http://schemas.microsoft.com/office/drawing/2014/chart" uri="{C3380CC4-5D6E-409C-BE32-E72D297353CC}">
              <c16:uniqueId val="{00000001-FBBC-4CF6-A388-04E070EE3DB3}"/>
            </c:ext>
          </c:extLst>
        </c:ser>
        <c:ser>
          <c:idx val="2"/>
          <c:order val="2"/>
          <c:tx>
            <c:v>Offshore drilling</c:v>
          </c:tx>
          <c:spPr>
            <a:solidFill>
              <a:schemeClr val="accent6"/>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Location'!$AA$9:$AA$18</c:f>
              <c:numCache>
                <c:formatCode>#,##0.0_ ;\-#,##0.0\ </c:formatCode>
                <c:ptCount val="10"/>
                <c:pt idx="0">
                  <c:v>888.2</c:v>
                </c:pt>
                <c:pt idx="1">
                  <c:v>541</c:v>
                </c:pt>
                <c:pt idx="2">
                  <c:v>314.5</c:v>
                </c:pt>
                <c:pt idx="3">
                  <c:v>396.79999999999995</c:v>
                </c:pt>
                <c:pt idx="4">
                  <c:v>234.20000000000002</c:v>
                </c:pt>
                <c:pt idx="5">
                  <c:v>79.199999999999989</c:v>
                </c:pt>
                <c:pt idx="6">
                  <c:v>221.50000000000003</c:v>
                </c:pt>
                <c:pt idx="7">
                  <c:v>100.6</c:v>
                </c:pt>
                <c:pt idx="8">
                  <c:v>234.59999999999997</c:v>
                </c:pt>
                <c:pt idx="9">
                  <c:v>291.5</c:v>
                </c:pt>
              </c:numCache>
            </c:numRef>
          </c:val>
          <c:extLst>
            <c:ext xmlns:c16="http://schemas.microsoft.com/office/drawing/2014/chart" uri="{C3380CC4-5D6E-409C-BE32-E72D297353CC}">
              <c16:uniqueId val="{00000002-FBBC-4CF6-A388-04E070EE3DB3}"/>
            </c:ext>
          </c:extLst>
        </c:ser>
        <c:ser>
          <c:idx val="1"/>
          <c:order val="3"/>
          <c:tx>
            <c:v>Offshore other</c:v>
          </c:tx>
          <c:spPr>
            <a:solidFill>
              <a:schemeClr val="accent6">
                <a:shade val="76000"/>
              </a:schemeClr>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Location'!$AB$9:$AB$18</c:f>
              <c:numCache>
                <c:formatCode>#,##0.0_ ;\-#,##0.0\ </c:formatCode>
                <c:ptCount val="10"/>
                <c:pt idx="0">
                  <c:v>397.40000000000003</c:v>
                </c:pt>
                <c:pt idx="1">
                  <c:v>405.5</c:v>
                </c:pt>
                <c:pt idx="2">
                  <c:v>358.80000000000007</c:v>
                </c:pt>
                <c:pt idx="3">
                  <c:v>415.9</c:v>
                </c:pt>
                <c:pt idx="4">
                  <c:v>353</c:v>
                </c:pt>
                <c:pt idx="5">
                  <c:v>292.8</c:v>
                </c:pt>
                <c:pt idx="6">
                  <c:v>246.39999999999998</c:v>
                </c:pt>
                <c:pt idx="7">
                  <c:v>222.3</c:v>
                </c:pt>
                <c:pt idx="8">
                  <c:v>241.7</c:v>
                </c:pt>
                <c:pt idx="9">
                  <c:v>219.70000000000002</c:v>
                </c:pt>
              </c:numCache>
            </c:numRef>
          </c:val>
          <c:extLst>
            <c:ext xmlns:c16="http://schemas.microsoft.com/office/drawing/2014/chart" uri="{C3380CC4-5D6E-409C-BE32-E72D297353CC}">
              <c16:uniqueId val="{00000003-FBBC-4CF6-A388-04E070EE3DB3}"/>
            </c:ext>
          </c:extLst>
        </c:ser>
        <c:dLbls>
          <c:showLegendKey val="0"/>
          <c:showVal val="0"/>
          <c:showCatName val="0"/>
          <c:showSerName val="0"/>
          <c:showPercent val="0"/>
          <c:showBubbleSize val="0"/>
        </c:dLbls>
        <c:gapWidth val="150"/>
        <c:overlap val="100"/>
        <c:axId val="430611072"/>
        <c:axId val="430617344"/>
      </c:barChart>
      <c:lineChart>
        <c:grouping val="standard"/>
        <c:varyColors val="0"/>
        <c:ser>
          <c:idx val="4"/>
          <c:order val="4"/>
          <c:tx>
            <c:strRef>
              <c:f>'Pet. Expl. By Location'!$AD$8</c:f>
              <c:strCache>
                <c:ptCount val="1"/>
                <c:pt idx="0">
                  <c:v>Onshore Share of Australia </c:v>
                </c:pt>
              </c:strCache>
            </c:strRef>
          </c:tx>
          <c:spPr>
            <a:ln w="28575" cap="rnd" cmpd="sng" algn="ctr">
              <a:solidFill>
                <a:schemeClr val="accent6">
                  <a:tint val="54000"/>
                  <a:shade val="95000"/>
                  <a:satMod val="105000"/>
                </a:schemeClr>
              </a:solidFill>
              <a:prstDash val="solid"/>
              <a:round/>
            </a:ln>
            <a:effectLst/>
          </c:spPr>
          <c:marker>
            <c:symbol val="none"/>
          </c:marker>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Location'!$AD$9:$AD$18</c:f>
              <c:numCache>
                <c:formatCode>0%</c:formatCode>
                <c:ptCount val="10"/>
                <c:pt idx="0">
                  <c:v>0.27575911216269505</c:v>
                </c:pt>
                <c:pt idx="1">
                  <c:v>0.31467670697270295</c:v>
                </c:pt>
                <c:pt idx="2">
                  <c:v>0.34238281250000002</c:v>
                </c:pt>
                <c:pt idx="3">
                  <c:v>0.35088279939282585</c:v>
                </c:pt>
                <c:pt idx="4">
                  <c:v>0.53247890463302028</c:v>
                </c:pt>
                <c:pt idx="5">
                  <c:v>0.62853431911279845</c:v>
                </c:pt>
                <c:pt idx="6">
                  <c:v>0.59274404036888806</c:v>
                </c:pt>
                <c:pt idx="7">
                  <c:v>0.6479502834714348</c:v>
                </c:pt>
                <c:pt idx="8">
                  <c:v>0.62984541287967055</c:v>
                </c:pt>
                <c:pt idx="9">
                  <c:v>0.62342541436464083</c:v>
                </c:pt>
              </c:numCache>
            </c:numRef>
          </c:val>
          <c:smooth val="0"/>
          <c:extLst>
            <c:ext xmlns:c16="http://schemas.microsoft.com/office/drawing/2014/chart" uri="{C3380CC4-5D6E-409C-BE32-E72D297353CC}">
              <c16:uniqueId val="{00000004-FBBC-4CF6-A388-04E070EE3DB3}"/>
            </c:ext>
          </c:extLst>
        </c:ser>
        <c:dLbls>
          <c:showLegendKey val="0"/>
          <c:showVal val="0"/>
          <c:showCatName val="0"/>
          <c:showSerName val="0"/>
          <c:showPercent val="0"/>
          <c:showBubbleSize val="0"/>
        </c:dLbls>
        <c:marker val="1"/>
        <c:smooth val="0"/>
        <c:axId val="1257996704"/>
        <c:axId val="1258005232"/>
      </c:lineChart>
      <c:catAx>
        <c:axId val="43061107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3.4937506824266286E-3"/>
              <c:y val="0.95539046264202665"/>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0617344"/>
        <c:crosses val="autoZero"/>
        <c:auto val="1"/>
        <c:lblAlgn val="ctr"/>
        <c:lblOffset val="100"/>
        <c:noMultiLvlLbl val="0"/>
      </c:catAx>
      <c:valAx>
        <c:axId val="430617344"/>
        <c:scaling>
          <c:orientation val="minMax"/>
          <c:max val="2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layout>
            <c:manualLayout>
              <c:xMode val="edge"/>
              <c:yMode val="edge"/>
              <c:x val="3.3667201296904765E-2"/>
              <c:y val="0.44255169565545666"/>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0611072"/>
        <c:crosses val="autoZero"/>
        <c:crossBetween val="between"/>
        <c:majorUnit val="500"/>
      </c:valAx>
      <c:valAx>
        <c:axId val="1258005232"/>
        <c:scaling>
          <c:orientation val="minMax"/>
          <c:max val="1"/>
          <c:min val="0"/>
        </c:scaling>
        <c:delete val="0"/>
        <c:axPos val="r"/>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57996704"/>
        <c:crosses val="max"/>
        <c:crossBetween val="between"/>
        <c:majorUnit val="0.25"/>
      </c:valAx>
      <c:catAx>
        <c:axId val="1257996704"/>
        <c:scaling>
          <c:orientation val="minMax"/>
        </c:scaling>
        <c:delete val="1"/>
        <c:axPos val="b"/>
        <c:numFmt formatCode="General" sourceLinked="1"/>
        <c:majorTickMark val="out"/>
        <c:minorTickMark val="none"/>
        <c:tickLblPos val="nextTo"/>
        <c:crossAx val="1258005232"/>
        <c:crosses val="autoZero"/>
        <c:auto val="1"/>
        <c:lblAlgn val="ctr"/>
        <c:lblOffset val="100"/>
        <c:noMultiLvlLbl val="0"/>
      </c:catAx>
      <c:spPr>
        <a:solidFill>
          <a:schemeClr val="bg1"/>
        </a:solidFill>
        <a:ln>
          <a:noFill/>
        </a:ln>
        <a:effectLst/>
      </c:spPr>
    </c:plotArea>
    <c:legend>
      <c:legendPos val="t"/>
      <c:layout>
        <c:manualLayout>
          <c:xMode val="edge"/>
          <c:yMode val="edge"/>
          <c:x val="0.13588634929854626"/>
          <c:y val="0.12953989345898387"/>
          <c:w val="0.78022023423900011"/>
          <c:h val="4.7940705855829054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b="1" i="0" u="none" strike="noStrike" baseline="0">
                <a:effectLst/>
              </a:rPr>
              <a:t>Australia Petroleum Exploration Expenditure By Location</a:t>
            </a:r>
            <a:br>
              <a:rPr lang="en-AU" sz="1800" b="1" i="0" u="none" strike="noStrike" baseline="0">
                <a:effectLst/>
              </a:rPr>
            </a:br>
            <a:r>
              <a:rPr lang="en-AU" sz="900"/>
              <a:t>Last 10 Calendar Years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0256442922504816"/>
          <c:y val="0.20735104587686151"/>
          <c:w val="0.85100073143891386"/>
          <c:h val="0.65751170872162934"/>
        </c:manualLayout>
      </c:layout>
      <c:barChart>
        <c:barDir val="col"/>
        <c:grouping val="stacked"/>
        <c:varyColors val="0"/>
        <c:ser>
          <c:idx val="3"/>
          <c:order val="0"/>
          <c:tx>
            <c:v>Onshore drilling</c:v>
          </c:tx>
          <c:spPr>
            <a:solidFill>
              <a:schemeClr val="accent6">
                <a:tint val="77000"/>
              </a:schemeClr>
            </a:solidFill>
            <a:ln>
              <a:noFill/>
            </a:ln>
            <a:effectLst/>
          </c:spPr>
          <c:invertIfNegative val="0"/>
          <c:cat>
            <c:numRef>
              <c:f>'Pet. Expl. By Location'!$N$9:$N$18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 By Location'!$O$9:$O$18</c:f>
              <c:numCache>
                <c:formatCode>#,##0.0_ ;\-#,##0.0\ </c:formatCode>
                <c:ptCount val="10"/>
                <c:pt idx="0">
                  <c:v>156.9</c:v>
                </c:pt>
                <c:pt idx="1">
                  <c:v>244.59999999999997</c:v>
                </c:pt>
                <c:pt idx="2">
                  <c:v>278.39999999999998</c:v>
                </c:pt>
                <c:pt idx="3">
                  <c:v>390.9</c:v>
                </c:pt>
                <c:pt idx="4">
                  <c:v>385.7</c:v>
                </c:pt>
                <c:pt idx="5">
                  <c:v>479.5</c:v>
                </c:pt>
                <c:pt idx="6">
                  <c:v>368.4</c:v>
                </c:pt>
                <c:pt idx="7">
                  <c:v>370.09999999999997</c:v>
                </c:pt>
                <c:pt idx="8">
                  <c:v>547.20000000000005</c:v>
                </c:pt>
                <c:pt idx="9">
                  <c:v>414.4</c:v>
                </c:pt>
              </c:numCache>
            </c:numRef>
          </c:val>
          <c:extLst>
            <c:ext xmlns:c16="http://schemas.microsoft.com/office/drawing/2014/chart" uri="{C3380CC4-5D6E-409C-BE32-E72D297353CC}">
              <c16:uniqueId val="{00000000-0496-4796-84D0-122E14E2405A}"/>
            </c:ext>
          </c:extLst>
        </c:ser>
        <c:ser>
          <c:idx val="0"/>
          <c:order val="1"/>
          <c:tx>
            <c:v>Onshore other</c:v>
          </c:tx>
          <c:spPr>
            <a:solidFill>
              <a:schemeClr val="accent6">
                <a:shade val="53000"/>
              </a:schemeClr>
            </a:solidFill>
            <a:ln>
              <a:noFill/>
            </a:ln>
            <a:effectLst/>
          </c:spPr>
          <c:invertIfNegative val="0"/>
          <c:cat>
            <c:numRef>
              <c:f>'Pet. Expl. By Location'!$N$9:$N$18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 By Location'!$P$9:$P$18</c:f>
              <c:numCache>
                <c:formatCode>#,##0.0_ ;\-#,##0.0\ </c:formatCode>
                <c:ptCount val="10"/>
                <c:pt idx="0">
                  <c:v>164.6</c:v>
                </c:pt>
                <c:pt idx="1">
                  <c:v>187.3</c:v>
                </c:pt>
                <c:pt idx="2">
                  <c:v>115.49999999999999</c:v>
                </c:pt>
                <c:pt idx="3">
                  <c:v>188.7</c:v>
                </c:pt>
                <c:pt idx="4">
                  <c:v>218.8</c:v>
                </c:pt>
                <c:pt idx="5">
                  <c:v>245.5</c:v>
                </c:pt>
                <c:pt idx="6">
                  <c:v>227.89999999999998</c:v>
                </c:pt>
                <c:pt idx="7">
                  <c:v>286.60000000000002</c:v>
                </c:pt>
                <c:pt idx="8">
                  <c:v>334.9</c:v>
                </c:pt>
                <c:pt idx="9">
                  <c:v>471.70000000000005</c:v>
                </c:pt>
              </c:numCache>
            </c:numRef>
          </c:val>
          <c:extLst>
            <c:ext xmlns:c16="http://schemas.microsoft.com/office/drawing/2014/chart" uri="{C3380CC4-5D6E-409C-BE32-E72D297353CC}">
              <c16:uniqueId val="{00000001-0496-4796-84D0-122E14E2405A}"/>
            </c:ext>
          </c:extLst>
        </c:ser>
        <c:ser>
          <c:idx val="2"/>
          <c:order val="2"/>
          <c:tx>
            <c:v>Offshore drilling</c:v>
          </c:tx>
          <c:spPr>
            <a:solidFill>
              <a:schemeClr val="accent6"/>
            </a:solidFill>
            <a:ln>
              <a:noFill/>
            </a:ln>
            <a:effectLst/>
          </c:spPr>
          <c:invertIfNegative val="0"/>
          <c:cat>
            <c:numRef>
              <c:f>'Pet. Expl. By Location'!$N$9:$N$18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 By Location'!$R$9:$R$18</c:f>
              <c:numCache>
                <c:formatCode>#,##0.0_ ;\-#,##0.0\ </c:formatCode>
                <c:ptCount val="10"/>
                <c:pt idx="0">
                  <c:v>696</c:v>
                </c:pt>
                <c:pt idx="1">
                  <c:v>422.1</c:v>
                </c:pt>
                <c:pt idx="2">
                  <c:v>373.9</c:v>
                </c:pt>
                <c:pt idx="3">
                  <c:v>386.40000000000003</c:v>
                </c:pt>
                <c:pt idx="4">
                  <c:v>80.5</c:v>
                </c:pt>
                <c:pt idx="5">
                  <c:v>112</c:v>
                </c:pt>
                <c:pt idx="6">
                  <c:v>175.20000000000002</c:v>
                </c:pt>
                <c:pt idx="7">
                  <c:v>169.8</c:v>
                </c:pt>
                <c:pt idx="8">
                  <c:v>283.89999999999998</c:v>
                </c:pt>
                <c:pt idx="9">
                  <c:v>493.5</c:v>
                </c:pt>
              </c:numCache>
            </c:numRef>
          </c:val>
          <c:extLst>
            <c:ext xmlns:c16="http://schemas.microsoft.com/office/drawing/2014/chart" uri="{C3380CC4-5D6E-409C-BE32-E72D297353CC}">
              <c16:uniqueId val="{00000002-0496-4796-84D0-122E14E2405A}"/>
            </c:ext>
          </c:extLst>
        </c:ser>
        <c:ser>
          <c:idx val="1"/>
          <c:order val="3"/>
          <c:tx>
            <c:v>Offshore other</c:v>
          </c:tx>
          <c:spPr>
            <a:solidFill>
              <a:schemeClr val="accent6">
                <a:shade val="76000"/>
              </a:schemeClr>
            </a:solidFill>
            <a:ln>
              <a:noFill/>
            </a:ln>
            <a:effectLst/>
          </c:spPr>
          <c:invertIfNegative val="0"/>
          <c:cat>
            <c:numRef>
              <c:f>'Pet. Expl. By Location'!$N$9:$N$18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 By Location'!$S$9:$S$18</c:f>
              <c:numCache>
                <c:formatCode>#,##0.0_ ;\-#,##0.0\ </c:formatCode>
                <c:ptCount val="10"/>
                <c:pt idx="0">
                  <c:v>386.5</c:v>
                </c:pt>
                <c:pt idx="1">
                  <c:v>366.49999999999994</c:v>
                </c:pt>
                <c:pt idx="2">
                  <c:v>372</c:v>
                </c:pt>
                <c:pt idx="3">
                  <c:v>397.70000000000005</c:v>
                </c:pt>
                <c:pt idx="4">
                  <c:v>314.39999999999998</c:v>
                </c:pt>
                <c:pt idx="5">
                  <c:v>285</c:v>
                </c:pt>
                <c:pt idx="6">
                  <c:v>213.1</c:v>
                </c:pt>
                <c:pt idx="7">
                  <c:v>232.6</c:v>
                </c:pt>
                <c:pt idx="8">
                  <c:v>245.6</c:v>
                </c:pt>
                <c:pt idx="9">
                  <c:v>199.8</c:v>
                </c:pt>
              </c:numCache>
            </c:numRef>
          </c:val>
          <c:extLst>
            <c:ext xmlns:c16="http://schemas.microsoft.com/office/drawing/2014/chart" uri="{C3380CC4-5D6E-409C-BE32-E72D297353CC}">
              <c16:uniqueId val="{00000003-0496-4796-84D0-122E14E2405A}"/>
            </c:ext>
          </c:extLst>
        </c:ser>
        <c:dLbls>
          <c:showLegendKey val="0"/>
          <c:showVal val="0"/>
          <c:showCatName val="0"/>
          <c:showSerName val="0"/>
          <c:showPercent val="0"/>
          <c:showBubbleSize val="0"/>
        </c:dLbls>
        <c:gapWidth val="150"/>
        <c:overlap val="100"/>
        <c:axId val="430611072"/>
        <c:axId val="430617344"/>
      </c:barChart>
      <c:lineChart>
        <c:grouping val="standard"/>
        <c:varyColors val="0"/>
        <c:ser>
          <c:idx val="4"/>
          <c:order val="4"/>
          <c:tx>
            <c:strRef>
              <c:f>'Pet. Expl. By Location'!$U$8</c:f>
              <c:strCache>
                <c:ptCount val="1"/>
                <c:pt idx="0">
                  <c:v>Onshore Share of Australia </c:v>
                </c:pt>
              </c:strCache>
            </c:strRef>
          </c:tx>
          <c:spPr>
            <a:ln w="28575" cap="rnd" cmpd="sng" algn="ctr">
              <a:solidFill>
                <a:schemeClr val="accent6">
                  <a:tint val="54000"/>
                  <a:shade val="95000"/>
                  <a:satMod val="105000"/>
                </a:schemeClr>
              </a:solidFill>
              <a:prstDash val="solid"/>
              <a:round/>
            </a:ln>
            <a:effectLst/>
          </c:spPr>
          <c:marker>
            <c:symbol val="none"/>
          </c:marker>
          <c:cat>
            <c:numRef>
              <c:f>'Pet. Expl. By Location'!$N$9:$N$18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 Expl. By Location'!$U$9:$U$18</c:f>
              <c:numCache>
                <c:formatCode>0%</c:formatCode>
                <c:ptCount val="10"/>
                <c:pt idx="0">
                  <c:v>0.22893368473537998</c:v>
                </c:pt>
                <c:pt idx="1">
                  <c:v>0.35387136419500204</c:v>
                </c:pt>
                <c:pt idx="2">
                  <c:v>0.34558694507808385</c:v>
                </c:pt>
                <c:pt idx="3">
                  <c:v>0.42502016572559947</c:v>
                </c:pt>
                <c:pt idx="4">
                  <c:v>0.60492344641248874</c:v>
                </c:pt>
                <c:pt idx="5">
                  <c:v>0.64619909099010775</c:v>
                </c:pt>
                <c:pt idx="6">
                  <c:v>0.60560519902518273</c:v>
                </c:pt>
                <c:pt idx="7">
                  <c:v>0.61992445703493859</c:v>
                </c:pt>
                <c:pt idx="8">
                  <c:v>0.62484947226747889</c:v>
                </c:pt>
                <c:pt idx="9">
                  <c:v>0.56109141554824005</c:v>
                </c:pt>
              </c:numCache>
            </c:numRef>
          </c:val>
          <c:smooth val="0"/>
          <c:extLst>
            <c:ext xmlns:c16="http://schemas.microsoft.com/office/drawing/2014/chart" uri="{C3380CC4-5D6E-409C-BE32-E72D297353CC}">
              <c16:uniqueId val="{00000004-0496-4796-84D0-122E14E2405A}"/>
            </c:ext>
          </c:extLst>
        </c:ser>
        <c:dLbls>
          <c:showLegendKey val="0"/>
          <c:showVal val="0"/>
          <c:showCatName val="0"/>
          <c:showSerName val="0"/>
          <c:showPercent val="0"/>
          <c:showBubbleSize val="0"/>
        </c:dLbls>
        <c:marker val="1"/>
        <c:smooth val="0"/>
        <c:axId val="1219047664"/>
        <c:axId val="1219046680"/>
      </c:lineChart>
      <c:catAx>
        <c:axId val="43061107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3.4937258287411313E-3"/>
              <c:y val="0.9555800107438587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0617344"/>
        <c:crosses val="autoZero"/>
        <c:auto val="1"/>
        <c:lblAlgn val="ctr"/>
        <c:lblOffset val="100"/>
        <c:noMultiLvlLbl val="0"/>
      </c:catAx>
      <c:valAx>
        <c:axId val="430617344"/>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layout>
            <c:manualLayout>
              <c:xMode val="edge"/>
              <c:yMode val="edge"/>
              <c:x val="1.7997131353689154E-2"/>
              <c:y val="0.45171032625943536"/>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_ ;\-#,##0\ "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0611072"/>
        <c:crosses val="autoZero"/>
        <c:crossBetween val="between"/>
        <c:majorUnit val="500"/>
      </c:valAx>
      <c:valAx>
        <c:axId val="1219046680"/>
        <c:scaling>
          <c:orientation val="minMax"/>
          <c:max val="1"/>
          <c:min val="0"/>
        </c:scaling>
        <c:delete val="0"/>
        <c:axPos val="r"/>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19047664"/>
        <c:crosses val="max"/>
        <c:crossBetween val="between"/>
        <c:majorUnit val="0.25"/>
      </c:valAx>
      <c:catAx>
        <c:axId val="1219047664"/>
        <c:scaling>
          <c:orientation val="minMax"/>
        </c:scaling>
        <c:delete val="1"/>
        <c:axPos val="b"/>
        <c:numFmt formatCode="General" sourceLinked="1"/>
        <c:majorTickMark val="out"/>
        <c:minorTickMark val="none"/>
        <c:tickLblPos val="nextTo"/>
        <c:crossAx val="1219046680"/>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868686"/>
      </a:solidFill>
      <a:prstDash val="solid"/>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strRef>
          <c:f>'Royalties 2-years'!$U$8</c:f>
          <c:strCache>
            <c:ptCount val="1"/>
            <c:pt idx="0">
              <c:v>Royalty Receipts And North West Shelf Grants 
2025</c:v>
            </c:pt>
          </c:strCache>
        </c:strRef>
      </c:tx>
      <c:layout>
        <c:manualLayout>
          <c:xMode val="edge"/>
          <c:yMode val="edge"/>
          <c:x val="0.28270632837561971"/>
          <c:y val="2.7777687582866573E-2"/>
        </c:manualLayout>
      </c:layout>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mn-lt"/>
              <a:ea typeface="+mn-ea"/>
              <a:cs typeface="+mn-cs"/>
            </a:defRPr>
          </a:pPr>
          <a:endParaRPr lang="en-US"/>
        </a:p>
      </c:txPr>
    </c:title>
    <c:autoTitleDeleted val="0"/>
    <c:plotArea>
      <c:layout/>
      <c:ofPieChart>
        <c:ofPieType val="pie"/>
        <c:varyColors val="1"/>
        <c:ser>
          <c:idx val="0"/>
          <c:order val="0"/>
          <c:dPt>
            <c:idx val="0"/>
            <c:bubble3D val="0"/>
            <c:spPr>
              <a:solidFill>
                <a:schemeClr val="accent3">
                  <a:shade val="41000"/>
                </a:schemeClr>
              </a:solidFill>
              <a:ln w="19050">
                <a:solidFill>
                  <a:schemeClr val="lt1"/>
                </a:solidFill>
              </a:ln>
              <a:effectLst/>
            </c:spPr>
            <c:extLst>
              <c:ext xmlns:c16="http://schemas.microsoft.com/office/drawing/2014/chart" uri="{C3380CC4-5D6E-409C-BE32-E72D297353CC}">
                <c16:uniqueId val="{00000001-A0D8-4AC4-A4A5-71934D821ADE}"/>
              </c:ext>
            </c:extLst>
          </c:dPt>
          <c:dPt>
            <c:idx val="1"/>
            <c:bubble3D val="0"/>
            <c:spPr>
              <a:solidFill>
                <a:schemeClr val="accent3">
                  <a:shade val="53000"/>
                </a:schemeClr>
              </a:solidFill>
              <a:ln w="19050">
                <a:solidFill>
                  <a:schemeClr val="lt1"/>
                </a:solidFill>
              </a:ln>
              <a:effectLst/>
            </c:spPr>
            <c:extLst>
              <c:ext xmlns:c16="http://schemas.microsoft.com/office/drawing/2014/chart" uri="{C3380CC4-5D6E-409C-BE32-E72D297353CC}">
                <c16:uniqueId val="{00000003-A0D8-4AC4-A4A5-71934D821ADE}"/>
              </c:ext>
            </c:extLst>
          </c:dPt>
          <c:dPt>
            <c:idx val="2"/>
            <c:bubble3D val="0"/>
            <c:spPr>
              <a:solidFill>
                <a:schemeClr val="accent3">
                  <a:shade val="76000"/>
                </a:schemeClr>
              </a:solidFill>
              <a:ln w="19050">
                <a:solidFill>
                  <a:schemeClr val="lt1"/>
                </a:solidFill>
              </a:ln>
              <a:effectLst/>
            </c:spPr>
            <c:extLst>
              <c:ext xmlns:c16="http://schemas.microsoft.com/office/drawing/2014/chart" uri="{C3380CC4-5D6E-409C-BE32-E72D297353CC}">
                <c16:uniqueId val="{00000005-A0D8-4AC4-A4A5-71934D821ADE}"/>
              </c:ext>
            </c:extLst>
          </c:dPt>
          <c:dPt>
            <c:idx val="3"/>
            <c:bubble3D val="0"/>
            <c:spPr>
              <a:solidFill>
                <a:schemeClr val="accent3">
                  <a:shade val="88000"/>
                </a:schemeClr>
              </a:solidFill>
              <a:ln w="19050">
                <a:solidFill>
                  <a:schemeClr val="lt1"/>
                </a:solidFill>
              </a:ln>
              <a:effectLst/>
            </c:spPr>
            <c:extLst>
              <c:ext xmlns:c16="http://schemas.microsoft.com/office/drawing/2014/chart" uri="{C3380CC4-5D6E-409C-BE32-E72D297353CC}">
                <c16:uniqueId val="{00000007-A0D8-4AC4-A4A5-71934D821ADE}"/>
              </c:ext>
            </c:extLst>
          </c:dPt>
          <c:dPt>
            <c:idx val="4"/>
            <c:bubble3D val="0"/>
            <c:spPr>
              <a:solidFill>
                <a:schemeClr val="accent3"/>
              </a:solidFill>
              <a:ln w="19050">
                <a:solidFill>
                  <a:schemeClr val="lt1"/>
                </a:solidFill>
              </a:ln>
              <a:effectLst/>
            </c:spPr>
            <c:extLst>
              <c:ext xmlns:c16="http://schemas.microsoft.com/office/drawing/2014/chart" uri="{C3380CC4-5D6E-409C-BE32-E72D297353CC}">
                <c16:uniqueId val="{00000009-A0D8-4AC4-A4A5-71934D821ADE}"/>
              </c:ext>
            </c:extLst>
          </c:dPt>
          <c:dPt>
            <c:idx val="5"/>
            <c:bubble3D val="0"/>
            <c:spPr>
              <a:solidFill>
                <a:schemeClr val="accent3">
                  <a:tint val="89000"/>
                </a:schemeClr>
              </a:solidFill>
              <a:ln w="19050">
                <a:solidFill>
                  <a:schemeClr val="lt1"/>
                </a:solidFill>
              </a:ln>
              <a:effectLst/>
            </c:spPr>
            <c:extLst>
              <c:ext xmlns:c16="http://schemas.microsoft.com/office/drawing/2014/chart" uri="{C3380CC4-5D6E-409C-BE32-E72D297353CC}">
                <c16:uniqueId val="{0000000B-A0D8-4AC4-A4A5-71934D821ADE}"/>
              </c:ext>
            </c:extLst>
          </c:dPt>
          <c:dPt>
            <c:idx val="6"/>
            <c:bubble3D val="0"/>
            <c:spPr>
              <a:solidFill>
                <a:schemeClr val="accent3">
                  <a:tint val="77000"/>
                </a:schemeClr>
              </a:solidFill>
              <a:ln w="19050">
                <a:solidFill>
                  <a:schemeClr val="lt1"/>
                </a:solidFill>
              </a:ln>
              <a:effectLst/>
            </c:spPr>
            <c:extLst>
              <c:ext xmlns:c16="http://schemas.microsoft.com/office/drawing/2014/chart" uri="{C3380CC4-5D6E-409C-BE32-E72D297353CC}">
                <c16:uniqueId val="{0000000D-A0D8-4AC4-A4A5-71934D821ADE}"/>
              </c:ext>
            </c:extLst>
          </c:dPt>
          <c:dPt>
            <c:idx val="7"/>
            <c:bubble3D val="0"/>
            <c:spPr>
              <a:solidFill>
                <a:schemeClr val="accent3">
                  <a:tint val="65000"/>
                </a:schemeClr>
              </a:solidFill>
              <a:ln w="19050">
                <a:solidFill>
                  <a:schemeClr val="lt1"/>
                </a:solidFill>
              </a:ln>
              <a:effectLst/>
            </c:spPr>
            <c:extLst>
              <c:ext xmlns:c16="http://schemas.microsoft.com/office/drawing/2014/chart" uri="{C3380CC4-5D6E-409C-BE32-E72D297353CC}">
                <c16:uniqueId val="{0000000F-A0D8-4AC4-A4A5-71934D821ADE}"/>
              </c:ext>
            </c:extLst>
          </c:dPt>
          <c:dPt>
            <c:idx val="8"/>
            <c:bubble3D val="0"/>
            <c:spPr>
              <a:solidFill>
                <a:schemeClr val="accent3">
                  <a:tint val="54000"/>
                </a:schemeClr>
              </a:solidFill>
              <a:ln w="19050">
                <a:solidFill>
                  <a:schemeClr val="lt1"/>
                </a:solidFill>
              </a:ln>
              <a:effectLst/>
            </c:spPr>
            <c:extLst>
              <c:ext xmlns:c16="http://schemas.microsoft.com/office/drawing/2014/chart" uri="{C3380CC4-5D6E-409C-BE32-E72D297353CC}">
                <c16:uniqueId val="{00000011-A0D8-4AC4-A4A5-71934D821ADE}"/>
              </c:ext>
            </c:extLst>
          </c:dPt>
          <c:dPt>
            <c:idx val="9"/>
            <c:bubble3D val="0"/>
            <c:spPr>
              <a:solidFill>
                <a:schemeClr val="accent3">
                  <a:tint val="42000"/>
                </a:schemeClr>
              </a:solidFill>
              <a:ln w="19050">
                <a:solidFill>
                  <a:schemeClr val="lt1"/>
                </a:solidFill>
              </a:ln>
              <a:effectLst/>
            </c:spPr>
            <c:extLst>
              <c:ext xmlns:c16="http://schemas.microsoft.com/office/drawing/2014/chart" uri="{C3380CC4-5D6E-409C-BE32-E72D297353CC}">
                <c16:uniqueId val="{00000013-A0D8-4AC4-A4A5-71934D821ADE}"/>
              </c:ext>
            </c:extLst>
          </c:dPt>
          <c:dPt>
            <c:idx val="10"/>
            <c:bubble3D val="0"/>
            <c:spPr>
              <a:solidFill>
                <a:schemeClr val="accent3">
                  <a:tint val="30000"/>
                </a:schemeClr>
              </a:solidFill>
              <a:ln w="19050">
                <a:solidFill>
                  <a:schemeClr val="lt1"/>
                </a:solidFill>
              </a:ln>
              <a:effectLst/>
            </c:spPr>
            <c:extLst>
              <c:ext xmlns:c16="http://schemas.microsoft.com/office/drawing/2014/chart" uri="{C3380CC4-5D6E-409C-BE32-E72D297353CC}">
                <c16:uniqueId val="{00000015-A0D8-4AC4-A4A5-71934D821ADE}"/>
              </c:ext>
            </c:extLst>
          </c:dPt>
          <c:dLbls>
            <c:dLbl>
              <c:idx val="0"/>
              <c:layout>
                <c:manualLayout>
                  <c:x val="6.6939756476477536E-3"/>
                  <c:y val="2.7749775222733835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0D8-4AC4-A4A5-71934D821ADE}"/>
                </c:ext>
              </c:extLst>
            </c:dLbl>
            <c:dLbl>
              <c:idx val="1"/>
              <c:layout>
                <c:manualLayout>
                  <c:x val="3.6713458133076915E-2"/>
                  <c:y val="0.1535772666988803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0D8-4AC4-A4A5-71934D821ADE}"/>
                </c:ext>
              </c:extLst>
            </c:dLbl>
            <c:dLbl>
              <c:idx val="2"/>
              <c:layout>
                <c:manualLayout>
                  <c:x val="-9.3938068347517172E-4"/>
                  <c:y val="5.37254106123332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0D8-4AC4-A4A5-71934D821ADE}"/>
                </c:ext>
              </c:extLst>
            </c:dLbl>
            <c:dLbl>
              <c:idx val="3"/>
              <c:layout>
                <c:manualLayout>
                  <c:x val="-2.6763166294796895E-3"/>
                  <c:y val="-1.5121375294918223E-3"/>
                </c:manualLayout>
              </c:layout>
              <c:numFmt formatCode="0.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6.1755516630758629E-2"/>
                      <c:h val="9.8702679362101364E-2"/>
                    </c:manualLayout>
                  </c15:layout>
                </c:ext>
                <c:ext xmlns:c16="http://schemas.microsoft.com/office/drawing/2014/chart" uri="{C3380CC4-5D6E-409C-BE32-E72D297353CC}">
                  <c16:uniqueId val="{00000007-A0D8-4AC4-A4A5-71934D821ADE}"/>
                </c:ext>
              </c:extLst>
            </c:dLbl>
            <c:dLbl>
              <c:idx val="4"/>
              <c:layout>
                <c:manualLayout>
                  <c:x val="-1.1572147495053905E-2"/>
                  <c:y val="-5.044546767294226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0D8-4AC4-A4A5-71934D821ADE}"/>
                </c:ext>
              </c:extLst>
            </c:dLbl>
            <c:dLbl>
              <c:idx val="7"/>
              <c:layout>
                <c:manualLayout>
                  <c:x val="4.1474980989079447E-3"/>
                  <c:y val="-1.52753121180234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A0D8-4AC4-A4A5-71934D821ADE}"/>
                </c:ext>
              </c:extLst>
            </c:dLbl>
            <c:dLbl>
              <c:idx val="9"/>
              <c:layout>
                <c:manualLayout>
                  <c:x val="-1.7501104418580236E-2"/>
                  <c:y val="-3.84519735173091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A0D8-4AC4-A4A5-71934D821ADE}"/>
                </c:ext>
              </c:extLst>
            </c:dLbl>
            <c:dLbl>
              <c:idx val="10"/>
              <c:layout>
                <c:manualLayout>
                  <c:x val="7.3735880858343183E-3"/>
                  <c:y val="-3.1496062992119564E-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A0D8-4AC4-A4A5-71934D821ADE}"/>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'Royalties 2-years'!$A$10:$A$20</c15:sqref>
                  </c15:fullRef>
                </c:ext>
              </c:extLst>
              <c:f>('Royalties 2-years'!$A$10:$A$11,'Royalties 2-years'!$A$13:$A$20)</c:f>
              <c:strCache>
                <c:ptCount val="10"/>
                <c:pt idx="0">
                  <c:v>Alumina</c:v>
                </c:pt>
                <c:pt idx="1">
                  <c:v>Copper, Lead &amp; Zinc</c:v>
                </c:pt>
                <c:pt idx="2">
                  <c:v>Gold</c:v>
                </c:pt>
                <c:pt idx="3">
                  <c:v>Iron Ore</c:v>
                </c:pt>
                <c:pt idx="4">
                  <c:v>Lithium</c:v>
                </c:pt>
                <c:pt idx="5">
                  <c:v>Mineral sands</c:v>
                </c:pt>
                <c:pt idx="6">
                  <c:v>Nickel</c:v>
                </c:pt>
                <c:pt idx="7">
                  <c:v>Other Minerals</c:v>
                </c:pt>
                <c:pt idx="8">
                  <c:v>Petroleum</c:v>
                </c:pt>
                <c:pt idx="9">
                  <c:v>North West Shelf Grants</c:v>
                </c:pt>
              </c:strCache>
            </c:strRef>
          </c:cat>
          <c:val>
            <c:numRef>
              <c:extLst>
                <c:ext xmlns:c15="http://schemas.microsoft.com/office/drawing/2012/chart" uri="{02D57815-91ED-43cb-92C2-25804820EDAC}">
                  <c15:fullRef>
                    <c15:sqref>'Royalties 2-years'!$C$10:$C$20</c15:sqref>
                  </c15:fullRef>
                </c:ext>
              </c:extLst>
              <c:f>('Royalties 2-years'!$C$10:$C$11,'Royalties 2-years'!$C$13:$C$20)</c:f>
              <c:numCache>
                <c:formatCode>#,##0.00</c:formatCode>
                <c:ptCount val="10"/>
                <c:pt idx="0">
                  <c:v>137.21358168</c:v>
                </c:pt>
                <c:pt idx="1">
                  <c:v>67.96319170000001</c:v>
                </c:pt>
                <c:pt idx="2">
                  <c:v>788.98291674000041</c:v>
                </c:pt>
                <c:pt idx="3">
                  <c:v>8659.6084190500005</c:v>
                </c:pt>
                <c:pt idx="4">
                  <c:v>221.19037430000009</c:v>
                </c:pt>
                <c:pt idx="5">
                  <c:v>49.215002159999997</c:v>
                </c:pt>
                <c:pt idx="6">
                  <c:v>39.249502739999983</c:v>
                </c:pt>
                <c:pt idx="7">
                  <c:v>95.515465910000003</c:v>
                </c:pt>
                <c:pt idx="8">
                  <c:v>17.02421249</c:v>
                </c:pt>
                <c:pt idx="9">
                  <c:v>522.61320073999991</c:v>
                </c:pt>
              </c:numCache>
            </c:numRef>
          </c:val>
          <c:extLst>
            <c:ext xmlns:c15="http://schemas.microsoft.com/office/drawing/2012/chart" uri="{02D57815-91ED-43cb-92C2-25804820EDAC}">
              <c15:categoryFilterExceptions>
                <c15:categoryFilterException>
                  <c15:sqref>'Royalties 2-years'!$C$12</c15:sqref>
                  <c15:spPr xmlns:c15="http://schemas.microsoft.com/office/drawing/2012/chart">
                    <a:solidFill>
                      <a:schemeClr val="accent3">
                        <a:shade val="65000"/>
                      </a:schemeClr>
                    </a:solidFill>
                    <a:ln w="19050">
                      <a:solidFill>
                        <a:schemeClr val="lt1"/>
                      </a:solidFill>
                    </a:ln>
                    <a:effectLst/>
                  </c15:spPr>
                  <c15:bubble3D val="0"/>
                  <c15:dLbl>
                    <c:idx val="1"/>
                    <c:layout>
                      <c:manualLayout>
                        <c:x val="-1.4941541398234373E-2"/>
                        <c:y val="5.7471385664420817E-2"/>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17-D5D9-47C2-9E8E-85BD1D4787B2}"/>
                      </c:ext>
                    </c:extLst>
                  </c15:dLbl>
                </c15:categoryFilterException>
              </c15:categoryFilterExceptions>
            </c:ext>
            <c:ext xmlns:c16="http://schemas.microsoft.com/office/drawing/2014/chart" uri="{C3380CC4-5D6E-409C-BE32-E72D297353CC}">
              <c16:uniqueId val="{00000016-A0D8-4AC4-A4A5-71934D821ADE}"/>
            </c:ext>
          </c:extLst>
        </c:ser>
        <c:dLbls>
          <c:showLegendKey val="0"/>
          <c:showVal val="0"/>
          <c:showCatName val="0"/>
          <c:showSerName val="0"/>
          <c:showPercent val="0"/>
          <c:showBubbleSize val="0"/>
          <c:showLeaderLines val="1"/>
        </c:dLbls>
        <c:gapWidth val="100"/>
        <c:splitType val="percent"/>
        <c:splitPos val="2"/>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chart>
  <c:spPr>
    <a:solidFill>
      <a:schemeClr val="bg1"/>
    </a:solidFill>
    <a:ln w="9525" cap="flat" cmpd="sng" algn="ctr">
      <a:solidFill>
        <a:srgbClr val="868686"/>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strRef>
          <c:f>'Royalties 2-years'!$T$8</c:f>
          <c:strCache>
            <c:ptCount val="1"/>
            <c:pt idx="0">
              <c:v>Royalty Receipts and Revenue Growth 
2024 to 2025</c:v>
            </c:pt>
          </c:strCache>
        </c:strRef>
      </c:tx>
      <c:overlay val="0"/>
      <c:txPr>
        <a:bodyPr/>
        <a:lstStyle/>
        <a:p>
          <a:pPr>
            <a:defRPr/>
          </a:pPr>
          <a:endParaRPr lang="en-US"/>
        </a:p>
      </c:txPr>
    </c:title>
    <c:autoTitleDeleted val="0"/>
    <c:plotArea>
      <c:layout>
        <c:manualLayout>
          <c:layoutTarget val="inner"/>
          <c:xMode val="edge"/>
          <c:yMode val="edge"/>
          <c:x val="7.3153097218982971E-2"/>
          <c:y val="0.16415626067504061"/>
          <c:w val="0.9086731412558976"/>
          <c:h val="0.55752127489925096"/>
        </c:manualLayout>
      </c:layout>
      <c:barChart>
        <c:barDir val="col"/>
        <c:grouping val="clustered"/>
        <c:varyColors val="0"/>
        <c:ser>
          <c:idx val="0"/>
          <c:order val="0"/>
          <c:tx>
            <c:strRef>
              <c:f>'Royalties 2-years'!$E$9</c:f>
              <c:strCache>
                <c:ptCount val="1"/>
                <c:pt idx="0">
                  <c:v>%</c:v>
                </c:pt>
              </c:strCache>
            </c:strRef>
          </c:tx>
          <c:invertIfNegative val="0"/>
          <c:dPt>
            <c:idx val="8"/>
            <c:invertIfNegative val="0"/>
            <c:bubble3D val="0"/>
            <c:extLst>
              <c:ext xmlns:c16="http://schemas.microsoft.com/office/drawing/2014/chart" uri="{C3380CC4-5D6E-409C-BE32-E72D297353CC}">
                <c16:uniqueId val="{00000001-9415-444F-9F5B-2F19013FC7E0}"/>
              </c:ext>
            </c:extLst>
          </c:dPt>
          <c:dPt>
            <c:idx val="9"/>
            <c:invertIfNegative val="0"/>
            <c:bubble3D val="0"/>
            <c:spPr>
              <a:solidFill>
                <a:schemeClr val="accent3">
                  <a:lumMod val="50000"/>
                </a:schemeClr>
              </a:solidFill>
            </c:spPr>
            <c:extLst>
              <c:ext xmlns:c16="http://schemas.microsoft.com/office/drawing/2014/chart" uri="{C3380CC4-5D6E-409C-BE32-E72D297353CC}">
                <c16:uniqueId val="{00000003-9415-444F-9F5B-2F19013FC7E0}"/>
              </c:ext>
            </c:extLst>
          </c:dPt>
          <c:dPt>
            <c:idx val="11"/>
            <c:invertIfNegative val="0"/>
            <c:bubble3D val="0"/>
            <c:spPr>
              <a:solidFill>
                <a:schemeClr val="accent3">
                  <a:lumMod val="50000"/>
                </a:schemeClr>
              </a:solidFill>
            </c:spPr>
            <c:extLst>
              <c:ext xmlns:c16="http://schemas.microsoft.com/office/drawing/2014/chart" uri="{C3380CC4-5D6E-409C-BE32-E72D297353CC}">
                <c16:uniqueId val="{00000004-A845-43CE-90A2-7FF1FC2AE69C}"/>
              </c:ext>
            </c:extLst>
          </c:dPt>
          <c:cat>
            <c:strRef>
              <c:extLst>
                <c:ext xmlns:c15="http://schemas.microsoft.com/office/drawing/2012/chart" uri="{02D57815-91ED-43cb-92C2-25804820EDAC}">
                  <c15:fullRef>
                    <c15:sqref>'Royalties 2-years'!$A$10:$A$22</c15:sqref>
                  </c15:fullRef>
                </c:ext>
              </c:extLst>
              <c:f>('Royalties 2-years'!$A$10:$A$11,'Royalties 2-years'!$A$13:$A$22)</c:f>
              <c:strCache>
                <c:ptCount val="12"/>
                <c:pt idx="0">
                  <c:v>Alumina</c:v>
                </c:pt>
                <c:pt idx="1">
                  <c:v>Copper, Lead &amp; Zinc</c:v>
                </c:pt>
                <c:pt idx="2">
                  <c:v>Gold</c:v>
                </c:pt>
                <c:pt idx="3">
                  <c:v>Iron Ore</c:v>
                </c:pt>
                <c:pt idx="4">
                  <c:v>Lithium</c:v>
                </c:pt>
                <c:pt idx="5">
                  <c:v>Mineral sands</c:v>
                </c:pt>
                <c:pt idx="6">
                  <c:v>Nickel</c:v>
                </c:pt>
                <c:pt idx="7">
                  <c:v>Other Minerals</c:v>
                </c:pt>
                <c:pt idx="8">
                  <c:v>Petroleum</c:v>
                </c:pt>
                <c:pt idx="9">
                  <c:v>North West Shelf Grants</c:v>
                </c:pt>
                <c:pt idx="10">
                  <c:v>Total Royalty Receipts</c:v>
                </c:pt>
                <c:pt idx="11">
                  <c:v>Total Royalty Revenue</c:v>
                </c:pt>
              </c:strCache>
            </c:strRef>
          </c:cat>
          <c:val>
            <c:numRef>
              <c:extLst>
                <c:ext xmlns:c15="http://schemas.microsoft.com/office/drawing/2012/chart" uri="{02D57815-91ED-43cb-92C2-25804820EDAC}">
                  <c15:fullRef>
                    <c15:sqref>'Royalties 2-years'!$E$10:$E$22</c15:sqref>
                  </c15:fullRef>
                </c:ext>
              </c:extLst>
              <c:f>('Royalties 2-years'!$E$10:$E$11,'Royalties 2-years'!$E$13:$E$22)</c:f>
              <c:numCache>
                <c:formatCode>0%</c:formatCode>
                <c:ptCount val="12"/>
                <c:pt idx="0">
                  <c:v>0.24571460762156155</c:v>
                </c:pt>
                <c:pt idx="1">
                  <c:v>0.54385218670800706</c:v>
                </c:pt>
                <c:pt idx="2">
                  <c:v>0.45389959519334822</c:v>
                </c:pt>
                <c:pt idx="3">
                  <c:v>-0.12866075372588959</c:v>
                </c:pt>
                <c:pt idx="4">
                  <c:v>-0.41275167168138299</c:v>
                </c:pt>
                <c:pt idx="5">
                  <c:v>8.8152194867574946E-2</c:v>
                </c:pt>
                <c:pt idx="6">
                  <c:v>-0.51321658115100088</c:v>
                </c:pt>
                <c:pt idx="7">
                  <c:v>-6.6645366728275424E-2</c:v>
                </c:pt>
                <c:pt idx="8">
                  <c:v>-0.18258112716110519</c:v>
                </c:pt>
                <c:pt idx="9">
                  <c:v>-0.26483257173357688</c:v>
                </c:pt>
                <c:pt idx="10">
                  <c:v>-0.10520895848583901</c:v>
                </c:pt>
                <c:pt idx="11">
                  <c:v>-0.11468732590653598</c:v>
                </c:pt>
              </c:numCache>
            </c:numRef>
          </c:val>
          <c:extLst>
            <c:ext xmlns:c16="http://schemas.microsoft.com/office/drawing/2014/chart" uri="{C3380CC4-5D6E-409C-BE32-E72D297353CC}">
              <c16:uniqueId val="{00000004-9415-444F-9F5B-2F19013FC7E0}"/>
            </c:ext>
          </c:extLst>
        </c:ser>
        <c:dLbls>
          <c:showLegendKey val="0"/>
          <c:showVal val="0"/>
          <c:showCatName val="0"/>
          <c:showSerName val="0"/>
          <c:showPercent val="0"/>
          <c:showBubbleSize val="0"/>
        </c:dLbls>
        <c:gapWidth val="150"/>
        <c:axId val="431276800"/>
        <c:axId val="431278336"/>
      </c:barChart>
      <c:catAx>
        <c:axId val="431276800"/>
        <c:scaling>
          <c:orientation val="minMax"/>
        </c:scaling>
        <c:delete val="0"/>
        <c:axPos val="b"/>
        <c:numFmt formatCode="General" sourceLinked="0"/>
        <c:majorTickMark val="none"/>
        <c:minorTickMark val="none"/>
        <c:tickLblPos val="low"/>
        <c:spPr>
          <a:ln/>
        </c:spPr>
        <c:txPr>
          <a:bodyPr rot="-2700000"/>
          <a:lstStyle/>
          <a:p>
            <a:pPr>
              <a:defRPr/>
            </a:pPr>
            <a:endParaRPr lang="en-US"/>
          </a:p>
        </c:txPr>
        <c:crossAx val="431278336"/>
        <c:crosses val="autoZero"/>
        <c:auto val="1"/>
        <c:lblAlgn val="ctr"/>
        <c:lblOffset val="100"/>
        <c:noMultiLvlLbl val="0"/>
      </c:catAx>
      <c:valAx>
        <c:axId val="431278336"/>
        <c:scaling>
          <c:orientation val="minMax"/>
        </c:scaling>
        <c:delete val="0"/>
        <c:axPos val="l"/>
        <c:majorGridlines/>
        <c:numFmt formatCode="0%" sourceLinked="1"/>
        <c:majorTickMark val="none"/>
        <c:minorTickMark val="none"/>
        <c:tickLblPos val="nextTo"/>
        <c:crossAx val="431276800"/>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2"/>
    </mc:Choice>
    <mc:Fallback>
      <c:style val="12"/>
    </mc:Fallback>
  </mc:AlternateContent>
  <c:chart>
    <c:title>
      <c:tx>
        <c:rich>
          <a:bodyPr/>
          <a:lstStyle/>
          <a:p>
            <a:pPr>
              <a:defRPr/>
            </a:pPr>
            <a:r>
              <a:rPr lang="en-AU" sz="1600"/>
              <a:t>Mining</a:t>
            </a:r>
            <a:r>
              <a:rPr lang="en-AU" sz="1600" baseline="0"/>
              <a:t> </a:t>
            </a:r>
            <a:r>
              <a:rPr lang="en-AU" sz="1600"/>
              <a:t>FTEs</a:t>
            </a:r>
          </a:p>
          <a:p>
            <a:pPr>
              <a:defRPr/>
            </a:pPr>
            <a:r>
              <a:rPr lang="en-AU" sz="900"/>
              <a:t>By Commodity 2025</a:t>
            </a:r>
          </a:p>
        </c:rich>
      </c:tx>
      <c:layout>
        <c:manualLayout>
          <c:xMode val="edge"/>
          <c:yMode val="edge"/>
          <c:x val="0.41869328890363822"/>
          <c:y val="2.6291067064892749E-2"/>
        </c:manualLayout>
      </c:layout>
      <c:overlay val="0"/>
    </c:title>
    <c:autoTitleDeleted val="0"/>
    <c:plotArea>
      <c:layout>
        <c:manualLayout>
          <c:layoutTarget val="inner"/>
          <c:xMode val="edge"/>
          <c:yMode val="edge"/>
          <c:x val="0.33481303263018053"/>
          <c:y val="0.15293286127931796"/>
          <c:w val="0.54733694316329962"/>
          <c:h val="0.69561029976696198"/>
        </c:manualLayout>
      </c:layout>
      <c:pieChart>
        <c:varyColors val="1"/>
        <c:ser>
          <c:idx val="0"/>
          <c:order val="0"/>
          <c:dLbls>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'Mining Employment CY'!$A$9:$A$20</c:f>
              <c:strCache>
                <c:ptCount val="12"/>
                <c:pt idx="0">
                  <c:v>Alumina and Bauxite</c:v>
                </c:pt>
                <c:pt idx="1">
                  <c:v>Coal</c:v>
                </c:pt>
                <c:pt idx="2">
                  <c:v>Construction Materials</c:v>
                </c:pt>
                <c:pt idx="3">
                  <c:v>Copper-Lead-Zinc</c:v>
                </c:pt>
                <c:pt idx="4">
                  <c:v>Diamond</c:v>
                </c:pt>
                <c:pt idx="5">
                  <c:v>Gold</c:v>
                </c:pt>
                <c:pt idx="6">
                  <c:v>Iron Ore</c:v>
                </c:pt>
                <c:pt idx="7">
                  <c:v>Lithium</c:v>
                </c:pt>
                <c:pt idx="8">
                  <c:v>Mineral Sands</c:v>
                </c:pt>
                <c:pt idx="9">
                  <c:v>Nickel</c:v>
                </c:pt>
                <c:pt idx="10">
                  <c:v>Salt</c:v>
                </c:pt>
                <c:pt idx="11">
                  <c:v>Other</c:v>
                </c:pt>
              </c:strCache>
            </c:strRef>
          </c:cat>
          <c:val>
            <c:numRef>
              <c:f>'Mining Employment CY'!$Z$9:$Z$20</c:f>
              <c:numCache>
                <c:formatCode>#,##0</c:formatCode>
                <c:ptCount val="12"/>
                <c:pt idx="0">
                  <c:v>6634.38</c:v>
                </c:pt>
                <c:pt idx="1">
                  <c:v>1007.951</c:v>
                </c:pt>
                <c:pt idx="2">
                  <c:v>810.79600000000005</c:v>
                </c:pt>
                <c:pt idx="3">
                  <c:v>1634.4604999999999</c:v>
                </c:pt>
                <c:pt idx="4">
                  <c:v>392.87450000000001</c:v>
                </c:pt>
                <c:pt idx="5">
                  <c:v>38816.050000000003</c:v>
                </c:pt>
                <c:pt idx="6">
                  <c:v>66366.709000000003</c:v>
                </c:pt>
                <c:pt idx="7">
                  <c:v>7953.8705</c:v>
                </c:pt>
                <c:pt idx="8">
                  <c:v>2822.741</c:v>
                </c:pt>
                <c:pt idx="9">
                  <c:v>3501.5360000000001</c:v>
                </c:pt>
                <c:pt idx="10">
                  <c:v>1088.4780000000001</c:v>
                </c:pt>
                <c:pt idx="11">
                  <c:v>5149.4709999999995</c:v>
                </c:pt>
              </c:numCache>
            </c:numRef>
          </c:val>
          <c:extLst>
            <c:ext xmlns:c16="http://schemas.microsoft.com/office/drawing/2014/chart" uri="{C3380CC4-5D6E-409C-BE32-E72D297353CC}">
              <c16:uniqueId val="{0000000E-14F5-4A2B-BD64-D09E19735476}"/>
            </c:ext>
          </c:extLst>
        </c:ser>
        <c:dLbls>
          <c:showLegendKey val="0"/>
          <c:showVal val="0"/>
          <c:showCatName val="1"/>
          <c:showSerName val="0"/>
          <c:showPercent val="1"/>
          <c:showBubbleSize val="0"/>
          <c:showLeaderLines val="1"/>
        </c:dLbls>
        <c:firstSliceAng val="238"/>
      </c:pieChart>
    </c:plotArea>
    <c:plotVisOnly val="1"/>
    <c:dispBlanksAs val="zero"/>
    <c:showDLblsOverMax val="0"/>
  </c:chart>
  <c:printSettings>
    <c:headerFooter alignWithMargins="0"/>
    <c:pageMargins b="1" l="0.75000000000000344" r="0.75000000000000344" t="1" header="0.5" footer="0.5"/>
    <c:pageSetup paperSize="9" orientation="landscape"/>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strRef>
          <c:f>'Mining Employment CY'!$X$53</c:f>
          <c:strCache>
            <c:ptCount val="1"/>
            <c:pt idx="0">
              <c:v>Total Mining
 Last 10 Calendar Years</c:v>
            </c:pt>
          </c:strCache>
        </c:strRef>
      </c:tx>
      <c:layout>
        <c:manualLayout>
          <c:xMode val="edge"/>
          <c:yMode val="edge"/>
          <c:x val="0.35117986111111105"/>
          <c:y val="1.9985777777777779E-2"/>
        </c:manualLayout>
      </c:layout>
      <c:overlay val="0"/>
      <c:txPr>
        <a:bodyPr rot="0" vert="horz" anchor="t" anchorCtr="1"/>
        <a:lstStyle/>
        <a:p>
          <a:pPr algn="ctr">
            <a:defRPr sz="1600">
              <a:solidFill>
                <a:schemeClr val="tx1"/>
              </a:solidFill>
            </a:defRPr>
          </a:pPr>
          <a:endParaRPr lang="en-US"/>
        </a:p>
      </c:txPr>
    </c:title>
    <c:autoTitleDeleted val="0"/>
    <c:plotArea>
      <c:layout/>
      <c:barChart>
        <c:barDir val="col"/>
        <c:grouping val="clustered"/>
        <c:varyColors val="0"/>
        <c:ser>
          <c:idx val="0"/>
          <c:order val="0"/>
          <c:tx>
            <c:strRef>
              <c:f>'Mining Employment CY'!$P$53:$T$53</c:f>
              <c:strCache>
                <c:ptCount val="5"/>
                <c:pt idx="0">
                  <c:v>Total Mining</c:v>
                </c:pt>
              </c:strCache>
            </c:strRef>
          </c:tx>
          <c:invertIfNegative val="0"/>
          <c:cat>
            <c:numRef>
              <c:f>'Mining Employment CY'!$M$103:$V$103</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'Mining Employment CY'!$M$104:$V$104</c:f>
              <c:numCache>
                <c:formatCode>General</c:formatCode>
                <c:ptCount val="10"/>
                <c:pt idx="0">
                  <c:v>83499.633000000002</c:v>
                </c:pt>
                <c:pt idx="1">
                  <c:v>86679.081000000006</c:v>
                </c:pt>
                <c:pt idx="2">
                  <c:v>94220.370500000005</c:v>
                </c:pt>
                <c:pt idx="3">
                  <c:v>101792.511</c:v>
                </c:pt>
                <c:pt idx="4">
                  <c:v>108396.39049999999</c:v>
                </c:pt>
                <c:pt idx="5">
                  <c:v>117659.97199999999</c:v>
                </c:pt>
                <c:pt idx="6">
                  <c:v>122779.06050000001</c:v>
                </c:pt>
                <c:pt idx="7">
                  <c:v>130884.13649999999</c:v>
                </c:pt>
                <c:pt idx="8">
                  <c:v>136011.0675</c:v>
                </c:pt>
                <c:pt idx="9">
                  <c:v>136179.3175</c:v>
                </c:pt>
              </c:numCache>
            </c:numRef>
          </c:val>
          <c:extLst>
            <c:ext xmlns:c16="http://schemas.microsoft.com/office/drawing/2014/chart" uri="{C3380CC4-5D6E-409C-BE32-E72D297353CC}">
              <c16:uniqueId val="{00000000-A666-4CAE-A0A6-9AAEA90E4B04}"/>
            </c:ext>
          </c:extLst>
        </c:ser>
        <c:dLbls>
          <c:showLegendKey val="0"/>
          <c:showVal val="0"/>
          <c:showCatName val="0"/>
          <c:showSerName val="0"/>
          <c:showPercent val="0"/>
          <c:showBubbleSize val="0"/>
        </c:dLbls>
        <c:gapWidth val="75"/>
        <c:overlap val="-25"/>
        <c:axId val="431872256"/>
        <c:axId val="431874432"/>
      </c:barChart>
      <c:dateAx>
        <c:axId val="431872256"/>
        <c:scaling>
          <c:orientation val="minMax"/>
        </c:scaling>
        <c:delete val="0"/>
        <c:axPos val="b"/>
        <c:title>
          <c:tx>
            <c:rich>
              <a:bodyPr/>
              <a:lstStyle/>
              <a:p>
                <a:pPr algn="l">
                  <a:defRPr sz="900"/>
                </a:pPr>
                <a:r>
                  <a:rPr lang="en-AU" sz="900" b="1">
                    <a:effectLst/>
                    <a:latin typeface="+mn-lt"/>
                  </a:rPr>
                  <a:t>Source:  LGIRS</a:t>
                </a:r>
                <a:endParaRPr lang="en-AU" sz="900" b="0">
                  <a:effectLst/>
                  <a:latin typeface="+mn-lt"/>
                </a:endParaRPr>
              </a:p>
            </c:rich>
          </c:tx>
          <c:layout>
            <c:manualLayout>
              <c:xMode val="edge"/>
              <c:yMode val="edge"/>
              <c:x val="8.7731396421491682E-3"/>
              <c:y val="0.95639488888888913"/>
            </c:manualLayout>
          </c:layout>
          <c:overlay val="0"/>
          <c:spPr>
            <a:noFill/>
          </c:spPr>
        </c:title>
        <c:numFmt formatCode="General" sourceLinked="1"/>
        <c:majorTickMark val="none"/>
        <c:minorTickMark val="none"/>
        <c:tickLblPos val="nextTo"/>
        <c:txPr>
          <a:bodyPr rot="-2700000"/>
          <a:lstStyle/>
          <a:p>
            <a:pPr>
              <a:defRPr/>
            </a:pPr>
            <a:endParaRPr lang="en-US"/>
          </a:p>
        </c:txPr>
        <c:crossAx val="431874432"/>
        <c:crosses val="autoZero"/>
        <c:auto val="0"/>
        <c:lblOffset val="100"/>
        <c:baseTimeUnit val="days"/>
      </c:dateAx>
      <c:valAx>
        <c:axId val="431874432"/>
        <c:scaling>
          <c:orientation val="minMax"/>
        </c:scaling>
        <c:delete val="0"/>
        <c:axPos val="l"/>
        <c:majorGridlines/>
        <c:title>
          <c:tx>
            <c:rich>
              <a:bodyPr rot="-5400000" vert="horz"/>
              <a:lstStyle/>
              <a:p>
                <a:pPr>
                  <a:defRPr/>
                </a:pPr>
                <a:r>
                  <a:rPr lang="en-AU" baseline="0"/>
                  <a:t>FTEs</a:t>
                </a:r>
                <a:endParaRPr lang="en-AU"/>
              </a:p>
            </c:rich>
          </c:tx>
          <c:layout>
            <c:manualLayout>
              <c:xMode val="edge"/>
              <c:yMode val="edge"/>
              <c:x val="1.7913599724972838E-2"/>
              <c:y val="0.42089328769663958"/>
            </c:manualLayout>
          </c:layout>
          <c:overlay val="0"/>
        </c:title>
        <c:numFmt formatCode="#,##0" sourceLinked="0"/>
        <c:majorTickMark val="none"/>
        <c:minorTickMark val="none"/>
        <c:tickLblPos val="nextTo"/>
        <c:crossAx val="431872256"/>
        <c:crosses val="autoZero"/>
        <c:crossBetween val="between"/>
      </c:valAx>
    </c:plotArea>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2"/>
    </mc:Choice>
    <mc:Fallback>
      <c:style val="12"/>
    </mc:Fallback>
  </mc:AlternateContent>
  <c:chart>
    <c:title>
      <c:tx>
        <c:rich>
          <a:bodyPr/>
          <a:lstStyle/>
          <a:p>
            <a:pPr>
              <a:defRPr>
                <a:solidFill>
                  <a:sysClr val="windowText" lastClr="000000"/>
                </a:solidFill>
              </a:defRPr>
            </a:pPr>
            <a:r>
              <a:rPr lang="en-AU" sz="1600">
                <a:solidFill>
                  <a:sysClr val="windowText" lastClr="000000"/>
                </a:solidFill>
              </a:rPr>
              <a:t>Mining </a:t>
            </a:r>
            <a:r>
              <a:rPr lang="en-AU" sz="1600" baseline="0">
                <a:solidFill>
                  <a:sysClr val="windowText" lastClr="000000"/>
                </a:solidFill>
              </a:rPr>
              <a:t>FTEs</a:t>
            </a:r>
          </a:p>
          <a:p>
            <a:pPr>
              <a:defRPr>
                <a:solidFill>
                  <a:sysClr val="windowText" lastClr="000000"/>
                </a:solidFill>
              </a:defRPr>
            </a:pPr>
            <a:r>
              <a:rPr lang="en-AU" sz="900" baseline="0">
                <a:solidFill>
                  <a:sysClr val="windowText" lastClr="000000"/>
                </a:solidFill>
              </a:rPr>
              <a:t>By Commodity, 2024-25</a:t>
            </a:r>
            <a:endParaRPr lang="en-AU" sz="900">
              <a:solidFill>
                <a:sysClr val="windowText" lastClr="000000"/>
              </a:solidFill>
            </a:endParaRPr>
          </a:p>
        </c:rich>
      </c:tx>
      <c:layout>
        <c:manualLayout>
          <c:xMode val="edge"/>
          <c:yMode val="edge"/>
          <c:x val="0.41024275522331255"/>
          <c:y val="3.0527525261059105E-2"/>
        </c:manualLayout>
      </c:layout>
      <c:overlay val="0"/>
    </c:title>
    <c:autoTitleDeleted val="0"/>
    <c:plotArea>
      <c:layout>
        <c:manualLayout>
          <c:layoutTarget val="inner"/>
          <c:xMode val="edge"/>
          <c:yMode val="edge"/>
          <c:x val="0.42033790030518997"/>
          <c:y val="0.16675791062597858"/>
          <c:w val="0.41354941402722173"/>
          <c:h val="0.64882679138791854"/>
        </c:manualLayout>
      </c:layout>
      <c:pieChart>
        <c:varyColors val="1"/>
        <c:ser>
          <c:idx val="0"/>
          <c:order val="0"/>
          <c:dLbls>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'Mining Employment FY'!$A$9:$A$20</c:f>
              <c:strCache>
                <c:ptCount val="12"/>
                <c:pt idx="0">
                  <c:v>Alumina and Bauxite</c:v>
                </c:pt>
                <c:pt idx="1">
                  <c:v>Coal</c:v>
                </c:pt>
                <c:pt idx="2">
                  <c:v>Construction Materials</c:v>
                </c:pt>
                <c:pt idx="3">
                  <c:v>Copper-Lead-Zinc</c:v>
                </c:pt>
                <c:pt idx="4">
                  <c:v>Diamond</c:v>
                </c:pt>
                <c:pt idx="5">
                  <c:v>Gold</c:v>
                </c:pt>
                <c:pt idx="6">
                  <c:v>Iron Ore</c:v>
                </c:pt>
                <c:pt idx="7">
                  <c:v>Lithium</c:v>
                </c:pt>
                <c:pt idx="8">
                  <c:v>Mineral Sands</c:v>
                </c:pt>
                <c:pt idx="9">
                  <c:v>Nickel</c:v>
                </c:pt>
                <c:pt idx="10">
                  <c:v>Salt</c:v>
                </c:pt>
                <c:pt idx="11">
                  <c:v>Other</c:v>
                </c:pt>
              </c:strCache>
            </c:strRef>
          </c:cat>
          <c:val>
            <c:numRef>
              <c:f>'Mining Employment FY'!$Y$9:$Y$20</c:f>
              <c:numCache>
                <c:formatCode>#,##0</c:formatCode>
                <c:ptCount val="12"/>
                <c:pt idx="0">
                  <c:v>6550.0659999999998</c:v>
                </c:pt>
                <c:pt idx="1">
                  <c:v>1002.2795</c:v>
                </c:pt>
                <c:pt idx="2">
                  <c:v>821.89250000000004</c:v>
                </c:pt>
                <c:pt idx="3">
                  <c:v>1586.8634999999999</c:v>
                </c:pt>
                <c:pt idx="4">
                  <c:v>380.41649999999998</c:v>
                </c:pt>
                <c:pt idx="5">
                  <c:v>35952.661999999997</c:v>
                </c:pt>
                <c:pt idx="6">
                  <c:v>65637.133499999996</c:v>
                </c:pt>
                <c:pt idx="7">
                  <c:v>9576.7559999999994</c:v>
                </c:pt>
                <c:pt idx="8">
                  <c:v>2978.6264999999999</c:v>
                </c:pt>
                <c:pt idx="9">
                  <c:v>4697.7219999999998</c:v>
                </c:pt>
                <c:pt idx="10">
                  <c:v>1105.5454999999999</c:v>
                </c:pt>
                <c:pt idx="11">
                  <c:v>4300.0635000000002</c:v>
                </c:pt>
              </c:numCache>
            </c:numRef>
          </c:val>
          <c:extLst>
            <c:ext xmlns:c16="http://schemas.microsoft.com/office/drawing/2014/chart" uri="{C3380CC4-5D6E-409C-BE32-E72D297353CC}">
              <c16:uniqueId val="{0000000E-5906-4BDF-9F03-7F7C6347F240}"/>
            </c:ext>
          </c:extLst>
        </c:ser>
        <c:dLbls>
          <c:showLegendKey val="0"/>
          <c:showVal val="0"/>
          <c:showCatName val="1"/>
          <c:showSerName val="0"/>
          <c:showPercent val="1"/>
          <c:showBubbleSize val="0"/>
          <c:showLeaderLines val="1"/>
        </c:dLbls>
        <c:firstSliceAng val="245"/>
      </c:pieChart>
    </c:plotArea>
    <c:plotVisOnly val="1"/>
    <c:dispBlanksAs val="zero"/>
    <c:showDLblsOverMax val="0"/>
  </c:chart>
  <c:printSettings>
    <c:headerFooter alignWithMargins="0"/>
    <c:pageMargins b="1" l="0.75000000000000344" r="0.75000000000000344" t="1" header="0.5" footer="0.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'Exports 2-years'!$U$8</c:f>
          <c:strCache>
            <c:ptCount val="1"/>
            <c:pt idx="0">
              <c:v>Western Australia Mineral and Petroleum Exports 
2025</c:v>
            </c:pt>
          </c:strCache>
        </c:strRef>
      </c:tx>
      <c:layout>
        <c:manualLayout>
          <c:xMode val="edge"/>
          <c:yMode val="edge"/>
          <c:x val="0.18899365257914191"/>
          <c:y val="2.8021556869384217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hade val="45000"/>
                </a:schemeClr>
              </a:solidFill>
              <a:ln w="19050">
                <a:solidFill>
                  <a:schemeClr val="lt1"/>
                </a:solidFill>
              </a:ln>
              <a:effectLst/>
            </c:spPr>
            <c:extLst>
              <c:ext xmlns:c16="http://schemas.microsoft.com/office/drawing/2014/chart" uri="{C3380CC4-5D6E-409C-BE32-E72D297353CC}">
                <c16:uniqueId val="{00000001-7DCE-48D3-9404-9AE597BABC83}"/>
              </c:ext>
            </c:extLst>
          </c:dPt>
          <c:dPt>
            <c:idx val="1"/>
            <c:bubble3D val="0"/>
            <c:spPr>
              <a:solidFill>
                <a:schemeClr val="accent1">
                  <a:shade val="76000"/>
                </a:schemeClr>
              </a:solidFill>
              <a:ln w="19050">
                <a:solidFill>
                  <a:schemeClr val="lt1"/>
                </a:solidFill>
              </a:ln>
              <a:effectLst/>
            </c:spPr>
            <c:extLst>
              <c:ext xmlns:c16="http://schemas.microsoft.com/office/drawing/2014/chart" uri="{C3380CC4-5D6E-409C-BE32-E72D297353CC}">
                <c16:uniqueId val="{00000003-7DCE-48D3-9404-9AE597BABC83}"/>
              </c:ext>
            </c:extLst>
          </c:dPt>
          <c:dPt>
            <c:idx val="2"/>
            <c:bubble3D val="0"/>
            <c:spPr>
              <a:solidFill>
                <a:schemeClr val="accent1">
                  <a:shade val="92000"/>
                </a:schemeClr>
              </a:solidFill>
              <a:ln w="19050">
                <a:solidFill>
                  <a:schemeClr val="lt1"/>
                </a:solidFill>
              </a:ln>
              <a:effectLst/>
            </c:spPr>
            <c:extLst>
              <c:ext xmlns:c16="http://schemas.microsoft.com/office/drawing/2014/chart" uri="{C3380CC4-5D6E-409C-BE32-E72D297353CC}">
                <c16:uniqueId val="{00000005-7DCE-48D3-9404-9AE597BABC83}"/>
              </c:ext>
            </c:extLst>
          </c:dPt>
          <c:dPt>
            <c:idx val="3"/>
            <c:bubble3D val="0"/>
            <c:spPr>
              <a:solidFill>
                <a:schemeClr val="accent1">
                  <a:tint val="93000"/>
                </a:schemeClr>
              </a:solidFill>
              <a:ln w="19050">
                <a:solidFill>
                  <a:schemeClr val="lt1"/>
                </a:solidFill>
              </a:ln>
              <a:effectLst/>
            </c:spPr>
            <c:extLst>
              <c:ext xmlns:c16="http://schemas.microsoft.com/office/drawing/2014/chart" uri="{C3380CC4-5D6E-409C-BE32-E72D297353CC}">
                <c16:uniqueId val="{00000007-7DCE-48D3-9404-9AE597BABC83}"/>
              </c:ext>
            </c:extLst>
          </c:dPt>
          <c:dPt>
            <c:idx val="4"/>
            <c:bubble3D val="0"/>
            <c:spPr>
              <a:solidFill>
                <a:schemeClr val="accent1">
                  <a:tint val="77000"/>
                </a:schemeClr>
              </a:solidFill>
              <a:ln w="19050">
                <a:solidFill>
                  <a:schemeClr val="lt1"/>
                </a:solidFill>
              </a:ln>
              <a:effectLst/>
            </c:spPr>
            <c:extLst>
              <c:ext xmlns:c16="http://schemas.microsoft.com/office/drawing/2014/chart" uri="{C3380CC4-5D6E-409C-BE32-E72D297353CC}">
                <c16:uniqueId val="{00000009-7DCE-48D3-9404-9AE597BABC83}"/>
              </c:ext>
            </c:extLst>
          </c:dPt>
          <c:dPt>
            <c:idx val="5"/>
            <c:bubble3D val="0"/>
            <c:spPr>
              <a:solidFill>
                <a:schemeClr val="accent1">
                  <a:tint val="46000"/>
                </a:schemeClr>
              </a:solidFill>
              <a:ln w="19050">
                <a:solidFill>
                  <a:schemeClr val="lt1"/>
                </a:solidFill>
              </a:ln>
              <a:effectLst/>
            </c:spPr>
            <c:extLst>
              <c:ext xmlns:c16="http://schemas.microsoft.com/office/drawing/2014/chart" uri="{C3380CC4-5D6E-409C-BE32-E72D297353CC}">
                <c16:uniqueId val="{0000000B-7DCE-48D3-9404-9AE597BABC83}"/>
              </c:ext>
            </c:extLst>
          </c:dPt>
          <c:dLbls>
            <c:dLbl>
              <c:idx val="1"/>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3-7DCE-48D3-9404-9AE597BABC83}"/>
                </c:ext>
              </c:extLst>
            </c:dLbl>
            <c:dLbl>
              <c:idx val="2"/>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5-7DCE-48D3-9404-9AE597BABC83}"/>
                </c:ext>
              </c:extLst>
            </c:dLbl>
            <c:dLbl>
              <c:idx val="4"/>
              <c:delete val="1"/>
              <c:extLst>
                <c:ext xmlns:c15="http://schemas.microsoft.com/office/drawing/2012/chart" uri="{CE6537A1-D6FC-4f65-9D91-7224C49458BB}"/>
                <c:ext xmlns:c16="http://schemas.microsoft.com/office/drawing/2014/chart" uri="{C3380CC4-5D6E-409C-BE32-E72D297353CC}">
                  <c16:uniqueId val="{00000009-7DCE-48D3-9404-9AE597BABC83}"/>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'Exports 2-years'!$A$10:$A$18</c15:sqref>
                  </c15:fullRef>
                </c:ext>
              </c:extLst>
              <c:f>('Exports 2-years'!$A$10,'Exports 2-years'!$A$12:$A$15,'Exports 2-years'!$A$18)</c:f>
              <c:strCache>
                <c:ptCount val="6"/>
                <c:pt idx="0">
                  <c:v>Alumina and Bauxite</c:v>
                </c:pt>
                <c:pt idx="1">
                  <c:v>Gold</c:v>
                </c:pt>
                <c:pt idx="2">
                  <c:v>Iron Ore</c:v>
                </c:pt>
                <c:pt idx="3">
                  <c:v>Lithium</c:v>
                </c:pt>
                <c:pt idx="4">
                  <c:v>Mineral Sands</c:v>
                </c:pt>
                <c:pt idx="5">
                  <c:v>Other</c:v>
                </c:pt>
              </c:strCache>
            </c:strRef>
          </c:cat>
          <c:val>
            <c:numRef>
              <c:extLst>
                <c:ext xmlns:c15="http://schemas.microsoft.com/office/drawing/2012/chart" uri="{02D57815-91ED-43cb-92C2-25804820EDAC}">
                  <c15:fullRef>
                    <c15:sqref>'Exports 2-years'!$C$10:$C$18</c15:sqref>
                  </c15:fullRef>
                </c:ext>
              </c:extLst>
              <c:f>('Exports 2-years'!$C$10,'Exports 2-years'!$C$12:$C$15,'Exports 2-years'!$C$18)</c:f>
              <c:numCache>
                <c:formatCode>#,##0</c:formatCode>
                <c:ptCount val="6"/>
                <c:pt idx="0">
                  <c:v>7088050000</c:v>
                </c:pt>
                <c:pt idx="1">
                  <c:v>33997406000</c:v>
                </c:pt>
                <c:pt idx="2">
                  <c:v>119657689000</c:v>
                </c:pt>
                <c:pt idx="3">
                  <c:v>4691001084</c:v>
                </c:pt>
                <c:pt idx="4">
                  <c:v>0</c:v>
                </c:pt>
                <c:pt idx="5">
                  <c:v>50169808592.457756</c:v>
                </c:pt>
              </c:numCache>
            </c:numRef>
          </c:val>
          <c:extLst>
            <c:ext xmlns:c15="http://schemas.microsoft.com/office/drawing/2012/chart" uri="{02D57815-91ED-43cb-92C2-25804820EDAC}">
              <c15:categoryFilterExceptions>
                <c15:categoryFilterException>
                  <c15:sqref>'Exports 2-years'!$C$16</c15:sqref>
                  <c15:spPr xmlns:c15="http://schemas.microsoft.com/office/drawing/2012/chart">
                    <a:solidFill>
                      <a:schemeClr val="accent1">
                        <a:tint val="62000"/>
                      </a:schemeClr>
                    </a:solidFill>
                    <a:ln w="19050">
                      <a:solidFill>
                        <a:schemeClr val="lt1"/>
                      </a:solidFill>
                    </a:ln>
                    <a:effectLst/>
                  </c15:spPr>
                  <c15:bubble3D val="0"/>
                </c15:categoryFilterException>
                <c15:categoryFilterException>
                  <c15:sqref>'Exports 2-years'!$C$17</c15:sqref>
                  <c15:spPr xmlns:c15="http://schemas.microsoft.com/office/drawing/2012/chart">
                    <a:solidFill>
                      <a:schemeClr val="accent1">
                        <a:tint val="46000"/>
                      </a:scheme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C-7DCE-48D3-9404-9AE597BABC83}"/>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rgbClr val="868686"/>
      </a:solid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strRef>
          <c:f>'Mining Employment FY'!$X$52</c:f>
          <c:strCache>
            <c:ptCount val="1"/>
            <c:pt idx="0">
              <c:v>Total Mining
 Last 10 Financial Years</c:v>
            </c:pt>
          </c:strCache>
        </c:strRef>
      </c:tx>
      <c:layout>
        <c:manualLayout>
          <c:xMode val="edge"/>
          <c:yMode val="edge"/>
          <c:x val="0.32141521428089698"/>
          <c:y val="2.557955555555556E-2"/>
        </c:manualLayout>
      </c:layout>
      <c:overlay val="0"/>
      <c:txPr>
        <a:bodyPr/>
        <a:lstStyle/>
        <a:p>
          <a:pPr>
            <a:defRPr sz="1600"/>
          </a:pPr>
          <a:endParaRPr lang="en-US"/>
        </a:p>
      </c:txPr>
    </c:title>
    <c:autoTitleDeleted val="0"/>
    <c:plotArea>
      <c:layout/>
      <c:barChart>
        <c:barDir val="col"/>
        <c:grouping val="clustered"/>
        <c:varyColors val="0"/>
        <c:ser>
          <c:idx val="0"/>
          <c:order val="0"/>
          <c:tx>
            <c:strRef>
              <c:f>'Mining Employment FY'!$O$52:$S$52</c:f>
              <c:strCache>
                <c:ptCount val="5"/>
                <c:pt idx="0">
                  <c:v>Total Mining</c:v>
                </c:pt>
              </c:strCache>
            </c:strRef>
          </c:tx>
          <c:invertIfNegative val="0"/>
          <c:cat>
            <c:strRef>
              <c:f>'Mining Employment FY'!$N$102:$W$102</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Employment FY'!$N$103:$W$103</c:f>
              <c:numCache>
                <c:formatCode>General</c:formatCode>
                <c:ptCount val="10"/>
                <c:pt idx="0">
                  <c:v>85944.517000000007</c:v>
                </c:pt>
                <c:pt idx="1">
                  <c:v>84423.134000000005</c:v>
                </c:pt>
                <c:pt idx="2">
                  <c:v>89812.501999999993</c:v>
                </c:pt>
                <c:pt idx="3">
                  <c:v>98277.895499999999</c:v>
                </c:pt>
                <c:pt idx="4">
                  <c:v>104415.999</c:v>
                </c:pt>
                <c:pt idx="5">
                  <c:v>113919.43700000001</c:v>
                </c:pt>
                <c:pt idx="6">
                  <c:v>119038.236</c:v>
                </c:pt>
                <c:pt idx="7">
                  <c:v>127625.9065</c:v>
                </c:pt>
                <c:pt idx="8">
                  <c:v>134932.18900000001</c:v>
                </c:pt>
                <c:pt idx="9">
                  <c:v>134590.027</c:v>
                </c:pt>
              </c:numCache>
            </c:numRef>
          </c:val>
          <c:extLst>
            <c:ext xmlns:c16="http://schemas.microsoft.com/office/drawing/2014/chart" uri="{C3380CC4-5D6E-409C-BE32-E72D297353CC}">
              <c16:uniqueId val="{00000000-DC5D-4CA9-BD34-544837C836EC}"/>
            </c:ext>
          </c:extLst>
        </c:ser>
        <c:dLbls>
          <c:showLegendKey val="0"/>
          <c:showVal val="0"/>
          <c:showCatName val="0"/>
          <c:showSerName val="0"/>
          <c:showPercent val="0"/>
          <c:showBubbleSize val="0"/>
        </c:dLbls>
        <c:gapWidth val="75"/>
        <c:overlap val="-25"/>
        <c:axId val="432444160"/>
        <c:axId val="432446080"/>
      </c:barChart>
      <c:catAx>
        <c:axId val="432444160"/>
        <c:scaling>
          <c:orientation val="minMax"/>
        </c:scaling>
        <c:delete val="0"/>
        <c:axPos val="b"/>
        <c:title>
          <c:tx>
            <c:rich>
              <a:bodyPr/>
              <a:lstStyle/>
              <a:p>
                <a:pPr algn="l">
                  <a:defRPr/>
                </a:pPr>
                <a:r>
                  <a:rPr lang="en-AU" sz="900" b="1">
                    <a:effectLst/>
                    <a:latin typeface="+mn-lt"/>
                  </a:rPr>
                  <a:t>Source: LGIRS</a:t>
                </a:r>
              </a:p>
            </c:rich>
          </c:tx>
          <c:layout>
            <c:manualLayout>
              <c:xMode val="edge"/>
              <c:yMode val="edge"/>
              <c:x val="6.8668805879999037E-3"/>
              <c:y val="0.94782803689983719"/>
            </c:manualLayout>
          </c:layout>
          <c:overlay val="0"/>
          <c:spPr>
            <a:noFill/>
          </c:spPr>
        </c:title>
        <c:numFmt formatCode="General" sourceLinked="1"/>
        <c:majorTickMark val="none"/>
        <c:minorTickMark val="none"/>
        <c:tickLblPos val="nextTo"/>
        <c:txPr>
          <a:bodyPr rot="-2700000"/>
          <a:lstStyle/>
          <a:p>
            <a:pPr>
              <a:defRPr/>
            </a:pPr>
            <a:endParaRPr lang="en-US"/>
          </a:p>
        </c:txPr>
        <c:crossAx val="432446080"/>
        <c:crosses val="autoZero"/>
        <c:auto val="0"/>
        <c:lblAlgn val="ctr"/>
        <c:lblOffset val="100"/>
        <c:tickMarkSkip val="1"/>
        <c:noMultiLvlLbl val="0"/>
      </c:catAx>
      <c:valAx>
        <c:axId val="432446080"/>
        <c:scaling>
          <c:orientation val="minMax"/>
        </c:scaling>
        <c:delete val="0"/>
        <c:axPos val="l"/>
        <c:majorGridlines/>
        <c:title>
          <c:tx>
            <c:rich>
              <a:bodyPr rot="-5400000" vert="horz"/>
              <a:lstStyle/>
              <a:p>
                <a:pPr>
                  <a:defRPr/>
                </a:pPr>
                <a:r>
                  <a:rPr lang="en-AU" baseline="0"/>
                  <a:t>FTEs</a:t>
                </a:r>
                <a:endParaRPr lang="en-AU"/>
              </a:p>
            </c:rich>
          </c:tx>
          <c:layout>
            <c:manualLayout>
              <c:xMode val="edge"/>
              <c:yMode val="edge"/>
              <c:x val="1.4709263303341493E-2"/>
              <c:y val="0.44974693717375996"/>
            </c:manualLayout>
          </c:layout>
          <c:overlay val="0"/>
        </c:title>
        <c:numFmt formatCode="#,##0" sourceLinked="0"/>
        <c:majorTickMark val="none"/>
        <c:minorTickMark val="none"/>
        <c:tickLblPos val="nextTo"/>
        <c:crossAx val="432444160"/>
        <c:crosses val="autoZero"/>
        <c:crossBetween val="between"/>
      </c:valAx>
    </c:plotArea>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a:t>Total Mining Employment</a:t>
            </a:r>
          </a:p>
          <a:p>
            <a:pPr>
              <a:defRPr/>
            </a:pPr>
            <a:r>
              <a:rPr lang="en-AU" sz="1100"/>
              <a:t>FTEs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9.9652773688428259E-2"/>
          <c:y val="0.12031207671352923"/>
          <c:w val="0.87590294241119915"/>
          <c:h val="0.74091613480426077"/>
        </c:manualLayout>
      </c:layout>
      <c:lineChart>
        <c:grouping val="standard"/>
        <c:varyColors val="0"/>
        <c:ser>
          <c:idx val="0"/>
          <c:order val="0"/>
          <c:tx>
            <c:v>FTEs</c:v>
          </c:tx>
          <c:spPr>
            <a:ln w="28575" cap="rnd" cmpd="sng" algn="ctr">
              <a:solidFill>
                <a:schemeClr val="accent2">
                  <a:shade val="95000"/>
                  <a:satMod val="105000"/>
                </a:schemeClr>
              </a:solidFill>
              <a:prstDash val="solid"/>
              <a:round/>
            </a:ln>
            <a:effectLst/>
          </c:spPr>
          <c:marker>
            <c:symbol val="none"/>
          </c:marker>
          <c:dPt>
            <c:idx val="255"/>
            <c:bubble3D val="0"/>
            <c:spPr>
              <a:ln w="28575" cap="rnd" cmpd="sng" algn="ctr">
                <a:solidFill>
                  <a:schemeClr val="accent5"/>
                </a:solidFill>
                <a:prstDash val="solid"/>
                <a:round/>
              </a:ln>
              <a:effectLst/>
            </c:spPr>
            <c:extLst>
              <c:ext xmlns:c16="http://schemas.microsoft.com/office/drawing/2014/chart" uri="{C3380CC4-5D6E-409C-BE32-E72D297353CC}">
                <c16:uniqueId val="{00000001-4120-47D7-8FEC-9FA7456BB2BD}"/>
              </c:ext>
            </c:extLst>
          </c:dPt>
          <c:dPt>
            <c:idx val="256"/>
            <c:bubble3D val="0"/>
            <c:spPr>
              <a:ln w="28575" cap="rnd" cmpd="sng" algn="ctr">
                <a:solidFill>
                  <a:schemeClr val="accent5"/>
                </a:solidFill>
                <a:prstDash val="solid"/>
                <a:round/>
              </a:ln>
              <a:effectLst/>
            </c:spPr>
            <c:extLst>
              <c:ext xmlns:c16="http://schemas.microsoft.com/office/drawing/2014/chart" uri="{C3380CC4-5D6E-409C-BE32-E72D297353CC}">
                <c16:uniqueId val="{00000003-4120-47D7-8FEC-9FA7456BB2BD}"/>
              </c:ext>
            </c:extLst>
          </c:dPt>
          <c:dPt>
            <c:idx val="257"/>
            <c:bubble3D val="0"/>
            <c:spPr>
              <a:ln w="28575" cap="rnd" cmpd="sng" algn="ctr">
                <a:solidFill>
                  <a:schemeClr val="accent5"/>
                </a:solidFill>
                <a:prstDash val="solid"/>
                <a:round/>
              </a:ln>
              <a:effectLst/>
            </c:spPr>
            <c:extLst>
              <c:ext xmlns:c16="http://schemas.microsoft.com/office/drawing/2014/chart" uri="{C3380CC4-5D6E-409C-BE32-E72D297353CC}">
                <c16:uniqueId val="{00000005-4120-47D7-8FEC-9FA7456BB2BD}"/>
              </c:ext>
            </c:extLst>
          </c:dPt>
          <c:dPt>
            <c:idx val="258"/>
            <c:bubble3D val="0"/>
            <c:spPr>
              <a:ln w="28575" cap="rnd" cmpd="sng" algn="ctr">
                <a:solidFill>
                  <a:schemeClr val="accent5"/>
                </a:solidFill>
                <a:prstDash val="solid"/>
                <a:round/>
              </a:ln>
              <a:effectLst/>
            </c:spPr>
            <c:extLst>
              <c:ext xmlns:c16="http://schemas.microsoft.com/office/drawing/2014/chart" uri="{C3380CC4-5D6E-409C-BE32-E72D297353CC}">
                <c16:uniqueId val="{00000007-4120-47D7-8FEC-9FA7456BB2BD}"/>
              </c:ext>
            </c:extLst>
          </c:dPt>
          <c:dPt>
            <c:idx val="259"/>
            <c:bubble3D val="0"/>
            <c:spPr>
              <a:ln w="28575" cap="rnd" cmpd="sng" algn="ctr">
                <a:solidFill>
                  <a:schemeClr val="accent5"/>
                </a:solidFill>
                <a:prstDash val="solid"/>
                <a:round/>
              </a:ln>
              <a:effectLst/>
            </c:spPr>
            <c:extLst>
              <c:ext xmlns:c16="http://schemas.microsoft.com/office/drawing/2014/chart" uri="{C3380CC4-5D6E-409C-BE32-E72D297353CC}">
                <c16:uniqueId val="{00000009-4120-47D7-8FEC-9FA7456BB2BD}"/>
              </c:ext>
            </c:extLst>
          </c:dPt>
          <c:dPt>
            <c:idx val="260"/>
            <c:bubble3D val="0"/>
            <c:spPr>
              <a:ln w="28575" cap="rnd" cmpd="sng" algn="ctr">
                <a:solidFill>
                  <a:schemeClr val="accent5"/>
                </a:solidFill>
                <a:prstDash val="solid"/>
                <a:round/>
              </a:ln>
              <a:effectLst/>
            </c:spPr>
            <c:extLst>
              <c:ext xmlns:c16="http://schemas.microsoft.com/office/drawing/2014/chart" uri="{C3380CC4-5D6E-409C-BE32-E72D297353CC}">
                <c16:uniqueId val="{0000000B-4120-47D7-8FEC-9FA7456BB2BD}"/>
              </c:ext>
            </c:extLst>
          </c:dPt>
          <c:dPt>
            <c:idx val="261"/>
            <c:bubble3D val="0"/>
            <c:spPr>
              <a:ln w="28575" cap="rnd" cmpd="sng" algn="ctr">
                <a:solidFill>
                  <a:schemeClr val="accent5"/>
                </a:solidFill>
                <a:prstDash val="solid"/>
                <a:round/>
              </a:ln>
              <a:effectLst/>
            </c:spPr>
            <c:extLst>
              <c:ext xmlns:c16="http://schemas.microsoft.com/office/drawing/2014/chart" uri="{C3380CC4-5D6E-409C-BE32-E72D297353CC}">
                <c16:uniqueId val="{0000000D-4120-47D7-8FEC-9FA7456BB2BD}"/>
              </c:ext>
            </c:extLst>
          </c:dPt>
          <c:dPt>
            <c:idx val="262"/>
            <c:bubble3D val="0"/>
            <c:spPr>
              <a:ln w="28575" cap="rnd" cmpd="sng" algn="ctr">
                <a:solidFill>
                  <a:schemeClr val="accent5"/>
                </a:solidFill>
                <a:prstDash val="solid"/>
                <a:round/>
              </a:ln>
              <a:effectLst/>
            </c:spPr>
            <c:extLst>
              <c:ext xmlns:c16="http://schemas.microsoft.com/office/drawing/2014/chart" uri="{C3380CC4-5D6E-409C-BE32-E72D297353CC}">
                <c16:uniqueId val="{0000000F-4120-47D7-8FEC-9FA7456BB2BD}"/>
              </c:ext>
            </c:extLst>
          </c:dPt>
          <c:dPt>
            <c:idx val="263"/>
            <c:bubble3D val="0"/>
            <c:spPr>
              <a:ln w="28575" cap="rnd" cmpd="sng" algn="ctr">
                <a:solidFill>
                  <a:schemeClr val="accent5"/>
                </a:solidFill>
                <a:prstDash val="solid"/>
                <a:round/>
              </a:ln>
              <a:effectLst/>
            </c:spPr>
            <c:extLst>
              <c:ext xmlns:c16="http://schemas.microsoft.com/office/drawing/2014/chart" uri="{C3380CC4-5D6E-409C-BE32-E72D297353CC}">
                <c16:uniqueId val="{00000011-4120-47D7-8FEC-9FA7456BB2BD}"/>
              </c:ext>
            </c:extLst>
          </c:dPt>
          <c:dPt>
            <c:idx val="264"/>
            <c:bubble3D val="0"/>
            <c:spPr>
              <a:ln w="28575" cap="rnd" cmpd="sng" algn="ctr">
                <a:solidFill>
                  <a:schemeClr val="accent5"/>
                </a:solidFill>
                <a:prstDash val="solid"/>
                <a:round/>
              </a:ln>
              <a:effectLst/>
            </c:spPr>
            <c:extLst>
              <c:ext xmlns:c16="http://schemas.microsoft.com/office/drawing/2014/chart" uri="{C3380CC4-5D6E-409C-BE32-E72D297353CC}">
                <c16:uniqueId val="{00000013-4120-47D7-8FEC-9FA7456BB2BD}"/>
              </c:ext>
            </c:extLst>
          </c:dPt>
          <c:dPt>
            <c:idx val="265"/>
            <c:bubble3D val="0"/>
            <c:spPr>
              <a:ln w="28575" cap="rnd" cmpd="sng" algn="ctr">
                <a:solidFill>
                  <a:schemeClr val="accent5"/>
                </a:solidFill>
                <a:prstDash val="solid"/>
                <a:round/>
              </a:ln>
              <a:effectLst/>
            </c:spPr>
            <c:extLst>
              <c:ext xmlns:c16="http://schemas.microsoft.com/office/drawing/2014/chart" uri="{C3380CC4-5D6E-409C-BE32-E72D297353CC}">
                <c16:uniqueId val="{00000014-4120-47D7-8FEC-9FA7456BB2BD}"/>
              </c:ext>
            </c:extLst>
          </c:dPt>
          <c:dPt>
            <c:idx val="266"/>
            <c:bubble3D val="0"/>
            <c:spPr>
              <a:ln w="28575" cap="rnd" cmpd="sng" algn="ctr">
                <a:solidFill>
                  <a:schemeClr val="accent5"/>
                </a:solidFill>
                <a:prstDash val="solid"/>
                <a:round/>
              </a:ln>
              <a:effectLst/>
            </c:spPr>
            <c:extLst>
              <c:ext xmlns:c16="http://schemas.microsoft.com/office/drawing/2014/chart" uri="{C3380CC4-5D6E-409C-BE32-E72D297353CC}">
                <c16:uniqueId val="{00000016-081D-4D77-9221-B1C15A33217B}"/>
              </c:ext>
            </c:extLst>
          </c:dPt>
          <c:dPt>
            <c:idx val="267"/>
            <c:bubble3D val="0"/>
            <c:spPr>
              <a:ln w="28575" cap="rnd" cmpd="sng" algn="ctr">
                <a:solidFill>
                  <a:schemeClr val="accent5"/>
                </a:solidFill>
                <a:prstDash val="solid"/>
                <a:round/>
              </a:ln>
              <a:effectLst/>
            </c:spPr>
            <c:extLst>
              <c:ext xmlns:c16="http://schemas.microsoft.com/office/drawing/2014/chart" uri="{C3380CC4-5D6E-409C-BE32-E72D297353CC}">
                <c16:uniqueId val="{00000017-081D-4D77-9221-B1C15A33217B}"/>
              </c:ext>
            </c:extLst>
          </c:dPt>
          <c:dPt>
            <c:idx val="268"/>
            <c:bubble3D val="0"/>
            <c:spPr>
              <a:ln w="28575" cap="rnd" cmpd="sng" algn="ctr">
                <a:solidFill>
                  <a:schemeClr val="accent5"/>
                </a:solidFill>
                <a:prstDash val="solid"/>
                <a:round/>
              </a:ln>
              <a:effectLst/>
            </c:spPr>
            <c:extLst>
              <c:ext xmlns:c16="http://schemas.microsoft.com/office/drawing/2014/chart" uri="{C3380CC4-5D6E-409C-BE32-E72D297353CC}">
                <c16:uniqueId val="{0000001B-0748-43C6-B6D3-44C068374995}"/>
              </c:ext>
            </c:extLst>
          </c:dPt>
          <c:dPt>
            <c:idx val="269"/>
            <c:bubble3D val="0"/>
            <c:spPr>
              <a:ln w="28575" cap="rnd" cmpd="sng" algn="ctr">
                <a:solidFill>
                  <a:schemeClr val="accent5"/>
                </a:solidFill>
                <a:prstDash val="solid"/>
                <a:round/>
              </a:ln>
              <a:effectLst/>
            </c:spPr>
            <c:extLst>
              <c:ext xmlns:c16="http://schemas.microsoft.com/office/drawing/2014/chart" uri="{C3380CC4-5D6E-409C-BE32-E72D297353CC}">
                <c16:uniqueId val="{0000001A-0748-43C6-B6D3-44C068374995}"/>
              </c:ext>
            </c:extLst>
          </c:dPt>
          <c:cat>
            <c:numRef>
              <c:f>'Mining Employment Report Period'!$B$8:$TC$8</c:f>
              <c:numCache>
                <c:formatCode>mmm\-yy</c:formatCode>
                <c:ptCount val="522"/>
                <c:pt idx="0">
                  <c:v>36922</c:v>
                </c:pt>
                <c:pt idx="1">
                  <c:v>36950</c:v>
                </c:pt>
                <c:pt idx="2">
                  <c:v>36981</c:v>
                </c:pt>
                <c:pt idx="3">
                  <c:v>37011</c:v>
                </c:pt>
                <c:pt idx="4">
                  <c:v>37042</c:v>
                </c:pt>
                <c:pt idx="5">
                  <c:v>37072</c:v>
                </c:pt>
                <c:pt idx="6">
                  <c:v>37103</c:v>
                </c:pt>
                <c:pt idx="7">
                  <c:v>37134</c:v>
                </c:pt>
                <c:pt idx="8">
                  <c:v>37164</c:v>
                </c:pt>
                <c:pt idx="9">
                  <c:v>37195</c:v>
                </c:pt>
                <c:pt idx="10">
                  <c:v>37225</c:v>
                </c:pt>
                <c:pt idx="11">
                  <c:v>37256</c:v>
                </c:pt>
                <c:pt idx="12">
                  <c:v>37287</c:v>
                </c:pt>
                <c:pt idx="13">
                  <c:v>37315</c:v>
                </c:pt>
                <c:pt idx="14">
                  <c:v>37346</c:v>
                </c:pt>
                <c:pt idx="15">
                  <c:v>37376</c:v>
                </c:pt>
                <c:pt idx="16">
                  <c:v>37407</c:v>
                </c:pt>
                <c:pt idx="17">
                  <c:v>37437</c:v>
                </c:pt>
                <c:pt idx="18">
                  <c:v>37468</c:v>
                </c:pt>
                <c:pt idx="19">
                  <c:v>37499</c:v>
                </c:pt>
                <c:pt idx="20">
                  <c:v>37529</c:v>
                </c:pt>
                <c:pt idx="21">
                  <c:v>37560</c:v>
                </c:pt>
                <c:pt idx="22">
                  <c:v>37590</c:v>
                </c:pt>
                <c:pt idx="23">
                  <c:v>37621</c:v>
                </c:pt>
                <c:pt idx="24">
                  <c:v>37652</c:v>
                </c:pt>
                <c:pt idx="25">
                  <c:v>37680</c:v>
                </c:pt>
                <c:pt idx="26">
                  <c:v>37711</c:v>
                </c:pt>
                <c:pt idx="27">
                  <c:v>37741</c:v>
                </c:pt>
                <c:pt idx="28">
                  <c:v>37772</c:v>
                </c:pt>
                <c:pt idx="29">
                  <c:v>37802</c:v>
                </c:pt>
                <c:pt idx="30">
                  <c:v>37833</c:v>
                </c:pt>
                <c:pt idx="31">
                  <c:v>37864</c:v>
                </c:pt>
                <c:pt idx="32">
                  <c:v>37894</c:v>
                </c:pt>
                <c:pt idx="33">
                  <c:v>37925</c:v>
                </c:pt>
                <c:pt idx="34">
                  <c:v>37955</c:v>
                </c:pt>
                <c:pt idx="35">
                  <c:v>37986</c:v>
                </c:pt>
                <c:pt idx="36">
                  <c:v>38017</c:v>
                </c:pt>
                <c:pt idx="37">
                  <c:v>38046</c:v>
                </c:pt>
                <c:pt idx="38">
                  <c:v>38077</c:v>
                </c:pt>
                <c:pt idx="39">
                  <c:v>38107</c:v>
                </c:pt>
                <c:pt idx="40">
                  <c:v>38138</c:v>
                </c:pt>
                <c:pt idx="41">
                  <c:v>38168</c:v>
                </c:pt>
                <c:pt idx="42">
                  <c:v>38199</c:v>
                </c:pt>
                <c:pt idx="43">
                  <c:v>38230</c:v>
                </c:pt>
                <c:pt idx="44">
                  <c:v>38260</c:v>
                </c:pt>
                <c:pt idx="45">
                  <c:v>38291</c:v>
                </c:pt>
                <c:pt idx="46">
                  <c:v>38321</c:v>
                </c:pt>
                <c:pt idx="47">
                  <c:v>38352</c:v>
                </c:pt>
                <c:pt idx="48">
                  <c:v>38383</c:v>
                </c:pt>
                <c:pt idx="49">
                  <c:v>38411</c:v>
                </c:pt>
                <c:pt idx="50">
                  <c:v>38442</c:v>
                </c:pt>
                <c:pt idx="51">
                  <c:v>38472</c:v>
                </c:pt>
                <c:pt idx="52">
                  <c:v>38503</c:v>
                </c:pt>
                <c:pt idx="53">
                  <c:v>38533</c:v>
                </c:pt>
                <c:pt idx="54">
                  <c:v>38564</c:v>
                </c:pt>
                <c:pt idx="55">
                  <c:v>38595</c:v>
                </c:pt>
                <c:pt idx="56">
                  <c:v>38625</c:v>
                </c:pt>
                <c:pt idx="57">
                  <c:v>38656</c:v>
                </c:pt>
                <c:pt idx="58">
                  <c:v>38686</c:v>
                </c:pt>
                <c:pt idx="59">
                  <c:v>38717</c:v>
                </c:pt>
                <c:pt idx="60">
                  <c:v>38748</c:v>
                </c:pt>
                <c:pt idx="61">
                  <c:v>38776</c:v>
                </c:pt>
                <c:pt idx="62">
                  <c:v>38807</c:v>
                </c:pt>
                <c:pt idx="63">
                  <c:v>38837</c:v>
                </c:pt>
                <c:pt idx="64">
                  <c:v>38868</c:v>
                </c:pt>
                <c:pt idx="65">
                  <c:v>38898</c:v>
                </c:pt>
                <c:pt idx="66">
                  <c:v>38929</c:v>
                </c:pt>
                <c:pt idx="67">
                  <c:v>38960</c:v>
                </c:pt>
                <c:pt idx="68">
                  <c:v>38990</c:v>
                </c:pt>
                <c:pt idx="69">
                  <c:v>39021</c:v>
                </c:pt>
                <c:pt idx="70">
                  <c:v>39051</c:v>
                </c:pt>
                <c:pt idx="71">
                  <c:v>39082</c:v>
                </c:pt>
                <c:pt idx="72">
                  <c:v>39113</c:v>
                </c:pt>
                <c:pt idx="73">
                  <c:v>39141</c:v>
                </c:pt>
                <c:pt idx="74">
                  <c:v>39172</c:v>
                </c:pt>
                <c:pt idx="75">
                  <c:v>39202</c:v>
                </c:pt>
                <c:pt idx="76">
                  <c:v>39233</c:v>
                </c:pt>
                <c:pt idx="77">
                  <c:v>39263</c:v>
                </c:pt>
                <c:pt idx="78">
                  <c:v>39294</c:v>
                </c:pt>
                <c:pt idx="79">
                  <c:v>39325</c:v>
                </c:pt>
                <c:pt idx="80">
                  <c:v>39355</c:v>
                </c:pt>
                <c:pt idx="81">
                  <c:v>39386</c:v>
                </c:pt>
                <c:pt idx="82">
                  <c:v>39416</c:v>
                </c:pt>
                <c:pt idx="83">
                  <c:v>39447</c:v>
                </c:pt>
                <c:pt idx="84">
                  <c:v>39478</c:v>
                </c:pt>
                <c:pt idx="85">
                  <c:v>39507</c:v>
                </c:pt>
                <c:pt idx="86">
                  <c:v>39538</c:v>
                </c:pt>
                <c:pt idx="87">
                  <c:v>39568</c:v>
                </c:pt>
                <c:pt idx="88">
                  <c:v>39599</c:v>
                </c:pt>
                <c:pt idx="89">
                  <c:v>39629</c:v>
                </c:pt>
                <c:pt idx="90">
                  <c:v>39660</c:v>
                </c:pt>
                <c:pt idx="91">
                  <c:v>39691</c:v>
                </c:pt>
                <c:pt idx="92">
                  <c:v>39721</c:v>
                </c:pt>
                <c:pt idx="93">
                  <c:v>39752</c:v>
                </c:pt>
                <c:pt idx="94">
                  <c:v>39782</c:v>
                </c:pt>
                <c:pt idx="95">
                  <c:v>39813</c:v>
                </c:pt>
                <c:pt idx="96">
                  <c:v>39844</c:v>
                </c:pt>
                <c:pt idx="97">
                  <c:v>39872</c:v>
                </c:pt>
                <c:pt idx="98">
                  <c:v>39903</c:v>
                </c:pt>
                <c:pt idx="99">
                  <c:v>39933</c:v>
                </c:pt>
                <c:pt idx="100">
                  <c:v>39964</c:v>
                </c:pt>
                <c:pt idx="101">
                  <c:v>39994</c:v>
                </c:pt>
                <c:pt idx="102">
                  <c:v>40025</c:v>
                </c:pt>
                <c:pt idx="103">
                  <c:v>40056</c:v>
                </c:pt>
                <c:pt idx="104">
                  <c:v>40086</c:v>
                </c:pt>
                <c:pt idx="105">
                  <c:v>40117</c:v>
                </c:pt>
                <c:pt idx="106">
                  <c:v>40147</c:v>
                </c:pt>
                <c:pt idx="107">
                  <c:v>40178</c:v>
                </c:pt>
                <c:pt idx="108">
                  <c:v>40209</c:v>
                </c:pt>
                <c:pt idx="109">
                  <c:v>40237</c:v>
                </c:pt>
                <c:pt idx="110">
                  <c:v>40268</c:v>
                </c:pt>
                <c:pt idx="111">
                  <c:v>40298</c:v>
                </c:pt>
                <c:pt idx="112">
                  <c:v>40329</c:v>
                </c:pt>
                <c:pt idx="113">
                  <c:v>40359</c:v>
                </c:pt>
                <c:pt idx="114">
                  <c:v>40390</c:v>
                </c:pt>
                <c:pt idx="115">
                  <c:v>40421</c:v>
                </c:pt>
                <c:pt idx="116">
                  <c:v>40451</c:v>
                </c:pt>
                <c:pt idx="117">
                  <c:v>40482</c:v>
                </c:pt>
                <c:pt idx="118">
                  <c:v>40512</c:v>
                </c:pt>
                <c:pt idx="119">
                  <c:v>40543</c:v>
                </c:pt>
                <c:pt idx="120">
                  <c:v>40574</c:v>
                </c:pt>
                <c:pt idx="121">
                  <c:v>40602</c:v>
                </c:pt>
                <c:pt idx="122">
                  <c:v>40633</c:v>
                </c:pt>
                <c:pt idx="123">
                  <c:v>40663</c:v>
                </c:pt>
                <c:pt idx="124">
                  <c:v>40694</c:v>
                </c:pt>
                <c:pt idx="125">
                  <c:v>40724</c:v>
                </c:pt>
                <c:pt idx="126">
                  <c:v>40755</c:v>
                </c:pt>
                <c:pt idx="127">
                  <c:v>40786</c:v>
                </c:pt>
                <c:pt idx="128">
                  <c:v>40816</c:v>
                </c:pt>
                <c:pt idx="129">
                  <c:v>40847</c:v>
                </c:pt>
                <c:pt idx="130">
                  <c:v>40877</c:v>
                </c:pt>
                <c:pt idx="131">
                  <c:v>40908</c:v>
                </c:pt>
                <c:pt idx="132">
                  <c:v>40939</c:v>
                </c:pt>
                <c:pt idx="133">
                  <c:v>40968</c:v>
                </c:pt>
                <c:pt idx="134">
                  <c:v>40999</c:v>
                </c:pt>
                <c:pt idx="135">
                  <c:v>41029</c:v>
                </c:pt>
                <c:pt idx="136">
                  <c:v>41060</c:v>
                </c:pt>
                <c:pt idx="137">
                  <c:v>41090</c:v>
                </c:pt>
                <c:pt idx="138">
                  <c:v>41121</c:v>
                </c:pt>
                <c:pt idx="139">
                  <c:v>41152</c:v>
                </c:pt>
                <c:pt idx="140">
                  <c:v>41182</c:v>
                </c:pt>
                <c:pt idx="141">
                  <c:v>41213</c:v>
                </c:pt>
                <c:pt idx="142">
                  <c:v>41243</c:v>
                </c:pt>
                <c:pt idx="143">
                  <c:v>41274</c:v>
                </c:pt>
                <c:pt idx="144">
                  <c:v>41305</c:v>
                </c:pt>
                <c:pt idx="145">
                  <c:v>41333</c:v>
                </c:pt>
                <c:pt idx="146">
                  <c:v>41364</c:v>
                </c:pt>
                <c:pt idx="147">
                  <c:v>41394</c:v>
                </c:pt>
                <c:pt idx="148">
                  <c:v>41425</c:v>
                </c:pt>
                <c:pt idx="149">
                  <c:v>41455</c:v>
                </c:pt>
                <c:pt idx="150">
                  <c:v>41486</c:v>
                </c:pt>
                <c:pt idx="151">
                  <c:v>41517</c:v>
                </c:pt>
                <c:pt idx="152">
                  <c:v>41547</c:v>
                </c:pt>
                <c:pt idx="153">
                  <c:v>41578</c:v>
                </c:pt>
                <c:pt idx="154">
                  <c:v>41608</c:v>
                </c:pt>
                <c:pt idx="155">
                  <c:v>41639</c:v>
                </c:pt>
                <c:pt idx="156">
                  <c:v>41670</c:v>
                </c:pt>
                <c:pt idx="157">
                  <c:v>41698</c:v>
                </c:pt>
                <c:pt idx="158">
                  <c:v>41729</c:v>
                </c:pt>
                <c:pt idx="159">
                  <c:v>41759</c:v>
                </c:pt>
                <c:pt idx="160">
                  <c:v>41790</c:v>
                </c:pt>
                <c:pt idx="161">
                  <c:v>41820</c:v>
                </c:pt>
                <c:pt idx="162">
                  <c:v>41851</c:v>
                </c:pt>
                <c:pt idx="163">
                  <c:v>41882</c:v>
                </c:pt>
                <c:pt idx="164">
                  <c:v>41912</c:v>
                </c:pt>
                <c:pt idx="165">
                  <c:v>41943</c:v>
                </c:pt>
                <c:pt idx="166">
                  <c:v>41973</c:v>
                </c:pt>
                <c:pt idx="167">
                  <c:v>42004</c:v>
                </c:pt>
                <c:pt idx="168">
                  <c:v>42035</c:v>
                </c:pt>
                <c:pt idx="169">
                  <c:v>42063</c:v>
                </c:pt>
                <c:pt idx="170">
                  <c:v>42094</c:v>
                </c:pt>
                <c:pt idx="171">
                  <c:v>42124</c:v>
                </c:pt>
                <c:pt idx="172">
                  <c:v>42155</c:v>
                </c:pt>
                <c:pt idx="173">
                  <c:v>42185</c:v>
                </c:pt>
                <c:pt idx="174">
                  <c:v>42216</c:v>
                </c:pt>
                <c:pt idx="175">
                  <c:v>42247</c:v>
                </c:pt>
                <c:pt idx="176">
                  <c:v>42277</c:v>
                </c:pt>
                <c:pt idx="177">
                  <c:v>42308</c:v>
                </c:pt>
                <c:pt idx="178">
                  <c:v>42338</c:v>
                </c:pt>
                <c:pt idx="179">
                  <c:v>42369</c:v>
                </c:pt>
                <c:pt idx="180">
                  <c:v>42400</c:v>
                </c:pt>
                <c:pt idx="181">
                  <c:v>42429</c:v>
                </c:pt>
                <c:pt idx="182">
                  <c:v>42460</c:v>
                </c:pt>
                <c:pt idx="183">
                  <c:v>42490</c:v>
                </c:pt>
                <c:pt idx="184">
                  <c:v>42521</c:v>
                </c:pt>
                <c:pt idx="185">
                  <c:v>42551</c:v>
                </c:pt>
                <c:pt idx="186">
                  <c:v>42582</c:v>
                </c:pt>
                <c:pt idx="187">
                  <c:v>42613</c:v>
                </c:pt>
                <c:pt idx="188">
                  <c:v>42643</c:v>
                </c:pt>
                <c:pt idx="189">
                  <c:v>42674</c:v>
                </c:pt>
                <c:pt idx="190">
                  <c:v>42704</c:v>
                </c:pt>
                <c:pt idx="191">
                  <c:v>42735</c:v>
                </c:pt>
                <c:pt idx="192">
                  <c:v>42766</c:v>
                </c:pt>
                <c:pt idx="193">
                  <c:v>42794</c:v>
                </c:pt>
                <c:pt idx="194">
                  <c:v>42825</c:v>
                </c:pt>
                <c:pt idx="195">
                  <c:v>42855</c:v>
                </c:pt>
                <c:pt idx="196">
                  <c:v>42886</c:v>
                </c:pt>
                <c:pt idx="197">
                  <c:v>42916</c:v>
                </c:pt>
                <c:pt idx="198">
                  <c:v>42947</c:v>
                </c:pt>
                <c:pt idx="199">
                  <c:v>42978</c:v>
                </c:pt>
                <c:pt idx="200">
                  <c:v>43008</c:v>
                </c:pt>
                <c:pt idx="201">
                  <c:v>43039</c:v>
                </c:pt>
                <c:pt idx="202">
                  <c:v>43069</c:v>
                </c:pt>
                <c:pt idx="203">
                  <c:v>43100</c:v>
                </c:pt>
                <c:pt idx="204">
                  <c:v>43131</c:v>
                </c:pt>
                <c:pt idx="205">
                  <c:v>43159</c:v>
                </c:pt>
                <c:pt idx="206">
                  <c:v>43190</c:v>
                </c:pt>
                <c:pt idx="207">
                  <c:v>43220</c:v>
                </c:pt>
                <c:pt idx="208">
                  <c:v>43251</c:v>
                </c:pt>
                <c:pt idx="209">
                  <c:v>43281</c:v>
                </c:pt>
                <c:pt idx="210">
                  <c:v>43312</c:v>
                </c:pt>
                <c:pt idx="211">
                  <c:v>43343</c:v>
                </c:pt>
                <c:pt idx="212">
                  <c:v>43373</c:v>
                </c:pt>
                <c:pt idx="213">
                  <c:v>43404</c:v>
                </c:pt>
                <c:pt idx="214">
                  <c:v>43434</c:v>
                </c:pt>
                <c:pt idx="215">
                  <c:v>43465</c:v>
                </c:pt>
                <c:pt idx="216">
                  <c:v>43496</c:v>
                </c:pt>
                <c:pt idx="217">
                  <c:v>43524</c:v>
                </c:pt>
                <c:pt idx="218">
                  <c:v>43555</c:v>
                </c:pt>
                <c:pt idx="219">
                  <c:v>43585</c:v>
                </c:pt>
                <c:pt idx="220">
                  <c:v>43616</c:v>
                </c:pt>
                <c:pt idx="221">
                  <c:v>43646</c:v>
                </c:pt>
                <c:pt idx="222">
                  <c:v>43677</c:v>
                </c:pt>
                <c:pt idx="223">
                  <c:v>43708</c:v>
                </c:pt>
                <c:pt idx="224">
                  <c:v>43738</c:v>
                </c:pt>
                <c:pt idx="225">
                  <c:v>43769</c:v>
                </c:pt>
                <c:pt idx="226">
                  <c:v>43799</c:v>
                </c:pt>
                <c:pt idx="227">
                  <c:v>43830</c:v>
                </c:pt>
                <c:pt idx="228">
                  <c:v>43861</c:v>
                </c:pt>
                <c:pt idx="229">
                  <c:v>43890</c:v>
                </c:pt>
                <c:pt idx="230">
                  <c:v>43921</c:v>
                </c:pt>
                <c:pt idx="231">
                  <c:v>43951</c:v>
                </c:pt>
                <c:pt idx="232">
                  <c:v>43982</c:v>
                </c:pt>
                <c:pt idx="233">
                  <c:v>44012</c:v>
                </c:pt>
                <c:pt idx="234">
                  <c:v>44043</c:v>
                </c:pt>
                <c:pt idx="235">
                  <c:v>44074</c:v>
                </c:pt>
                <c:pt idx="236">
                  <c:v>44104</c:v>
                </c:pt>
                <c:pt idx="237">
                  <c:v>44135</c:v>
                </c:pt>
                <c:pt idx="238">
                  <c:v>44165</c:v>
                </c:pt>
                <c:pt idx="239">
                  <c:v>44196</c:v>
                </c:pt>
                <c:pt idx="240">
                  <c:v>44227</c:v>
                </c:pt>
                <c:pt idx="241">
                  <c:v>44255</c:v>
                </c:pt>
                <c:pt idx="242">
                  <c:v>44286</c:v>
                </c:pt>
                <c:pt idx="243">
                  <c:v>44316</c:v>
                </c:pt>
                <c:pt idx="244">
                  <c:v>44347</c:v>
                </c:pt>
                <c:pt idx="245">
                  <c:v>44377</c:v>
                </c:pt>
                <c:pt idx="246">
                  <c:v>44408</c:v>
                </c:pt>
                <c:pt idx="247">
                  <c:v>44439</c:v>
                </c:pt>
                <c:pt idx="248">
                  <c:v>44469</c:v>
                </c:pt>
                <c:pt idx="249">
                  <c:v>44500</c:v>
                </c:pt>
                <c:pt idx="250">
                  <c:v>44530</c:v>
                </c:pt>
                <c:pt idx="251">
                  <c:v>44561</c:v>
                </c:pt>
                <c:pt idx="252">
                  <c:v>44592</c:v>
                </c:pt>
                <c:pt idx="253">
                  <c:v>44620</c:v>
                </c:pt>
                <c:pt idx="254">
                  <c:v>44651</c:v>
                </c:pt>
                <c:pt idx="255">
                  <c:v>44742</c:v>
                </c:pt>
                <c:pt idx="256">
                  <c:v>44834</c:v>
                </c:pt>
                <c:pt idx="257">
                  <c:v>44926</c:v>
                </c:pt>
                <c:pt idx="258">
                  <c:v>45016</c:v>
                </c:pt>
                <c:pt idx="259">
                  <c:v>45107</c:v>
                </c:pt>
                <c:pt idx="260">
                  <c:v>45199</c:v>
                </c:pt>
                <c:pt idx="261">
                  <c:v>45291</c:v>
                </c:pt>
                <c:pt idx="262">
                  <c:v>45382</c:v>
                </c:pt>
                <c:pt idx="263">
                  <c:v>45473</c:v>
                </c:pt>
                <c:pt idx="264">
                  <c:v>45565</c:v>
                </c:pt>
                <c:pt idx="265">
                  <c:v>45657</c:v>
                </c:pt>
                <c:pt idx="266">
                  <c:v>45747</c:v>
                </c:pt>
                <c:pt idx="267">
                  <c:v>45838</c:v>
                </c:pt>
                <c:pt idx="268">
                  <c:v>45930</c:v>
                </c:pt>
                <c:pt idx="269">
                  <c:v>46022</c:v>
                </c:pt>
              </c:numCache>
            </c:numRef>
          </c:cat>
          <c:val>
            <c:numRef>
              <c:f>'Mining Employment Report Period'!$B$55:$TC$55</c:f>
              <c:numCache>
                <c:formatCode>#,##0</c:formatCode>
                <c:ptCount val="522"/>
                <c:pt idx="0">
                  <c:v>40167.18</c:v>
                </c:pt>
                <c:pt idx="1">
                  <c:v>39917.67</c:v>
                </c:pt>
                <c:pt idx="2">
                  <c:v>45839.520000000004</c:v>
                </c:pt>
                <c:pt idx="3">
                  <c:v>41703.072</c:v>
                </c:pt>
                <c:pt idx="4">
                  <c:v>44205.258000000002</c:v>
                </c:pt>
                <c:pt idx="5">
                  <c:v>43146.486000000004</c:v>
                </c:pt>
                <c:pt idx="6">
                  <c:v>43612.47</c:v>
                </c:pt>
                <c:pt idx="7">
                  <c:v>44714.561999999998</c:v>
                </c:pt>
                <c:pt idx="8">
                  <c:v>42404.585999999996</c:v>
                </c:pt>
                <c:pt idx="9">
                  <c:v>43806.899999999994</c:v>
                </c:pt>
                <c:pt idx="10">
                  <c:v>44061.51</c:v>
                </c:pt>
                <c:pt idx="11">
                  <c:v>42315.881999999998</c:v>
                </c:pt>
                <c:pt idx="12">
                  <c:v>42612.671999999999</c:v>
                </c:pt>
                <c:pt idx="13">
                  <c:v>39013.164000000004</c:v>
                </c:pt>
                <c:pt idx="14">
                  <c:v>42429.804000000004</c:v>
                </c:pt>
                <c:pt idx="15">
                  <c:v>41073.474000000002</c:v>
                </c:pt>
                <c:pt idx="16">
                  <c:v>41345.07</c:v>
                </c:pt>
                <c:pt idx="17">
                  <c:v>39549.894</c:v>
                </c:pt>
                <c:pt idx="18">
                  <c:v>42973.32</c:v>
                </c:pt>
                <c:pt idx="19">
                  <c:v>41163.983999999997</c:v>
                </c:pt>
                <c:pt idx="20">
                  <c:v>42477.023999999998</c:v>
                </c:pt>
                <c:pt idx="21">
                  <c:v>43224.408000000003</c:v>
                </c:pt>
                <c:pt idx="22">
                  <c:v>43374.972000000002</c:v>
                </c:pt>
                <c:pt idx="23">
                  <c:v>41941.523999999998</c:v>
                </c:pt>
                <c:pt idx="24">
                  <c:v>41638.433999999994</c:v>
                </c:pt>
                <c:pt idx="25">
                  <c:v>41160.966</c:v>
                </c:pt>
                <c:pt idx="26">
                  <c:v>44991.479999999996</c:v>
                </c:pt>
                <c:pt idx="27">
                  <c:v>42653.850000000006</c:v>
                </c:pt>
                <c:pt idx="28">
                  <c:v>45612.81</c:v>
                </c:pt>
                <c:pt idx="29">
                  <c:v>43746.42</c:v>
                </c:pt>
                <c:pt idx="30">
                  <c:v>45563.813999999998</c:v>
                </c:pt>
                <c:pt idx="31">
                  <c:v>44949.408000000003</c:v>
                </c:pt>
                <c:pt idx="32">
                  <c:v>44333.159999999996</c:v>
                </c:pt>
                <c:pt idx="33">
                  <c:v>45598.92</c:v>
                </c:pt>
                <c:pt idx="34">
                  <c:v>44814.384000000005</c:v>
                </c:pt>
                <c:pt idx="35">
                  <c:v>43875.504000000001</c:v>
                </c:pt>
                <c:pt idx="36">
                  <c:v>44261.453999999998</c:v>
                </c:pt>
                <c:pt idx="37">
                  <c:v>45707.952000000005</c:v>
                </c:pt>
                <c:pt idx="38">
                  <c:v>49019.01</c:v>
                </c:pt>
                <c:pt idx="39">
                  <c:v>46516.26</c:v>
                </c:pt>
                <c:pt idx="40">
                  <c:v>49095.227999999996</c:v>
                </c:pt>
                <c:pt idx="41">
                  <c:v>49692.906000000003</c:v>
                </c:pt>
                <c:pt idx="42">
                  <c:v>49601.663999999997</c:v>
                </c:pt>
                <c:pt idx="43">
                  <c:v>49699.044000000009</c:v>
                </c:pt>
                <c:pt idx="44">
                  <c:v>50140.055999999997</c:v>
                </c:pt>
                <c:pt idx="45">
                  <c:v>50215.163999999997</c:v>
                </c:pt>
                <c:pt idx="46">
                  <c:v>50622.240000000005</c:v>
                </c:pt>
                <c:pt idx="47">
                  <c:v>48528.023999999998</c:v>
                </c:pt>
                <c:pt idx="48">
                  <c:v>47151.671999999999</c:v>
                </c:pt>
                <c:pt idx="49">
                  <c:v>47541.384000000005</c:v>
                </c:pt>
                <c:pt idx="50">
                  <c:v>51063.725999999995</c:v>
                </c:pt>
                <c:pt idx="51">
                  <c:v>50496.671999999991</c:v>
                </c:pt>
                <c:pt idx="52">
                  <c:v>53290.338000000003</c:v>
                </c:pt>
                <c:pt idx="53">
                  <c:v>52548.978000000003</c:v>
                </c:pt>
                <c:pt idx="54">
                  <c:v>54503.603999999992</c:v>
                </c:pt>
                <c:pt idx="55">
                  <c:v>54065.574000000001</c:v>
                </c:pt>
                <c:pt idx="56">
                  <c:v>54289.512000000002</c:v>
                </c:pt>
                <c:pt idx="57">
                  <c:v>54792.966</c:v>
                </c:pt>
                <c:pt idx="58">
                  <c:v>56607.552000000003</c:v>
                </c:pt>
                <c:pt idx="59">
                  <c:v>53035.734000000004</c:v>
                </c:pt>
                <c:pt idx="60">
                  <c:v>51832.151999999995</c:v>
                </c:pt>
                <c:pt idx="61">
                  <c:v>54404.034</c:v>
                </c:pt>
                <c:pt idx="62">
                  <c:v>59069.94</c:v>
                </c:pt>
                <c:pt idx="63">
                  <c:v>55785.072</c:v>
                </c:pt>
                <c:pt idx="64">
                  <c:v>62270.831999999995</c:v>
                </c:pt>
                <c:pt idx="65">
                  <c:v>61855.872000000003</c:v>
                </c:pt>
                <c:pt idx="66">
                  <c:v>61562.921999999991</c:v>
                </c:pt>
                <c:pt idx="67">
                  <c:v>62207.466</c:v>
                </c:pt>
                <c:pt idx="68">
                  <c:v>61817.513999999996</c:v>
                </c:pt>
                <c:pt idx="69">
                  <c:v>62377.962</c:v>
                </c:pt>
                <c:pt idx="70">
                  <c:v>63135.894</c:v>
                </c:pt>
                <c:pt idx="71">
                  <c:v>59764.29</c:v>
                </c:pt>
                <c:pt idx="72">
                  <c:v>59287.86</c:v>
                </c:pt>
                <c:pt idx="73">
                  <c:v>62145.714000000007</c:v>
                </c:pt>
                <c:pt idx="74">
                  <c:v>65837.244000000006</c:v>
                </c:pt>
                <c:pt idx="75">
                  <c:v>62070.941999999995</c:v>
                </c:pt>
                <c:pt idx="76">
                  <c:v>67154.262000000002</c:v>
                </c:pt>
                <c:pt idx="77">
                  <c:v>66094.986000000004</c:v>
                </c:pt>
                <c:pt idx="78">
                  <c:v>67003.025999999998</c:v>
                </c:pt>
                <c:pt idx="79">
                  <c:v>69270.084000000003</c:v>
                </c:pt>
                <c:pt idx="80">
                  <c:v>66611.754000000001</c:v>
                </c:pt>
                <c:pt idx="81">
                  <c:v>65497.17</c:v>
                </c:pt>
                <c:pt idx="82">
                  <c:v>67679.027999999991</c:v>
                </c:pt>
                <c:pt idx="83">
                  <c:v>61560.678</c:v>
                </c:pt>
                <c:pt idx="84">
                  <c:v>63267.455999999991</c:v>
                </c:pt>
                <c:pt idx="85">
                  <c:v>65403.81</c:v>
                </c:pt>
                <c:pt idx="86">
                  <c:v>66618.066000000006</c:v>
                </c:pt>
                <c:pt idx="87">
                  <c:v>67841.117999999988</c:v>
                </c:pt>
                <c:pt idx="88">
                  <c:v>71364.612000000008</c:v>
                </c:pt>
                <c:pt idx="89">
                  <c:v>71279.069999999992</c:v>
                </c:pt>
                <c:pt idx="90">
                  <c:v>74463.084000000003</c:v>
                </c:pt>
                <c:pt idx="91">
                  <c:v>77140.236000000004</c:v>
                </c:pt>
                <c:pt idx="92">
                  <c:v>75092.051999999996</c:v>
                </c:pt>
                <c:pt idx="93">
                  <c:v>77772.600000000006</c:v>
                </c:pt>
                <c:pt idx="94">
                  <c:v>73745.700000000012</c:v>
                </c:pt>
                <c:pt idx="95">
                  <c:v>68453.66399999999</c:v>
                </c:pt>
                <c:pt idx="96">
                  <c:v>67056.312000000005</c:v>
                </c:pt>
                <c:pt idx="97">
                  <c:v>66766.896000000008</c:v>
                </c:pt>
                <c:pt idx="98">
                  <c:v>70813.271999999997</c:v>
                </c:pt>
                <c:pt idx="99">
                  <c:v>68591.334000000003</c:v>
                </c:pt>
                <c:pt idx="100">
                  <c:v>70295.207999999999</c:v>
                </c:pt>
                <c:pt idx="101">
                  <c:v>68165.981999999989</c:v>
                </c:pt>
                <c:pt idx="102">
                  <c:v>68813.525999999998</c:v>
                </c:pt>
                <c:pt idx="103">
                  <c:v>67323.191999999995</c:v>
                </c:pt>
                <c:pt idx="104">
                  <c:v>65728.38</c:v>
                </c:pt>
                <c:pt idx="105">
                  <c:v>67691.694000000003</c:v>
                </c:pt>
                <c:pt idx="106">
                  <c:v>65896.554000000004</c:v>
                </c:pt>
                <c:pt idx="107">
                  <c:v>64033.686000000002</c:v>
                </c:pt>
                <c:pt idx="108">
                  <c:v>62117.04</c:v>
                </c:pt>
                <c:pt idx="109">
                  <c:v>64937.736000000004</c:v>
                </c:pt>
                <c:pt idx="110">
                  <c:v>70219.661999999997</c:v>
                </c:pt>
                <c:pt idx="111">
                  <c:v>68110.524000000005</c:v>
                </c:pt>
                <c:pt idx="112">
                  <c:v>70731.462</c:v>
                </c:pt>
                <c:pt idx="113">
                  <c:v>72070.481999999989</c:v>
                </c:pt>
                <c:pt idx="114">
                  <c:v>74514.641999999993</c:v>
                </c:pt>
                <c:pt idx="115">
                  <c:v>76321.584000000003</c:v>
                </c:pt>
                <c:pt idx="116">
                  <c:v>74703.617999999988</c:v>
                </c:pt>
                <c:pt idx="117">
                  <c:v>77680.572</c:v>
                </c:pt>
                <c:pt idx="118">
                  <c:v>79505.717999999993</c:v>
                </c:pt>
                <c:pt idx="119">
                  <c:v>74077.686000000002</c:v>
                </c:pt>
                <c:pt idx="120">
                  <c:v>74746.698000000004</c:v>
                </c:pt>
                <c:pt idx="121">
                  <c:v>74965.962</c:v>
                </c:pt>
                <c:pt idx="122">
                  <c:v>82242.65400000001</c:v>
                </c:pt>
                <c:pt idx="123">
                  <c:v>79736.19</c:v>
                </c:pt>
                <c:pt idx="124">
                  <c:v>88773.641999999993</c:v>
                </c:pt>
                <c:pt idx="125">
                  <c:v>86702.622000000003</c:v>
                </c:pt>
                <c:pt idx="126">
                  <c:v>88320.054000000004</c:v>
                </c:pt>
                <c:pt idx="127">
                  <c:v>92354.063999999998</c:v>
                </c:pt>
                <c:pt idx="128">
                  <c:v>90722.856</c:v>
                </c:pt>
                <c:pt idx="129">
                  <c:v>92505.072</c:v>
                </c:pt>
                <c:pt idx="130">
                  <c:v>93601.77</c:v>
                </c:pt>
                <c:pt idx="131">
                  <c:v>87230.513999999996</c:v>
                </c:pt>
                <c:pt idx="132">
                  <c:v>88883.292000000001</c:v>
                </c:pt>
                <c:pt idx="133">
                  <c:v>93527.225999999995</c:v>
                </c:pt>
                <c:pt idx="134">
                  <c:v>99279.426000000007</c:v>
                </c:pt>
                <c:pt idx="135">
                  <c:v>96186.797999999995</c:v>
                </c:pt>
                <c:pt idx="136">
                  <c:v>102752.64599999999</c:v>
                </c:pt>
                <c:pt idx="137">
                  <c:v>98672.016000000003</c:v>
                </c:pt>
                <c:pt idx="138">
                  <c:v>102270.93</c:v>
                </c:pt>
                <c:pt idx="139">
                  <c:v>104769.03600000001</c:v>
                </c:pt>
                <c:pt idx="140">
                  <c:v>100137.88800000001</c:v>
                </c:pt>
                <c:pt idx="141">
                  <c:v>103409.83800000002</c:v>
                </c:pt>
                <c:pt idx="142">
                  <c:v>99645.437999999995</c:v>
                </c:pt>
                <c:pt idx="143">
                  <c:v>93612.203999999998</c:v>
                </c:pt>
                <c:pt idx="144">
                  <c:v>98474.423999999999</c:v>
                </c:pt>
                <c:pt idx="145">
                  <c:v>100455.79200000002</c:v>
                </c:pt>
                <c:pt idx="146">
                  <c:v>102869.712</c:v>
                </c:pt>
                <c:pt idx="147">
                  <c:v>104407.806</c:v>
                </c:pt>
                <c:pt idx="148">
                  <c:v>104641.21800000001</c:v>
                </c:pt>
                <c:pt idx="149">
                  <c:v>101678.72400000002</c:v>
                </c:pt>
                <c:pt idx="150">
                  <c:v>105669.204</c:v>
                </c:pt>
                <c:pt idx="151">
                  <c:v>107296.17</c:v>
                </c:pt>
                <c:pt idx="152">
                  <c:v>100419.03</c:v>
                </c:pt>
                <c:pt idx="153">
                  <c:v>102926.11199999999</c:v>
                </c:pt>
                <c:pt idx="154">
                  <c:v>101138.766</c:v>
                </c:pt>
                <c:pt idx="155">
                  <c:v>90156.498000000007</c:v>
                </c:pt>
                <c:pt idx="156">
                  <c:v>91214.202000000005</c:v>
                </c:pt>
                <c:pt idx="157">
                  <c:v>90691.680000000008</c:v>
                </c:pt>
                <c:pt idx="158">
                  <c:v>98949.935999999987</c:v>
                </c:pt>
                <c:pt idx="159">
                  <c:v>94313.430000000008</c:v>
                </c:pt>
                <c:pt idx="160">
                  <c:v>99407.394</c:v>
                </c:pt>
                <c:pt idx="161">
                  <c:v>94518.33600000001</c:v>
                </c:pt>
                <c:pt idx="162">
                  <c:v>96588.858000000007</c:v>
                </c:pt>
                <c:pt idx="163">
                  <c:v>95988.617999999988</c:v>
                </c:pt>
                <c:pt idx="164">
                  <c:v>94713.437999999995</c:v>
                </c:pt>
                <c:pt idx="165">
                  <c:v>99816.72</c:v>
                </c:pt>
                <c:pt idx="166">
                  <c:v>96743.069999999992</c:v>
                </c:pt>
                <c:pt idx="167">
                  <c:v>89975.981999999989</c:v>
                </c:pt>
                <c:pt idx="168">
                  <c:v>88698.72</c:v>
                </c:pt>
                <c:pt idx="169">
                  <c:v>87920.418000000005</c:v>
                </c:pt>
                <c:pt idx="170">
                  <c:v>94157.478000000003</c:v>
                </c:pt>
                <c:pt idx="171">
                  <c:v>88753.224000000002</c:v>
                </c:pt>
                <c:pt idx="172">
                  <c:v>89946.504000000001</c:v>
                </c:pt>
                <c:pt idx="173">
                  <c:v>89196.678</c:v>
                </c:pt>
                <c:pt idx="174">
                  <c:v>90636.450000000012</c:v>
                </c:pt>
                <c:pt idx="175">
                  <c:v>90121.518000000011</c:v>
                </c:pt>
                <c:pt idx="176">
                  <c:v>88627.055999999997</c:v>
                </c:pt>
                <c:pt idx="177">
                  <c:v>90583.656000000003</c:v>
                </c:pt>
                <c:pt idx="178">
                  <c:v>88057.572</c:v>
                </c:pt>
                <c:pt idx="179">
                  <c:v>83790.834000000003</c:v>
                </c:pt>
                <c:pt idx="180">
                  <c:v>82117.266000000003</c:v>
                </c:pt>
                <c:pt idx="181">
                  <c:v>83216.682000000001</c:v>
                </c:pt>
                <c:pt idx="182">
                  <c:v>83852.592000000004</c:v>
                </c:pt>
                <c:pt idx="183">
                  <c:v>81775.62</c:v>
                </c:pt>
                <c:pt idx="184">
                  <c:v>86113.955999999991</c:v>
                </c:pt>
                <c:pt idx="185">
                  <c:v>82441.001999999993</c:v>
                </c:pt>
                <c:pt idx="186">
                  <c:v>85037.525999999998</c:v>
                </c:pt>
                <c:pt idx="187">
                  <c:v>85956.09599999999</c:v>
                </c:pt>
                <c:pt idx="188">
                  <c:v>81090.69</c:v>
                </c:pt>
                <c:pt idx="189">
                  <c:v>84444.966</c:v>
                </c:pt>
                <c:pt idx="190">
                  <c:v>86007.450000000012</c:v>
                </c:pt>
                <c:pt idx="191">
                  <c:v>79941.75</c:v>
                </c:pt>
                <c:pt idx="192">
                  <c:v>81749.285999999993</c:v>
                </c:pt>
                <c:pt idx="193">
                  <c:v>81782.004000000001</c:v>
                </c:pt>
                <c:pt idx="194">
                  <c:v>87716.316000000006</c:v>
                </c:pt>
                <c:pt idx="195">
                  <c:v>83544.527999999991</c:v>
                </c:pt>
                <c:pt idx="196">
                  <c:v>90022.391999999993</c:v>
                </c:pt>
                <c:pt idx="197">
                  <c:v>85784.603999999992</c:v>
                </c:pt>
                <c:pt idx="198">
                  <c:v>88282.092000000004</c:v>
                </c:pt>
                <c:pt idx="199">
                  <c:v>89231.15400000001</c:v>
                </c:pt>
                <c:pt idx="200">
                  <c:v>86200.187999999995</c:v>
                </c:pt>
                <c:pt idx="201">
                  <c:v>90860.567999999999</c:v>
                </c:pt>
                <c:pt idx="202">
                  <c:v>91167.305999999997</c:v>
                </c:pt>
                <c:pt idx="203">
                  <c:v>83808.534</c:v>
                </c:pt>
                <c:pt idx="204">
                  <c:v>86908.74</c:v>
                </c:pt>
                <c:pt idx="205">
                  <c:v>86830.11</c:v>
                </c:pt>
                <c:pt idx="206">
                  <c:v>94334.952000000005</c:v>
                </c:pt>
                <c:pt idx="207">
                  <c:v>91039.284</c:v>
                </c:pt>
                <c:pt idx="208">
                  <c:v>96462.486000000004</c:v>
                </c:pt>
                <c:pt idx="209">
                  <c:v>92624.61</c:v>
                </c:pt>
                <c:pt idx="210">
                  <c:v>98179.433999999994</c:v>
                </c:pt>
                <c:pt idx="211">
                  <c:v>97158.941999999995</c:v>
                </c:pt>
                <c:pt idx="212">
                  <c:v>92581.967999999993</c:v>
                </c:pt>
                <c:pt idx="213">
                  <c:v>100819.13999999998</c:v>
                </c:pt>
                <c:pt idx="214">
                  <c:v>100780.512</c:v>
                </c:pt>
                <c:pt idx="215">
                  <c:v>92924.268000000011</c:v>
                </c:pt>
                <c:pt idx="216">
                  <c:v>96278.790000000008</c:v>
                </c:pt>
                <c:pt idx="217">
                  <c:v>95177.676000000007</c:v>
                </c:pt>
                <c:pt idx="218">
                  <c:v>100817.568</c:v>
                </c:pt>
                <c:pt idx="219">
                  <c:v>98650.008000000002</c:v>
                </c:pt>
                <c:pt idx="220">
                  <c:v>105681.99600000001</c:v>
                </c:pt>
                <c:pt idx="221">
                  <c:v>100284.444</c:v>
                </c:pt>
                <c:pt idx="222">
                  <c:v>107976.342</c:v>
                </c:pt>
                <c:pt idx="223">
                  <c:v>104163.85800000001</c:v>
                </c:pt>
                <c:pt idx="224">
                  <c:v>100907.07</c:v>
                </c:pt>
                <c:pt idx="225">
                  <c:v>107061.65400000001</c:v>
                </c:pt>
                <c:pt idx="226">
                  <c:v>106888.44600000001</c:v>
                </c:pt>
                <c:pt idx="227">
                  <c:v>97622.28</c:v>
                </c:pt>
                <c:pt idx="228">
                  <c:v>100682.454</c:v>
                </c:pt>
                <c:pt idx="229">
                  <c:v>103313.886</c:v>
                </c:pt>
                <c:pt idx="230">
                  <c:v>107749.29000000001</c:v>
                </c:pt>
                <c:pt idx="231">
                  <c:v>101081.51400000001</c:v>
                </c:pt>
                <c:pt idx="232">
                  <c:v>107444.29200000002</c:v>
                </c:pt>
                <c:pt idx="233">
                  <c:v>108100.902</c:v>
                </c:pt>
                <c:pt idx="234">
                  <c:v>112715.99400000001</c:v>
                </c:pt>
                <c:pt idx="235">
                  <c:v>113397.84599999999</c:v>
                </c:pt>
                <c:pt idx="236">
                  <c:v>111234.58200000001</c:v>
                </c:pt>
                <c:pt idx="237">
                  <c:v>113734.308</c:v>
                </c:pt>
                <c:pt idx="238">
                  <c:v>115611.894</c:v>
                </c:pt>
                <c:pt idx="239">
                  <c:v>105689.72400000002</c:v>
                </c:pt>
                <c:pt idx="240">
                  <c:v>109061.77799999999</c:v>
                </c:pt>
                <c:pt idx="241">
                  <c:v>107171.226</c:v>
                </c:pt>
                <c:pt idx="242">
                  <c:v>123295.59</c:v>
                </c:pt>
                <c:pt idx="243">
                  <c:v>115064.17800000001</c:v>
                </c:pt>
                <c:pt idx="244">
                  <c:v>120645.954</c:v>
                </c:pt>
                <c:pt idx="245">
                  <c:v>119410.17</c:v>
                </c:pt>
                <c:pt idx="246">
                  <c:v>118034.08800000002</c:v>
                </c:pt>
                <c:pt idx="247">
                  <c:v>123490.908</c:v>
                </c:pt>
                <c:pt idx="248">
                  <c:v>119817.57</c:v>
                </c:pt>
                <c:pt idx="249">
                  <c:v>121722.48000000001</c:v>
                </c:pt>
                <c:pt idx="250">
                  <c:v>123136.08</c:v>
                </c:pt>
                <c:pt idx="251">
                  <c:v>111069.64199999999</c:v>
                </c:pt>
                <c:pt idx="252">
                  <c:v>112099.21800000001</c:v>
                </c:pt>
                <c:pt idx="253">
                  <c:v>113554.45199999999</c:v>
                </c:pt>
                <c:pt idx="254">
                  <c:v>121624.17600000001</c:v>
                </c:pt>
                <c:pt idx="255">
                  <c:v>121303.406</c:v>
                </c:pt>
                <c:pt idx="256">
                  <c:v>127215.106</c:v>
                </c:pt>
                <c:pt idx="257">
                  <c:v>126838.448</c:v>
                </c:pt>
                <c:pt idx="258">
                  <c:v>126375.208</c:v>
                </c:pt>
                <c:pt idx="259">
                  <c:v>130074.864</c:v>
                </c:pt>
                <c:pt idx="260">
                  <c:v>134199.372</c:v>
                </c:pt>
                <c:pt idx="261">
                  <c:v>132887.10200000001</c:v>
                </c:pt>
                <c:pt idx="262">
                  <c:v>134325.33199999999</c:v>
                </c:pt>
                <c:pt idx="263">
                  <c:v>138316.95000000001</c:v>
                </c:pt>
                <c:pt idx="264">
                  <c:v>139151.54999999999</c:v>
                </c:pt>
                <c:pt idx="265">
                  <c:v>132250.43799999999</c:v>
                </c:pt>
                <c:pt idx="266">
                  <c:v>130040.106</c:v>
                </c:pt>
                <c:pt idx="267">
                  <c:v>136918.014</c:v>
                </c:pt>
                <c:pt idx="268">
                  <c:v>139438.71799999999</c:v>
                </c:pt>
                <c:pt idx="269">
                  <c:v>138320.432</c:v>
                </c:pt>
              </c:numCache>
            </c:numRef>
          </c:val>
          <c:smooth val="0"/>
          <c:extLst>
            <c:ext xmlns:c16="http://schemas.microsoft.com/office/drawing/2014/chart" uri="{C3380CC4-5D6E-409C-BE32-E72D297353CC}">
              <c16:uniqueId val="{00000012-4120-47D7-8FEC-9FA7456BB2BD}"/>
            </c:ext>
          </c:extLst>
        </c:ser>
        <c:dLbls>
          <c:showLegendKey val="0"/>
          <c:showVal val="0"/>
          <c:showCatName val="0"/>
          <c:showSerName val="0"/>
          <c:showPercent val="0"/>
          <c:showBubbleSize val="0"/>
        </c:dLbls>
        <c:smooth val="0"/>
        <c:axId val="432640000"/>
        <c:axId val="432641536"/>
      </c:lineChart>
      <c:dateAx>
        <c:axId val="432640000"/>
        <c:scaling>
          <c:orientation val="minMax"/>
          <c:min val="36891"/>
        </c:scaling>
        <c:delete val="0"/>
        <c:axPos val="b"/>
        <c:numFmt formatCode="mmm\-yy"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2641536"/>
        <c:crosses val="autoZero"/>
        <c:auto val="0"/>
        <c:lblOffset val="100"/>
        <c:baseTimeUnit val="months"/>
        <c:majorUnit val="1"/>
        <c:majorTimeUnit val="years"/>
      </c:dateAx>
      <c:valAx>
        <c:axId val="432641536"/>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layout>
            <c:manualLayout>
              <c:xMode val="edge"/>
              <c:yMode val="edge"/>
              <c:x val="1.3965871324767322E-2"/>
              <c:y val="0.4718882462148643"/>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2640000"/>
        <c:crosses val="autoZero"/>
        <c:crossBetween val="between"/>
      </c:valAx>
      <c:spPr>
        <a:solidFill>
          <a:schemeClr val="bg1"/>
        </a:solidFill>
        <a:ln>
          <a:noFill/>
        </a:ln>
        <a:effectLst/>
      </c:spPr>
    </c:plotArea>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AU"/>
              <a:t>Total Exploration Employment</a:t>
            </a:r>
          </a:p>
          <a:p>
            <a:pPr marL="0" marR="0" indent="0" algn="ctr" defTabSz="914400" rtl="0" eaLnBrk="1" fontAlgn="auto" latinLnBrk="0" hangingPunct="1">
              <a:lnSpc>
                <a:spcPct val="100000"/>
              </a:lnSpc>
              <a:spcBef>
                <a:spcPts val="0"/>
              </a:spcBef>
              <a:spcAft>
                <a:spcPts val="0"/>
              </a:spcAft>
              <a:buClrTx/>
              <a:buSzTx/>
              <a:buFontTx/>
              <a:buNone/>
              <a:tabLst/>
              <a:defRPr>
                <a:solidFill>
                  <a:sysClr val="windowText" lastClr="000000"/>
                </a:solidFill>
              </a:defRPr>
            </a:pPr>
            <a:r>
              <a:rPr lang="en-AU" sz="1100" b="1" i="0" baseline="0">
                <a:effectLst/>
              </a:rPr>
              <a:t>FTEs</a:t>
            </a:r>
            <a:endParaRPr lang="en-AU" sz="1100"/>
          </a:p>
        </c:rich>
      </c:tx>
      <c:overlay val="0"/>
      <c:spPr>
        <a:noFill/>
        <a:ln>
          <a:noFill/>
        </a:ln>
        <a:effectLst/>
      </c:spPr>
      <c:txPr>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9.1818916047775243E-2"/>
          <c:y val="0.14685630699324642"/>
          <c:w val="0.88748859880886988"/>
          <c:h val="0.69105225483178234"/>
        </c:manualLayout>
      </c:layout>
      <c:lineChart>
        <c:grouping val="standard"/>
        <c:varyColors val="0"/>
        <c:ser>
          <c:idx val="0"/>
          <c:order val="0"/>
          <c:tx>
            <c:v>FTEs</c:v>
          </c:tx>
          <c:spPr>
            <a:ln w="28575" cap="rnd" cmpd="sng" algn="ctr">
              <a:solidFill>
                <a:schemeClr val="accent2">
                  <a:shade val="95000"/>
                  <a:satMod val="105000"/>
                </a:schemeClr>
              </a:solidFill>
              <a:prstDash val="solid"/>
              <a:round/>
            </a:ln>
            <a:effectLst/>
          </c:spPr>
          <c:marker>
            <c:symbol val="none"/>
          </c:marker>
          <c:dPt>
            <c:idx val="255"/>
            <c:bubble3D val="0"/>
            <c:spPr>
              <a:ln w="28575" cap="rnd" cmpd="sng" algn="ctr">
                <a:solidFill>
                  <a:schemeClr val="accent5"/>
                </a:solidFill>
                <a:prstDash val="solid"/>
                <a:round/>
              </a:ln>
              <a:effectLst/>
            </c:spPr>
            <c:extLst>
              <c:ext xmlns:c16="http://schemas.microsoft.com/office/drawing/2014/chart" uri="{C3380CC4-5D6E-409C-BE32-E72D297353CC}">
                <c16:uniqueId val="{00000001-3CA9-4314-8186-E036760C58A2}"/>
              </c:ext>
            </c:extLst>
          </c:dPt>
          <c:dPt>
            <c:idx val="256"/>
            <c:bubble3D val="0"/>
            <c:spPr>
              <a:ln w="28575" cap="rnd" cmpd="sng" algn="ctr">
                <a:solidFill>
                  <a:schemeClr val="accent5"/>
                </a:solidFill>
                <a:prstDash val="solid"/>
                <a:round/>
              </a:ln>
              <a:effectLst/>
            </c:spPr>
            <c:extLst>
              <c:ext xmlns:c16="http://schemas.microsoft.com/office/drawing/2014/chart" uri="{C3380CC4-5D6E-409C-BE32-E72D297353CC}">
                <c16:uniqueId val="{00000003-3CA9-4314-8186-E036760C58A2}"/>
              </c:ext>
            </c:extLst>
          </c:dPt>
          <c:dPt>
            <c:idx val="257"/>
            <c:bubble3D val="0"/>
            <c:spPr>
              <a:ln w="28575" cap="rnd" cmpd="sng" algn="ctr">
                <a:solidFill>
                  <a:schemeClr val="accent5"/>
                </a:solidFill>
                <a:prstDash val="solid"/>
                <a:round/>
              </a:ln>
              <a:effectLst/>
            </c:spPr>
            <c:extLst>
              <c:ext xmlns:c16="http://schemas.microsoft.com/office/drawing/2014/chart" uri="{C3380CC4-5D6E-409C-BE32-E72D297353CC}">
                <c16:uniqueId val="{00000005-3CA9-4314-8186-E036760C58A2}"/>
              </c:ext>
            </c:extLst>
          </c:dPt>
          <c:dPt>
            <c:idx val="258"/>
            <c:bubble3D val="0"/>
            <c:spPr>
              <a:ln w="28575" cap="rnd" cmpd="sng" algn="ctr">
                <a:solidFill>
                  <a:schemeClr val="accent5"/>
                </a:solidFill>
                <a:prstDash val="solid"/>
                <a:round/>
              </a:ln>
              <a:effectLst/>
            </c:spPr>
            <c:extLst>
              <c:ext xmlns:c16="http://schemas.microsoft.com/office/drawing/2014/chart" uri="{C3380CC4-5D6E-409C-BE32-E72D297353CC}">
                <c16:uniqueId val="{00000007-3CA9-4314-8186-E036760C58A2}"/>
              </c:ext>
            </c:extLst>
          </c:dPt>
          <c:dPt>
            <c:idx val="259"/>
            <c:bubble3D val="0"/>
            <c:spPr>
              <a:ln w="28575" cap="rnd" cmpd="sng" algn="ctr">
                <a:solidFill>
                  <a:schemeClr val="accent5"/>
                </a:solidFill>
                <a:prstDash val="solid"/>
                <a:round/>
              </a:ln>
              <a:effectLst/>
            </c:spPr>
            <c:extLst>
              <c:ext xmlns:c16="http://schemas.microsoft.com/office/drawing/2014/chart" uri="{C3380CC4-5D6E-409C-BE32-E72D297353CC}">
                <c16:uniqueId val="{00000009-3CA9-4314-8186-E036760C58A2}"/>
              </c:ext>
            </c:extLst>
          </c:dPt>
          <c:dPt>
            <c:idx val="260"/>
            <c:bubble3D val="0"/>
            <c:spPr>
              <a:ln w="28575" cap="rnd" cmpd="sng" algn="ctr">
                <a:solidFill>
                  <a:schemeClr val="accent5"/>
                </a:solidFill>
                <a:prstDash val="solid"/>
                <a:round/>
              </a:ln>
              <a:effectLst/>
            </c:spPr>
            <c:extLst>
              <c:ext xmlns:c16="http://schemas.microsoft.com/office/drawing/2014/chart" uri="{C3380CC4-5D6E-409C-BE32-E72D297353CC}">
                <c16:uniqueId val="{0000000B-3CA9-4314-8186-E036760C58A2}"/>
              </c:ext>
            </c:extLst>
          </c:dPt>
          <c:dPt>
            <c:idx val="261"/>
            <c:bubble3D val="0"/>
            <c:spPr>
              <a:ln w="28575" cap="rnd" cmpd="sng" algn="ctr">
                <a:solidFill>
                  <a:schemeClr val="accent5"/>
                </a:solidFill>
                <a:prstDash val="solid"/>
                <a:round/>
              </a:ln>
              <a:effectLst/>
            </c:spPr>
            <c:extLst>
              <c:ext xmlns:c16="http://schemas.microsoft.com/office/drawing/2014/chart" uri="{C3380CC4-5D6E-409C-BE32-E72D297353CC}">
                <c16:uniqueId val="{0000000D-3CA9-4314-8186-E036760C58A2}"/>
              </c:ext>
            </c:extLst>
          </c:dPt>
          <c:dPt>
            <c:idx val="262"/>
            <c:bubble3D val="0"/>
            <c:spPr>
              <a:ln w="28575" cap="rnd" cmpd="sng" algn="ctr">
                <a:solidFill>
                  <a:schemeClr val="accent5"/>
                </a:solidFill>
                <a:prstDash val="solid"/>
                <a:round/>
              </a:ln>
              <a:effectLst/>
            </c:spPr>
            <c:extLst>
              <c:ext xmlns:c16="http://schemas.microsoft.com/office/drawing/2014/chart" uri="{C3380CC4-5D6E-409C-BE32-E72D297353CC}">
                <c16:uniqueId val="{0000000F-3CA9-4314-8186-E036760C58A2}"/>
              </c:ext>
            </c:extLst>
          </c:dPt>
          <c:dPt>
            <c:idx val="263"/>
            <c:bubble3D val="0"/>
            <c:spPr>
              <a:ln w="28575" cap="rnd" cmpd="sng" algn="ctr">
                <a:solidFill>
                  <a:schemeClr val="accent5"/>
                </a:solidFill>
                <a:prstDash val="solid"/>
                <a:round/>
              </a:ln>
              <a:effectLst/>
            </c:spPr>
            <c:extLst>
              <c:ext xmlns:c16="http://schemas.microsoft.com/office/drawing/2014/chart" uri="{C3380CC4-5D6E-409C-BE32-E72D297353CC}">
                <c16:uniqueId val="{00000011-3CA9-4314-8186-E036760C58A2}"/>
              </c:ext>
            </c:extLst>
          </c:dPt>
          <c:dPt>
            <c:idx val="264"/>
            <c:bubble3D val="0"/>
            <c:spPr>
              <a:ln w="28575" cap="rnd" cmpd="sng" algn="ctr">
                <a:solidFill>
                  <a:schemeClr val="accent5"/>
                </a:solidFill>
                <a:prstDash val="solid"/>
                <a:round/>
              </a:ln>
              <a:effectLst/>
            </c:spPr>
            <c:extLst>
              <c:ext xmlns:c16="http://schemas.microsoft.com/office/drawing/2014/chart" uri="{C3380CC4-5D6E-409C-BE32-E72D297353CC}">
                <c16:uniqueId val="{00000013-3CA9-4314-8186-E036760C58A2}"/>
              </c:ext>
            </c:extLst>
          </c:dPt>
          <c:dPt>
            <c:idx val="265"/>
            <c:bubble3D val="0"/>
            <c:spPr>
              <a:ln w="28575" cap="rnd" cmpd="sng" algn="ctr">
                <a:solidFill>
                  <a:schemeClr val="accent5"/>
                </a:solidFill>
                <a:prstDash val="solid"/>
                <a:round/>
              </a:ln>
              <a:effectLst/>
            </c:spPr>
            <c:extLst>
              <c:ext xmlns:c16="http://schemas.microsoft.com/office/drawing/2014/chart" uri="{C3380CC4-5D6E-409C-BE32-E72D297353CC}">
                <c16:uniqueId val="{00000014-3CA9-4314-8186-E036760C58A2}"/>
              </c:ext>
            </c:extLst>
          </c:dPt>
          <c:dPt>
            <c:idx val="266"/>
            <c:bubble3D val="0"/>
            <c:spPr>
              <a:ln w="28575" cap="rnd" cmpd="sng" algn="ctr">
                <a:solidFill>
                  <a:schemeClr val="accent5"/>
                </a:solidFill>
                <a:prstDash val="solid"/>
                <a:round/>
              </a:ln>
              <a:effectLst/>
            </c:spPr>
            <c:extLst>
              <c:ext xmlns:c16="http://schemas.microsoft.com/office/drawing/2014/chart" uri="{C3380CC4-5D6E-409C-BE32-E72D297353CC}">
                <c16:uniqueId val="{00000017-777C-4F4C-8C29-24129CFE78A4}"/>
              </c:ext>
            </c:extLst>
          </c:dPt>
          <c:dPt>
            <c:idx val="267"/>
            <c:bubble3D val="0"/>
            <c:spPr>
              <a:ln w="28575" cap="rnd" cmpd="sng" algn="ctr">
                <a:solidFill>
                  <a:schemeClr val="accent5"/>
                </a:solidFill>
                <a:prstDash val="solid"/>
                <a:round/>
              </a:ln>
              <a:effectLst/>
            </c:spPr>
            <c:extLst>
              <c:ext xmlns:c16="http://schemas.microsoft.com/office/drawing/2014/chart" uri="{C3380CC4-5D6E-409C-BE32-E72D297353CC}">
                <c16:uniqueId val="{00000016-777C-4F4C-8C29-24129CFE78A4}"/>
              </c:ext>
            </c:extLst>
          </c:dPt>
          <c:dPt>
            <c:idx val="268"/>
            <c:bubble3D val="0"/>
            <c:spPr>
              <a:ln w="28575" cap="rnd" cmpd="sng" algn="ctr">
                <a:solidFill>
                  <a:schemeClr val="accent5"/>
                </a:solidFill>
                <a:prstDash val="solid"/>
                <a:round/>
              </a:ln>
              <a:effectLst/>
            </c:spPr>
            <c:extLst>
              <c:ext xmlns:c16="http://schemas.microsoft.com/office/drawing/2014/chart" uri="{C3380CC4-5D6E-409C-BE32-E72D297353CC}">
                <c16:uniqueId val="{0000001A-ABD5-4457-9B43-135B11060028}"/>
              </c:ext>
            </c:extLst>
          </c:dPt>
          <c:dPt>
            <c:idx val="269"/>
            <c:bubble3D val="0"/>
            <c:spPr>
              <a:ln w="28575" cap="rnd" cmpd="sng" algn="ctr">
                <a:solidFill>
                  <a:schemeClr val="accent5"/>
                </a:solidFill>
                <a:prstDash val="solid"/>
                <a:round/>
              </a:ln>
              <a:effectLst/>
            </c:spPr>
            <c:extLst>
              <c:ext xmlns:c16="http://schemas.microsoft.com/office/drawing/2014/chart" uri="{C3380CC4-5D6E-409C-BE32-E72D297353CC}">
                <c16:uniqueId val="{0000001B-ABD5-4457-9B43-135B11060028}"/>
              </c:ext>
            </c:extLst>
          </c:dPt>
          <c:cat>
            <c:numRef>
              <c:f>'Mining Employment Report Period'!$B$8:$TC$8</c:f>
              <c:numCache>
                <c:formatCode>mmm\-yy</c:formatCode>
                <c:ptCount val="522"/>
                <c:pt idx="0">
                  <c:v>36922</c:v>
                </c:pt>
                <c:pt idx="1">
                  <c:v>36950</c:v>
                </c:pt>
                <c:pt idx="2">
                  <c:v>36981</c:v>
                </c:pt>
                <c:pt idx="3">
                  <c:v>37011</c:v>
                </c:pt>
                <c:pt idx="4">
                  <c:v>37042</c:v>
                </c:pt>
                <c:pt idx="5">
                  <c:v>37072</c:v>
                </c:pt>
                <c:pt idx="6">
                  <c:v>37103</c:v>
                </c:pt>
                <c:pt idx="7">
                  <c:v>37134</c:v>
                </c:pt>
                <c:pt idx="8">
                  <c:v>37164</c:v>
                </c:pt>
                <c:pt idx="9">
                  <c:v>37195</c:v>
                </c:pt>
                <c:pt idx="10">
                  <c:v>37225</c:v>
                </c:pt>
                <c:pt idx="11">
                  <c:v>37256</c:v>
                </c:pt>
                <c:pt idx="12">
                  <c:v>37287</c:v>
                </c:pt>
                <c:pt idx="13">
                  <c:v>37315</c:v>
                </c:pt>
                <c:pt idx="14">
                  <c:v>37346</c:v>
                </c:pt>
                <c:pt idx="15">
                  <c:v>37376</c:v>
                </c:pt>
                <c:pt idx="16">
                  <c:v>37407</c:v>
                </c:pt>
                <c:pt idx="17">
                  <c:v>37437</c:v>
                </c:pt>
                <c:pt idx="18">
                  <c:v>37468</c:v>
                </c:pt>
                <c:pt idx="19">
                  <c:v>37499</c:v>
                </c:pt>
                <c:pt idx="20">
                  <c:v>37529</c:v>
                </c:pt>
                <c:pt idx="21">
                  <c:v>37560</c:v>
                </c:pt>
                <c:pt idx="22">
                  <c:v>37590</c:v>
                </c:pt>
                <c:pt idx="23">
                  <c:v>37621</c:v>
                </c:pt>
                <c:pt idx="24">
                  <c:v>37652</c:v>
                </c:pt>
                <c:pt idx="25">
                  <c:v>37680</c:v>
                </c:pt>
                <c:pt idx="26">
                  <c:v>37711</c:v>
                </c:pt>
                <c:pt idx="27">
                  <c:v>37741</c:v>
                </c:pt>
                <c:pt idx="28">
                  <c:v>37772</c:v>
                </c:pt>
                <c:pt idx="29">
                  <c:v>37802</c:v>
                </c:pt>
                <c:pt idx="30">
                  <c:v>37833</c:v>
                </c:pt>
                <c:pt idx="31">
                  <c:v>37864</c:v>
                </c:pt>
                <c:pt idx="32">
                  <c:v>37894</c:v>
                </c:pt>
                <c:pt idx="33">
                  <c:v>37925</c:v>
                </c:pt>
                <c:pt idx="34">
                  <c:v>37955</c:v>
                </c:pt>
                <c:pt idx="35">
                  <c:v>37986</c:v>
                </c:pt>
                <c:pt idx="36">
                  <c:v>38017</c:v>
                </c:pt>
                <c:pt idx="37">
                  <c:v>38046</c:v>
                </c:pt>
                <c:pt idx="38">
                  <c:v>38077</c:v>
                </c:pt>
                <c:pt idx="39">
                  <c:v>38107</c:v>
                </c:pt>
                <c:pt idx="40">
                  <c:v>38138</c:v>
                </c:pt>
                <c:pt idx="41">
                  <c:v>38168</c:v>
                </c:pt>
                <c:pt idx="42">
                  <c:v>38199</c:v>
                </c:pt>
                <c:pt idx="43">
                  <c:v>38230</c:v>
                </c:pt>
                <c:pt idx="44">
                  <c:v>38260</c:v>
                </c:pt>
                <c:pt idx="45">
                  <c:v>38291</c:v>
                </c:pt>
                <c:pt idx="46">
                  <c:v>38321</c:v>
                </c:pt>
                <c:pt idx="47">
                  <c:v>38352</c:v>
                </c:pt>
                <c:pt idx="48">
                  <c:v>38383</c:v>
                </c:pt>
                <c:pt idx="49">
                  <c:v>38411</c:v>
                </c:pt>
                <c:pt idx="50">
                  <c:v>38442</c:v>
                </c:pt>
                <c:pt idx="51">
                  <c:v>38472</c:v>
                </c:pt>
                <c:pt idx="52">
                  <c:v>38503</c:v>
                </c:pt>
                <c:pt idx="53">
                  <c:v>38533</c:v>
                </c:pt>
                <c:pt idx="54">
                  <c:v>38564</c:v>
                </c:pt>
                <c:pt idx="55">
                  <c:v>38595</c:v>
                </c:pt>
                <c:pt idx="56">
                  <c:v>38625</c:v>
                </c:pt>
                <c:pt idx="57">
                  <c:v>38656</c:v>
                </c:pt>
                <c:pt idx="58">
                  <c:v>38686</c:v>
                </c:pt>
                <c:pt idx="59">
                  <c:v>38717</c:v>
                </c:pt>
                <c:pt idx="60">
                  <c:v>38748</c:v>
                </c:pt>
                <c:pt idx="61">
                  <c:v>38776</c:v>
                </c:pt>
                <c:pt idx="62">
                  <c:v>38807</c:v>
                </c:pt>
                <c:pt idx="63">
                  <c:v>38837</c:v>
                </c:pt>
                <c:pt idx="64">
                  <c:v>38868</c:v>
                </c:pt>
                <c:pt idx="65">
                  <c:v>38898</c:v>
                </c:pt>
                <c:pt idx="66">
                  <c:v>38929</c:v>
                </c:pt>
                <c:pt idx="67">
                  <c:v>38960</c:v>
                </c:pt>
                <c:pt idx="68">
                  <c:v>38990</c:v>
                </c:pt>
                <c:pt idx="69">
                  <c:v>39021</c:v>
                </c:pt>
                <c:pt idx="70">
                  <c:v>39051</c:v>
                </c:pt>
                <c:pt idx="71">
                  <c:v>39082</c:v>
                </c:pt>
                <c:pt idx="72">
                  <c:v>39113</c:v>
                </c:pt>
                <c:pt idx="73">
                  <c:v>39141</c:v>
                </c:pt>
                <c:pt idx="74">
                  <c:v>39172</c:v>
                </c:pt>
                <c:pt idx="75">
                  <c:v>39202</c:v>
                </c:pt>
                <c:pt idx="76">
                  <c:v>39233</c:v>
                </c:pt>
                <c:pt idx="77">
                  <c:v>39263</c:v>
                </c:pt>
                <c:pt idx="78">
                  <c:v>39294</c:v>
                </c:pt>
                <c:pt idx="79">
                  <c:v>39325</c:v>
                </c:pt>
                <c:pt idx="80">
                  <c:v>39355</c:v>
                </c:pt>
                <c:pt idx="81">
                  <c:v>39386</c:v>
                </c:pt>
                <c:pt idx="82">
                  <c:v>39416</c:v>
                </c:pt>
                <c:pt idx="83">
                  <c:v>39447</c:v>
                </c:pt>
                <c:pt idx="84">
                  <c:v>39478</c:v>
                </c:pt>
                <c:pt idx="85">
                  <c:v>39507</c:v>
                </c:pt>
                <c:pt idx="86">
                  <c:v>39538</c:v>
                </c:pt>
                <c:pt idx="87">
                  <c:v>39568</c:v>
                </c:pt>
                <c:pt idx="88">
                  <c:v>39599</c:v>
                </c:pt>
                <c:pt idx="89">
                  <c:v>39629</c:v>
                </c:pt>
                <c:pt idx="90">
                  <c:v>39660</c:v>
                </c:pt>
                <c:pt idx="91">
                  <c:v>39691</c:v>
                </c:pt>
                <c:pt idx="92">
                  <c:v>39721</c:v>
                </c:pt>
                <c:pt idx="93">
                  <c:v>39752</c:v>
                </c:pt>
                <c:pt idx="94">
                  <c:v>39782</c:v>
                </c:pt>
                <c:pt idx="95">
                  <c:v>39813</c:v>
                </c:pt>
                <c:pt idx="96">
                  <c:v>39844</c:v>
                </c:pt>
                <c:pt idx="97">
                  <c:v>39872</c:v>
                </c:pt>
                <c:pt idx="98">
                  <c:v>39903</c:v>
                </c:pt>
                <c:pt idx="99">
                  <c:v>39933</c:v>
                </c:pt>
                <c:pt idx="100">
                  <c:v>39964</c:v>
                </c:pt>
                <c:pt idx="101">
                  <c:v>39994</c:v>
                </c:pt>
                <c:pt idx="102">
                  <c:v>40025</c:v>
                </c:pt>
                <c:pt idx="103">
                  <c:v>40056</c:v>
                </c:pt>
                <c:pt idx="104">
                  <c:v>40086</c:v>
                </c:pt>
                <c:pt idx="105">
                  <c:v>40117</c:v>
                </c:pt>
                <c:pt idx="106">
                  <c:v>40147</c:v>
                </c:pt>
                <c:pt idx="107">
                  <c:v>40178</c:v>
                </c:pt>
                <c:pt idx="108">
                  <c:v>40209</c:v>
                </c:pt>
                <c:pt idx="109">
                  <c:v>40237</c:v>
                </c:pt>
                <c:pt idx="110">
                  <c:v>40268</c:v>
                </c:pt>
                <c:pt idx="111">
                  <c:v>40298</c:v>
                </c:pt>
                <c:pt idx="112">
                  <c:v>40329</c:v>
                </c:pt>
                <c:pt idx="113">
                  <c:v>40359</c:v>
                </c:pt>
                <c:pt idx="114">
                  <c:v>40390</c:v>
                </c:pt>
                <c:pt idx="115">
                  <c:v>40421</c:v>
                </c:pt>
                <c:pt idx="116">
                  <c:v>40451</c:v>
                </c:pt>
                <c:pt idx="117">
                  <c:v>40482</c:v>
                </c:pt>
                <c:pt idx="118">
                  <c:v>40512</c:v>
                </c:pt>
                <c:pt idx="119">
                  <c:v>40543</c:v>
                </c:pt>
                <c:pt idx="120">
                  <c:v>40574</c:v>
                </c:pt>
                <c:pt idx="121">
                  <c:v>40602</c:v>
                </c:pt>
                <c:pt idx="122">
                  <c:v>40633</c:v>
                </c:pt>
                <c:pt idx="123">
                  <c:v>40663</c:v>
                </c:pt>
                <c:pt idx="124">
                  <c:v>40694</c:v>
                </c:pt>
                <c:pt idx="125">
                  <c:v>40724</c:v>
                </c:pt>
                <c:pt idx="126">
                  <c:v>40755</c:v>
                </c:pt>
                <c:pt idx="127">
                  <c:v>40786</c:v>
                </c:pt>
                <c:pt idx="128">
                  <c:v>40816</c:v>
                </c:pt>
                <c:pt idx="129">
                  <c:v>40847</c:v>
                </c:pt>
                <c:pt idx="130">
                  <c:v>40877</c:v>
                </c:pt>
                <c:pt idx="131">
                  <c:v>40908</c:v>
                </c:pt>
                <c:pt idx="132">
                  <c:v>40939</c:v>
                </c:pt>
                <c:pt idx="133">
                  <c:v>40968</c:v>
                </c:pt>
                <c:pt idx="134">
                  <c:v>40999</c:v>
                </c:pt>
                <c:pt idx="135">
                  <c:v>41029</c:v>
                </c:pt>
                <c:pt idx="136">
                  <c:v>41060</c:v>
                </c:pt>
                <c:pt idx="137">
                  <c:v>41090</c:v>
                </c:pt>
                <c:pt idx="138">
                  <c:v>41121</c:v>
                </c:pt>
                <c:pt idx="139">
                  <c:v>41152</c:v>
                </c:pt>
                <c:pt idx="140">
                  <c:v>41182</c:v>
                </c:pt>
                <c:pt idx="141">
                  <c:v>41213</c:v>
                </c:pt>
                <c:pt idx="142">
                  <c:v>41243</c:v>
                </c:pt>
                <c:pt idx="143">
                  <c:v>41274</c:v>
                </c:pt>
                <c:pt idx="144">
                  <c:v>41305</c:v>
                </c:pt>
                <c:pt idx="145">
                  <c:v>41333</c:v>
                </c:pt>
                <c:pt idx="146">
                  <c:v>41364</c:v>
                </c:pt>
                <c:pt idx="147">
                  <c:v>41394</c:v>
                </c:pt>
                <c:pt idx="148">
                  <c:v>41425</c:v>
                </c:pt>
                <c:pt idx="149">
                  <c:v>41455</c:v>
                </c:pt>
                <c:pt idx="150">
                  <c:v>41486</c:v>
                </c:pt>
                <c:pt idx="151">
                  <c:v>41517</c:v>
                </c:pt>
                <c:pt idx="152">
                  <c:v>41547</c:v>
                </c:pt>
                <c:pt idx="153">
                  <c:v>41578</c:v>
                </c:pt>
                <c:pt idx="154">
                  <c:v>41608</c:v>
                </c:pt>
                <c:pt idx="155">
                  <c:v>41639</c:v>
                </c:pt>
                <c:pt idx="156">
                  <c:v>41670</c:v>
                </c:pt>
                <c:pt idx="157">
                  <c:v>41698</c:v>
                </c:pt>
                <c:pt idx="158">
                  <c:v>41729</c:v>
                </c:pt>
                <c:pt idx="159">
                  <c:v>41759</c:v>
                </c:pt>
                <c:pt idx="160">
                  <c:v>41790</c:v>
                </c:pt>
                <c:pt idx="161">
                  <c:v>41820</c:v>
                </c:pt>
                <c:pt idx="162">
                  <c:v>41851</c:v>
                </c:pt>
                <c:pt idx="163">
                  <c:v>41882</c:v>
                </c:pt>
                <c:pt idx="164">
                  <c:v>41912</c:v>
                </c:pt>
                <c:pt idx="165">
                  <c:v>41943</c:v>
                </c:pt>
                <c:pt idx="166">
                  <c:v>41973</c:v>
                </c:pt>
                <c:pt idx="167">
                  <c:v>42004</c:v>
                </c:pt>
                <c:pt idx="168">
                  <c:v>42035</c:v>
                </c:pt>
                <c:pt idx="169">
                  <c:v>42063</c:v>
                </c:pt>
                <c:pt idx="170">
                  <c:v>42094</c:v>
                </c:pt>
                <c:pt idx="171">
                  <c:v>42124</c:v>
                </c:pt>
                <c:pt idx="172">
                  <c:v>42155</c:v>
                </c:pt>
                <c:pt idx="173">
                  <c:v>42185</c:v>
                </c:pt>
                <c:pt idx="174">
                  <c:v>42216</c:v>
                </c:pt>
                <c:pt idx="175">
                  <c:v>42247</c:v>
                </c:pt>
                <c:pt idx="176">
                  <c:v>42277</c:v>
                </c:pt>
                <c:pt idx="177">
                  <c:v>42308</c:v>
                </c:pt>
                <c:pt idx="178">
                  <c:v>42338</c:v>
                </c:pt>
                <c:pt idx="179">
                  <c:v>42369</c:v>
                </c:pt>
                <c:pt idx="180">
                  <c:v>42400</c:v>
                </c:pt>
                <c:pt idx="181">
                  <c:v>42429</c:v>
                </c:pt>
                <c:pt idx="182">
                  <c:v>42460</c:v>
                </c:pt>
                <c:pt idx="183">
                  <c:v>42490</c:v>
                </c:pt>
                <c:pt idx="184">
                  <c:v>42521</c:v>
                </c:pt>
                <c:pt idx="185">
                  <c:v>42551</c:v>
                </c:pt>
                <c:pt idx="186">
                  <c:v>42582</c:v>
                </c:pt>
                <c:pt idx="187">
                  <c:v>42613</c:v>
                </c:pt>
                <c:pt idx="188">
                  <c:v>42643</c:v>
                </c:pt>
                <c:pt idx="189">
                  <c:v>42674</c:v>
                </c:pt>
                <c:pt idx="190">
                  <c:v>42704</c:v>
                </c:pt>
                <c:pt idx="191">
                  <c:v>42735</c:v>
                </c:pt>
                <c:pt idx="192">
                  <c:v>42766</c:v>
                </c:pt>
                <c:pt idx="193">
                  <c:v>42794</c:v>
                </c:pt>
                <c:pt idx="194">
                  <c:v>42825</c:v>
                </c:pt>
                <c:pt idx="195">
                  <c:v>42855</c:v>
                </c:pt>
                <c:pt idx="196">
                  <c:v>42886</c:v>
                </c:pt>
                <c:pt idx="197">
                  <c:v>42916</c:v>
                </c:pt>
                <c:pt idx="198">
                  <c:v>42947</c:v>
                </c:pt>
                <c:pt idx="199">
                  <c:v>42978</c:v>
                </c:pt>
                <c:pt idx="200">
                  <c:v>43008</c:v>
                </c:pt>
                <c:pt idx="201">
                  <c:v>43039</c:v>
                </c:pt>
                <c:pt idx="202">
                  <c:v>43069</c:v>
                </c:pt>
                <c:pt idx="203">
                  <c:v>43100</c:v>
                </c:pt>
                <c:pt idx="204">
                  <c:v>43131</c:v>
                </c:pt>
                <c:pt idx="205">
                  <c:v>43159</c:v>
                </c:pt>
                <c:pt idx="206">
                  <c:v>43190</c:v>
                </c:pt>
                <c:pt idx="207">
                  <c:v>43220</c:v>
                </c:pt>
                <c:pt idx="208">
                  <c:v>43251</c:v>
                </c:pt>
                <c:pt idx="209">
                  <c:v>43281</c:v>
                </c:pt>
                <c:pt idx="210">
                  <c:v>43312</c:v>
                </c:pt>
                <c:pt idx="211">
                  <c:v>43343</c:v>
                </c:pt>
                <c:pt idx="212">
                  <c:v>43373</c:v>
                </c:pt>
                <c:pt idx="213">
                  <c:v>43404</c:v>
                </c:pt>
                <c:pt idx="214">
                  <c:v>43434</c:v>
                </c:pt>
                <c:pt idx="215">
                  <c:v>43465</c:v>
                </c:pt>
                <c:pt idx="216">
                  <c:v>43496</c:v>
                </c:pt>
                <c:pt idx="217">
                  <c:v>43524</c:v>
                </c:pt>
                <c:pt idx="218">
                  <c:v>43555</c:v>
                </c:pt>
                <c:pt idx="219">
                  <c:v>43585</c:v>
                </c:pt>
                <c:pt idx="220">
                  <c:v>43616</c:v>
                </c:pt>
                <c:pt idx="221">
                  <c:v>43646</c:v>
                </c:pt>
                <c:pt idx="222">
                  <c:v>43677</c:v>
                </c:pt>
                <c:pt idx="223">
                  <c:v>43708</c:v>
                </c:pt>
                <c:pt idx="224">
                  <c:v>43738</c:v>
                </c:pt>
                <c:pt idx="225">
                  <c:v>43769</c:v>
                </c:pt>
                <c:pt idx="226">
                  <c:v>43799</c:v>
                </c:pt>
                <c:pt idx="227">
                  <c:v>43830</c:v>
                </c:pt>
                <c:pt idx="228">
                  <c:v>43861</c:v>
                </c:pt>
                <c:pt idx="229">
                  <c:v>43890</c:v>
                </c:pt>
                <c:pt idx="230">
                  <c:v>43921</c:v>
                </c:pt>
                <c:pt idx="231">
                  <c:v>43951</c:v>
                </c:pt>
                <c:pt idx="232">
                  <c:v>43982</c:v>
                </c:pt>
                <c:pt idx="233">
                  <c:v>44012</c:v>
                </c:pt>
                <c:pt idx="234">
                  <c:v>44043</c:v>
                </c:pt>
                <c:pt idx="235">
                  <c:v>44074</c:v>
                </c:pt>
                <c:pt idx="236">
                  <c:v>44104</c:v>
                </c:pt>
                <c:pt idx="237">
                  <c:v>44135</c:v>
                </c:pt>
                <c:pt idx="238">
                  <c:v>44165</c:v>
                </c:pt>
                <c:pt idx="239">
                  <c:v>44196</c:v>
                </c:pt>
                <c:pt idx="240">
                  <c:v>44227</c:v>
                </c:pt>
                <c:pt idx="241">
                  <c:v>44255</c:v>
                </c:pt>
                <c:pt idx="242">
                  <c:v>44286</c:v>
                </c:pt>
                <c:pt idx="243">
                  <c:v>44316</c:v>
                </c:pt>
                <c:pt idx="244">
                  <c:v>44347</c:v>
                </c:pt>
                <c:pt idx="245">
                  <c:v>44377</c:v>
                </c:pt>
                <c:pt idx="246">
                  <c:v>44408</c:v>
                </c:pt>
                <c:pt idx="247">
                  <c:v>44439</c:v>
                </c:pt>
                <c:pt idx="248">
                  <c:v>44469</c:v>
                </c:pt>
                <c:pt idx="249">
                  <c:v>44500</c:v>
                </c:pt>
                <c:pt idx="250">
                  <c:v>44530</c:v>
                </c:pt>
                <c:pt idx="251">
                  <c:v>44561</c:v>
                </c:pt>
                <c:pt idx="252">
                  <c:v>44592</c:v>
                </c:pt>
                <c:pt idx="253">
                  <c:v>44620</c:v>
                </c:pt>
                <c:pt idx="254">
                  <c:v>44651</c:v>
                </c:pt>
                <c:pt idx="255">
                  <c:v>44742</c:v>
                </c:pt>
                <c:pt idx="256">
                  <c:v>44834</c:v>
                </c:pt>
                <c:pt idx="257">
                  <c:v>44926</c:v>
                </c:pt>
                <c:pt idx="258">
                  <c:v>45016</c:v>
                </c:pt>
                <c:pt idx="259">
                  <c:v>45107</c:v>
                </c:pt>
                <c:pt idx="260">
                  <c:v>45199</c:v>
                </c:pt>
                <c:pt idx="261">
                  <c:v>45291</c:v>
                </c:pt>
                <c:pt idx="262">
                  <c:v>45382</c:v>
                </c:pt>
                <c:pt idx="263">
                  <c:v>45473</c:v>
                </c:pt>
                <c:pt idx="264">
                  <c:v>45565</c:v>
                </c:pt>
                <c:pt idx="265">
                  <c:v>45657</c:v>
                </c:pt>
                <c:pt idx="266">
                  <c:v>45747</c:v>
                </c:pt>
                <c:pt idx="267">
                  <c:v>45838</c:v>
                </c:pt>
                <c:pt idx="268">
                  <c:v>45930</c:v>
                </c:pt>
                <c:pt idx="269">
                  <c:v>46022</c:v>
                </c:pt>
              </c:numCache>
            </c:numRef>
          </c:cat>
          <c:val>
            <c:numRef>
              <c:f>'Mining Employment Report Period'!$B$83:$TC$83</c:f>
              <c:numCache>
                <c:formatCode>#,##0</c:formatCode>
                <c:ptCount val="522"/>
                <c:pt idx="0">
                  <c:v>309.96600000000001</c:v>
                </c:pt>
                <c:pt idx="1">
                  <c:v>465.74399999999997</c:v>
                </c:pt>
                <c:pt idx="2">
                  <c:v>495.18600000000004</c:v>
                </c:pt>
                <c:pt idx="3">
                  <c:v>622.53600000000006</c:v>
                </c:pt>
                <c:pt idx="4">
                  <c:v>616.35599999999999</c:v>
                </c:pt>
                <c:pt idx="5">
                  <c:v>675.97799999999995</c:v>
                </c:pt>
                <c:pt idx="6">
                  <c:v>714.64200000000005</c:v>
                </c:pt>
                <c:pt idx="7">
                  <c:v>662.41800000000001</c:v>
                </c:pt>
                <c:pt idx="8">
                  <c:v>740.23800000000006</c:v>
                </c:pt>
                <c:pt idx="9">
                  <c:v>768.96600000000001</c:v>
                </c:pt>
                <c:pt idx="10">
                  <c:v>664.41</c:v>
                </c:pt>
                <c:pt idx="11">
                  <c:v>515.02800000000002</c:v>
                </c:pt>
                <c:pt idx="12">
                  <c:v>323.274</c:v>
                </c:pt>
                <c:pt idx="13">
                  <c:v>465.66600000000005</c:v>
                </c:pt>
                <c:pt idx="14">
                  <c:v>410.70000000000005</c:v>
                </c:pt>
                <c:pt idx="15">
                  <c:v>422.82</c:v>
                </c:pt>
                <c:pt idx="16">
                  <c:v>432.83399999999995</c:v>
                </c:pt>
                <c:pt idx="17">
                  <c:v>336.95400000000001</c:v>
                </c:pt>
                <c:pt idx="18">
                  <c:v>524.28600000000006</c:v>
                </c:pt>
                <c:pt idx="19">
                  <c:v>526.548</c:v>
                </c:pt>
                <c:pt idx="20">
                  <c:v>499.56000000000006</c:v>
                </c:pt>
                <c:pt idx="21">
                  <c:v>619.71600000000001</c:v>
                </c:pt>
                <c:pt idx="22">
                  <c:v>584.47799999999995</c:v>
                </c:pt>
                <c:pt idx="23">
                  <c:v>423.76199999999994</c:v>
                </c:pt>
                <c:pt idx="24">
                  <c:v>285.714</c:v>
                </c:pt>
                <c:pt idx="25">
                  <c:v>441.91800000000001</c:v>
                </c:pt>
                <c:pt idx="26">
                  <c:v>461.58000000000004</c:v>
                </c:pt>
                <c:pt idx="27">
                  <c:v>449.286</c:v>
                </c:pt>
                <c:pt idx="28">
                  <c:v>559.73400000000004</c:v>
                </c:pt>
                <c:pt idx="29">
                  <c:v>573.98400000000004</c:v>
                </c:pt>
                <c:pt idx="30">
                  <c:v>577.96800000000007</c:v>
                </c:pt>
                <c:pt idx="31">
                  <c:v>563.44200000000001</c:v>
                </c:pt>
                <c:pt idx="32">
                  <c:v>552.822</c:v>
                </c:pt>
                <c:pt idx="33">
                  <c:v>470.01599999999996</c:v>
                </c:pt>
                <c:pt idx="34">
                  <c:v>517.53600000000006</c:v>
                </c:pt>
                <c:pt idx="35">
                  <c:v>381.80399999999997</c:v>
                </c:pt>
                <c:pt idx="36">
                  <c:v>388.99799999999999</c:v>
                </c:pt>
                <c:pt idx="37">
                  <c:v>447.37199999999996</c:v>
                </c:pt>
                <c:pt idx="38">
                  <c:v>427.49399999999997</c:v>
                </c:pt>
                <c:pt idx="39">
                  <c:v>543.31799999999998</c:v>
                </c:pt>
                <c:pt idx="40">
                  <c:v>695.56200000000001</c:v>
                </c:pt>
                <c:pt idx="41">
                  <c:v>735.774</c:v>
                </c:pt>
                <c:pt idx="42">
                  <c:v>733.21199999999999</c:v>
                </c:pt>
                <c:pt idx="43">
                  <c:v>819.96</c:v>
                </c:pt>
                <c:pt idx="44">
                  <c:v>918.19200000000001</c:v>
                </c:pt>
                <c:pt idx="45">
                  <c:v>870.24599999999998</c:v>
                </c:pt>
                <c:pt idx="46">
                  <c:v>958.92599999999993</c:v>
                </c:pt>
                <c:pt idx="47">
                  <c:v>640.13400000000001</c:v>
                </c:pt>
                <c:pt idx="48">
                  <c:v>567.41999999999996</c:v>
                </c:pt>
                <c:pt idx="49">
                  <c:v>678.54599999999994</c:v>
                </c:pt>
                <c:pt idx="50">
                  <c:v>831.82799999999997</c:v>
                </c:pt>
                <c:pt idx="51">
                  <c:v>797.18399999999997</c:v>
                </c:pt>
                <c:pt idx="52">
                  <c:v>917.96399999999994</c:v>
                </c:pt>
                <c:pt idx="53">
                  <c:v>756.37800000000004</c:v>
                </c:pt>
                <c:pt idx="54">
                  <c:v>917.88599999999997</c:v>
                </c:pt>
                <c:pt idx="55">
                  <c:v>895.51799999999992</c:v>
                </c:pt>
                <c:pt idx="56">
                  <c:v>968.09999999999991</c:v>
                </c:pt>
                <c:pt idx="57">
                  <c:v>906.82799999999997</c:v>
                </c:pt>
                <c:pt idx="58">
                  <c:v>917.18399999999997</c:v>
                </c:pt>
                <c:pt idx="59">
                  <c:v>649.16399999999999</c:v>
                </c:pt>
                <c:pt idx="60">
                  <c:v>556.60799999999995</c:v>
                </c:pt>
                <c:pt idx="61">
                  <c:v>672.83399999999995</c:v>
                </c:pt>
                <c:pt idx="62">
                  <c:v>721.28399999999999</c:v>
                </c:pt>
                <c:pt idx="63">
                  <c:v>787.72800000000007</c:v>
                </c:pt>
                <c:pt idx="64">
                  <c:v>909.88799999999992</c:v>
                </c:pt>
                <c:pt idx="65">
                  <c:v>1103.316</c:v>
                </c:pt>
                <c:pt idx="66">
                  <c:v>1166.9639999999999</c:v>
                </c:pt>
                <c:pt idx="67">
                  <c:v>1120.77</c:v>
                </c:pt>
                <c:pt idx="68">
                  <c:v>1294.4639999999999</c:v>
                </c:pt>
                <c:pt idx="69">
                  <c:v>1380.9479999999999</c:v>
                </c:pt>
                <c:pt idx="70">
                  <c:v>1302.702</c:v>
                </c:pt>
                <c:pt idx="71">
                  <c:v>839.23200000000008</c:v>
                </c:pt>
                <c:pt idx="72">
                  <c:v>702.27</c:v>
                </c:pt>
                <c:pt idx="73">
                  <c:v>968.24399999999991</c:v>
                </c:pt>
                <c:pt idx="74">
                  <c:v>1073.454</c:v>
                </c:pt>
                <c:pt idx="75">
                  <c:v>1192.4939999999999</c:v>
                </c:pt>
                <c:pt idx="76">
                  <c:v>1597.0439999999999</c:v>
                </c:pt>
                <c:pt idx="77">
                  <c:v>1776.0359999999998</c:v>
                </c:pt>
                <c:pt idx="78">
                  <c:v>1651.5479999999998</c:v>
                </c:pt>
                <c:pt idx="79">
                  <c:v>1722.6959999999999</c:v>
                </c:pt>
                <c:pt idx="80">
                  <c:v>1969.248</c:v>
                </c:pt>
                <c:pt idx="81">
                  <c:v>2095.3200000000002</c:v>
                </c:pt>
                <c:pt idx="82">
                  <c:v>2194.7339999999999</c:v>
                </c:pt>
                <c:pt idx="83">
                  <c:v>1619.1000000000001</c:v>
                </c:pt>
                <c:pt idx="84">
                  <c:v>1356.3600000000001</c:v>
                </c:pt>
                <c:pt idx="85">
                  <c:v>1930.6260000000002</c:v>
                </c:pt>
                <c:pt idx="86">
                  <c:v>2214.36</c:v>
                </c:pt>
                <c:pt idx="87">
                  <c:v>2418.33</c:v>
                </c:pt>
                <c:pt idx="88">
                  <c:v>2414.652</c:v>
                </c:pt>
                <c:pt idx="89">
                  <c:v>2639.0160000000001</c:v>
                </c:pt>
                <c:pt idx="90">
                  <c:v>3014.7719999999999</c:v>
                </c:pt>
                <c:pt idx="91">
                  <c:v>3204.06</c:v>
                </c:pt>
                <c:pt idx="92">
                  <c:v>3122.8679999999995</c:v>
                </c:pt>
                <c:pt idx="93">
                  <c:v>3210.1680000000001</c:v>
                </c:pt>
                <c:pt idx="94">
                  <c:v>2910.2939999999999</c:v>
                </c:pt>
                <c:pt idx="95">
                  <c:v>2247.654</c:v>
                </c:pt>
                <c:pt idx="96">
                  <c:v>1275.3240000000001</c:v>
                </c:pt>
                <c:pt idx="97">
                  <c:v>1642.1640000000002</c:v>
                </c:pt>
                <c:pt idx="98">
                  <c:v>1834.182</c:v>
                </c:pt>
                <c:pt idx="99">
                  <c:v>1965.8999999999999</c:v>
                </c:pt>
                <c:pt idx="100">
                  <c:v>2258.6579999999999</c:v>
                </c:pt>
                <c:pt idx="101">
                  <c:v>2330.0460000000003</c:v>
                </c:pt>
                <c:pt idx="102">
                  <c:v>2673.7919999999999</c:v>
                </c:pt>
                <c:pt idx="103">
                  <c:v>2666.364</c:v>
                </c:pt>
                <c:pt idx="104">
                  <c:v>2793.9780000000001</c:v>
                </c:pt>
                <c:pt idx="105">
                  <c:v>3088.1400000000003</c:v>
                </c:pt>
                <c:pt idx="106">
                  <c:v>3087.9539999999997</c:v>
                </c:pt>
                <c:pt idx="107">
                  <c:v>2459.4780000000001</c:v>
                </c:pt>
                <c:pt idx="108">
                  <c:v>1973.0099999999998</c:v>
                </c:pt>
                <c:pt idx="109">
                  <c:v>2514.75</c:v>
                </c:pt>
                <c:pt idx="110">
                  <c:v>2940.3420000000001</c:v>
                </c:pt>
                <c:pt idx="111">
                  <c:v>3162.8759999999997</c:v>
                </c:pt>
                <c:pt idx="112">
                  <c:v>3395.3759999999997</c:v>
                </c:pt>
                <c:pt idx="113">
                  <c:v>3498.7259999999997</c:v>
                </c:pt>
                <c:pt idx="114">
                  <c:v>3669.6780000000003</c:v>
                </c:pt>
                <c:pt idx="115">
                  <c:v>3649.3140000000003</c:v>
                </c:pt>
                <c:pt idx="116">
                  <c:v>3620.7060000000001</c:v>
                </c:pt>
                <c:pt idx="117">
                  <c:v>3724.4700000000003</c:v>
                </c:pt>
                <c:pt idx="118">
                  <c:v>3977.7420000000002</c:v>
                </c:pt>
                <c:pt idx="119">
                  <c:v>2947.41</c:v>
                </c:pt>
                <c:pt idx="120">
                  <c:v>2234.8559999999998</c:v>
                </c:pt>
                <c:pt idx="121">
                  <c:v>2532.5819999999999</c:v>
                </c:pt>
                <c:pt idx="122">
                  <c:v>3305.7719999999999</c:v>
                </c:pt>
                <c:pt idx="123">
                  <c:v>3601.5659999999998</c:v>
                </c:pt>
                <c:pt idx="124">
                  <c:v>3909.8820000000005</c:v>
                </c:pt>
                <c:pt idx="125">
                  <c:v>4022.4180000000001</c:v>
                </c:pt>
                <c:pt idx="126">
                  <c:v>3974.7179999999998</c:v>
                </c:pt>
                <c:pt idx="127">
                  <c:v>4144.7939999999999</c:v>
                </c:pt>
                <c:pt idx="128">
                  <c:v>4204.8779999999997</c:v>
                </c:pt>
                <c:pt idx="129">
                  <c:v>4445.2559999999994</c:v>
                </c:pt>
                <c:pt idx="130">
                  <c:v>4526.7359999999999</c:v>
                </c:pt>
                <c:pt idx="131">
                  <c:v>3032.2799999999997</c:v>
                </c:pt>
                <c:pt idx="132">
                  <c:v>2302.752</c:v>
                </c:pt>
                <c:pt idx="133">
                  <c:v>3984.6840000000002</c:v>
                </c:pt>
                <c:pt idx="134">
                  <c:v>4077.9659999999994</c:v>
                </c:pt>
                <c:pt idx="135">
                  <c:v>4216.0619999999999</c:v>
                </c:pt>
                <c:pt idx="136">
                  <c:v>4397.8559999999998</c:v>
                </c:pt>
                <c:pt idx="137">
                  <c:v>4138.6679999999997</c:v>
                </c:pt>
                <c:pt idx="138">
                  <c:v>4025.13</c:v>
                </c:pt>
                <c:pt idx="139">
                  <c:v>3924.9839999999999</c:v>
                </c:pt>
                <c:pt idx="140">
                  <c:v>3412.5780000000004</c:v>
                </c:pt>
                <c:pt idx="141">
                  <c:v>3193.7999999999997</c:v>
                </c:pt>
                <c:pt idx="142">
                  <c:v>3037.6260000000002</c:v>
                </c:pt>
                <c:pt idx="143">
                  <c:v>1878.69</c:v>
                </c:pt>
                <c:pt idx="144">
                  <c:v>1360.386</c:v>
                </c:pt>
                <c:pt idx="145">
                  <c:v>2030.9339999999997</c:v>
                </c:pt>
                <c:pt idx="146">
                  <c:v>2236.038</c:v>
                </c:pt>
                <c:pt idx="147">
                  <c:v>2586.0240000000003</c:v>
                </c:pt>
                <c:pt idx="148">
                  <c:v>2660.0460000000003</c:v>
                </c:pt>
                <c:pt idx="149">
                  <c:v>2520.174</c:v>
                </c:pt>
                <c:pt idx="150">
                  <c:v>2565.096</c:v>
                </c:pt>
                <c:pt idx="151">
                  <c:v>2614.8959999999997</c:v>
                </c:pt>
                <c:pt idx="152">
                  <c:v>2840.34</c:v>
                </c:pt>
                <c:pt idx="153">
                  <c:v>2864.1000000000004</c:v>
                </c:pt>
                <c:pt idx="154">
                  <c:v>2836.152</c:v>
                </c:pt>
                <c:pt idx="155">
                  <c:v>1720.7759999999998</c:v>
                </c:pt>
                <c:pt idx="156">
                  <c:v>1279.944</c:v>
                </c:pt>
                <c:pt idx="157">
                  <c:v>1829.2140000000002</c:v>
                </c:pt>
                <c:pt idx="158">
                  <c:v>2243.4780000000001</c:v>
                </c:pt>
                <c:pt idx="159">
                  <c:v>2464.4339999999997</c:v>
                </c:pt>
                <c:pt idx="160">
                  <c:v>2743.134</c:v>
                </c:pt>
                <c:pt idx="161">
                  <c:v>2659.614</c:v>
                </c:pt>
                <c:pt idx="162">
                  <c:v>2522.2139999999999</c:v>
                </c:pt>
                <c:pt idx="163">
                  <c:v>2358.2339999999999</c:v>
                </c:pt>
                <c:pt idx="164">
                  <c:v>2456.0880000000002</c:v>
                </c:pt>
                <c:pt idx="165">
                  <c:v>2538.498</c:v>
                </c:pt>
                <c:pt idx="166">
                  <c:v>2491.404</c:v>
                </c:pt>
                <c:pt idx="167">
                  <c:v>1419.8820000000001</c:v>
                </c:pt>
                <c:pt idx="168">
                  <c:v>1018.4159999999999</c:v>
                </c:pt>
                <c:pt idx="169">
                  <c:v>1434.0419999999999</c:v>
                </c:pt>
                <c:pt idx="170">
                  <c:v>2018.694</c:v>
                </c:pt>
                <c:pt idx="171">
                  <c:v>2007.09</c:v>
                </c:pt>
                <c:pt idx="172">
                  <c:v>1966.8120000000001</c:v>
                </c:pt>
                <c:pt idx="173">
                  <c:v>2034.21</c:v>
                </c:pt>
                <c:pt idx="174">
                  <c:v>2148.942</c:v>
                </c:pt>
                <c:pt idx="175">
                  <c:v>2213.1959999999999</c:v>
                </c:pt>
                <c:pt idx="176">
                  <c:v>2208.3959999999997</c:v>
                </c:pt>
                <c:pt idx="177">
                  <c:v>2143.3319999999999</c:v>
                </c:pt>
                <c:pt idx="178">
                  <c:v>2198.1660000000002</c:v>
                </c:pt>
                <c:pt idx="179">
                  <c:v>1408.9859999999999</c:v>
                </c:pt>
                <c:pt idx="180">
                  <c:v>908.79600000000005</c:v>
                </c:pt>
                <c:pt idx="181">
                  <c:v>1545.732</c:v>
                </c:pt>
                <c:pt idx="182">
                  <c:v>1882.4520000000002</c:v>
                </c:pt>
                <c:pt idx="183">
                  <c:v>2010.4860000000001</c:v>
                </c:pt>
                <c:pt idx="184">
                  <c:v>2104.0500000000002</c:v>
                </c:pt>
                <c:pt idx="185">
                  <c:v>1905.7440000000001</c:v>
                </c:pt>
                <c:pt idx="186">
                  <c:v>1889.9640000000002</c:v>
                </c:pt>
                <c:pt idx="187">
                  <c:v>2269.5839999999998</c:v>
                </c:pt>
                <c:pt idx="188">
                  <c:v>2405.9580000000001</c:v>
                </c:pt>
                <c:pt idx="189">
                  <c:v>2418.0479999999998</c:v>
                </c:pt>
                <c:pt idx="190">
                  <c:v>2461.2599999999998</c:v>
                </c:pt>
                <c:pt idx="191">
                  <c:v>1428.33</c:v>
                </c:pt>
                <c:pt idx="192">
                  <c:v>965.84999999999991</c:v>
                </c:pt>
                <c:pt idx="193">
                  <c:v>1621.3980000000001</c:v>
                </c:pt>
                <c:pt idx="194">
                  <c:v>2031.384</c:v>
                </c:pt>
                <c:pt idx="195">
                  <c:v>2232.732</c:v>
                </c:pt>
                <c:pt idx="196">
                  <c:v>2604.6779999999999</c:v>
                </c:pt>
                <c:pt idx="197">
                  <c:v>2451.828</c:v>
                </c:pt>
                <c:pt idx="198">
                  <c:v>2413.4520000000002</c:v>
                </c:pt>
                <c:pt idx="199">
                  <c:v>2390.0700000000002</c:v>
                </c:pt>
                <c:pt idx="200">
                  <c:v>2579.1179999999999</c:v>
                </c:pt>
                <c:pt idx="201">
                  <c:v>2639.8019999999997</c:v>
                </c:pt>
                <c:pt idx="202">
                  <c:v>2693.2200000000003</c:v>
                </c:pt>
                <c:pt idx="203">
                  <c:v>1755.4679999999998</c:v>
                </c:pt>
                <c:pt idx="204">
                  <c:v>1329.5340000000001</c:v>
                </c:pt>
                <c:pt idx="205">
                  <c:v>2131.3620000000001</c:v>
                </c:pt>
                <c:pt idx="206">
                  <c:v>2668.8239999999996</c:v>
                </c:pt>
                <c:pt idx="207">
                  <c:v>2999.5079999999998</c:v>
                </c:pt>
                <c:pt idx="208">
                  <c:v>3227.9759999999997</c:v>
                </c:pt>
                <c:pt idx="209">
                  <c:v>3026.25</c:v>
                </c:pt>
                <c:pt idx="210">
                  <c:v>2878.6499999999996</c:v>
                </c:pt>
                <c:pt idx="211">
                  <c:v>2910.7740000000003</c:v>
                </c:pt>
                <c:pt idx="212">
                  <c:v>2881.0739999999996</c:v>
                </c:pt>
                <c:pt idx="213">
                  <c:v>3170.5619999999999</c:v>
                </c:pt>
                <c:pt idx="214">
                  <c:v>3013.4279999999999</c:v>
                </c:pt>
                <c:pt idx="215">
                  <c:v>1891.3139999999999</c:v>
                </c:pt>
                <c:pt idx="216">
                  <c:v>1646.0819999999999</c:v>
                </c:pt>
                <c:pt idx="217">
                  <c:v>2286.69</c:v>
                </c:pt>
                <c:pt idx="218">
                  <c:v>2959.326</c:v>
                </c:pt>
                <c:pt idx="219">
                  <c:v>3280.9920000000002</c:v>
                </c:pt>
                <c:pt idx="220">
                  <c:v>3679.0199999999995</c:v>
                </c:pt>
                <c:pt idx="221">
                  <c:v>3707.3820000000005</c:v>
                </c:pt>
                <c:pt idx="222">
                  <c:v>3725.7179999999998</c:v>
                </c:pt>
                <c:pt idx="223">
                  <c:v>3913.5959999999995</c:v>
                </c:pt>
                <c:pt idx="224">
                  <c:v>3841.038</c:v>
                </c:pt>
                <c:pt idx="225">
                  <c:v>3909.4739999999997</c:v>
                </c:pt>
                <c:pt idx="226">
                  <c:v>3797.6279999999997</c:v>
                </c:pt>
                <c:pt idx="227">
                  <c:v>2400.4740000000002</c:v>
                </c:pt>
                <c:pt idx="228">
                  <c:v>2036.796</c:v>
                </c:pt>
                <c:pt idx="229">
                  <c:v>3079.38</c:v>
                </c:pt>
                <c:pt idx="230">
                  <c:v>3664.0860000000002</c:v>
                </c:pt>
                <c:pt idx="231">
                  <c:v>2873.9700000000003</c:v>
                </c:pt>
                <c:pt idx="232">
                  <c:v>3331.8420000000001</c:v>
                </c:pt>
                <c:pt idx="233">
                  <c:v>3682.7699999999995</c:v>
                </c:pt>
                <c:pt idx="234">
                  <c:v>4186.6020000000008</c:v>
                </c:pt>
                <c:pt idx="235">
                  <c:v>4280.5860000000002</c:v>
                </c:pt>
                <c:pt idx="236">
                  <c:v>4327.2119999999995</c:v>
                </c:pt>
                <c:pt idx="237">
                  <c:v>4523.3220000000001</c:v>
                </c:pt>
                <c:pt idx="238">
                  <c:v>4364.7300000000005</c:v>
                </c:pt>
                <c:pt idx="239">
                  <c:v>2956.29</c:v>
                </c:pt>
                <c:pt idx="240">
                  <c:v>2571.3359999999998</c:v>
                </c:pt>
                <c:pt idx="241">
                  <c:v>3347.34</c:v>
                </c:pt>
                <c:pt idx="242">
                  <c:v>4651.6440000000002</c:v>
                </c:pt>
                <c:pt idx="243">
                  <c:v>4752.6959999999999</c:v>
                </c:pt>
                <c:pt idx="244">
                  <c:v>5020.8180000000002</c:v>
                </c:pt>
                <c:pt idx="245">
                  <c:v>5053.08</c:v>
                </c:pt>
                <c:pt idx="246">
                  <c:v>5023.8060000000005</c:v>
                </c:pt>
                <c:pt idx="247">
                  <c:v>5317.9260000000004</c:v>
                </c:pt>
                <c:pt idx="248">
                  <c:v>5288.1900000000005</c:v>
                </c:pt>
                <c:pt idx="249">
                  <c:v>5468.5079999999998</c:v>
                </c:pt>
                <c:pt idx="250">
                  <c:v>5290.9979999999996</c:v>
                </c:pt>
                <c:pt idx="251">
                  <c:v>3304.6080000000002</c:v>
                </c:pt>
                <c:pt idx="252">
                  <c:v>3045.42</c:v>
                </c:pt>
                <c:pt idx="253">
                  <c:v>3788.6099999999997</c:v>
                </c:pt>
                <c:pt idx="254">
                  <c:v>4633.6080000000002</c:v>
                </c:pt>
                <c:pt idx="255">
                  <c:v>5019.7759999999998</c:v>
                </c:pt>
                <c:pt idx="256">
                  <c:v>4995.0280000000002</c:v>
                </c:pt>
                <c:pt idx="257">
                  <c:v>4382.3779999999997</c:v>
                </c:pt>
                <c:pt idx="258">
                  <c:v>3310.25</c:v>
                </c:pt>
                <c:pt idx="259">
                  <c:v>4150.6559999999999</c:v>
                </c:pt>
                <c:pt idx="260">
                  <c:v>4466.4179999999997</c:v>
                </c:pt>
                <c:pt idx="261">
                  <c:v>3964.712</c:v>
                </c:pt>
                <c:pt idx="262">
                  <c:v>3651.636</c:v>
                </c:pt>
                <c:pt idx="263">
                  <c:v>4702.1220000000003</c:v>
                </c:pt>
                <c:pt idx="264">
                  <c:v>4662.97</c:v>
                </c:pt>
                <c:pt idx="265">
                  <c:v>3982.366</c:v>
                </c:pt>
                <c:pt idx="266">
                  <c:v>3529.2440000000001</c:v>
                </c:pt>
                <c:pt idx="267">
                  <c:v>4700.6959999999999</c:v>
                </c:pt>
                <c:pt idx="268">
                  <c:v>5108.8779999999997</c:v>
                </c:pt>
                <c:pt idx="269">
                  <c:v>4833.2719999999999</c:v>
                </c:pt>
              </c:numCache>
            </c:numRef>
          </c:val>
          <c:smooth val="0"/>
          <c:extLst>
            <c:ext xmlns:c16="http://schemas.microsoft.com/office/drawing/2014/chart" uri="{C3380CC4-5D6E-409C-BE32-E72D297353CC}">
              <c16:uniqueId val="{00000012-3CA9-4314-8186-E036760C58A2}"/>
            </c:ext>
          </c:extLst>
        </c:ser>
        <c:dLbls>
          <c:showLegendKey val="0"/>
          <c:showVal val="0"/>
          <c:showCatName val="0"/>
          <c:showSerName val="0"/>
          <c:showPercent val="0"/>
          <c:showBubbleSize val="0"/>
        </c:dLbls>
        <c:smooth val="0"/>
        <c:axId val="433064192"/>
        <c:axId val="433070080"/>
      </c:lineChart>
      <c:dateAx>
        <c:axId val="433064192"/>
        <c:scaling>
          <c:orientation val="minMax"/>
          <c:min val="36891"/>
        </c:scaling>
        <c:delete val="0"/>
        <c:axPos val="b"/>
        <c:numFmt formatCode="mmm\-yy"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3070080"/>
        <c:crosses val="autoZero"/>
        <c:auto val="1"/>
        <c:lblOffset val="100"/>
        <c:baseTimeUnit val="months"/>
        <c:majorUnit val="1"/>
        <c:majorTimeUnit val="years"/>
      </c:dateAx>
      <c:valAx>
        <c:axId val="433070080"/>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layout>
            <c:manualLayout>
              <c:xMode val="edge"/>
              <c:yMode val="edge"/>
              <c:x val="1.5152956504205851E-2"/>
              <c:y val="0.5012652035442684"/>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3064192"/>
        <c:crosses val="autoZero"/>
        <c:crossBetween val="between"/>
      </c:valAx>
      <c:spPr>
        <a:solidFill>
          <a:schemeClr val="bg1"/>
        </a:solidFill>
        <a:ln>
          <a:noFill/>
        </a:ln>
        <a:effectLst/>
      </c:spPr>
    </c:plotArea>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Petroleum Employment</a:t>
            </a:r>
          </a:p>
          <a:p>
            <a:pPr>
              <a:defRPr/>
            </a:pPr>
            <a:r>
              <a:rPr lang="en-AU" sz="900"/>
              <a:t>Last 10 Calendar Years</a:t>
            </a:r>
          </a:p>
        </c:rich>
      </c:tx>
      <c:layout>
        <c:manualLayout>
          <c:xMode val="edge"/>
          <c:yMode val="edge"/>
          <c:x val="0.37275208780720598"/>
          <c:y val="2.539914886618284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6146107268506327"/>
          <c:y val="0.22675054652111046"/>
          <c:w val="0.7372359093411196"/>
          <c:h val="0.59151497707695155"/>
        </c:manualLayout>
      </c:layout>
      <c:barChart>
        <c:barDir val="col"/>
        <c:grouping val="stacked"/>
        <c:varyColors val="0"/>
        <c:ser>
          <c:idx val="1"/>
          <c:order val="0"/>
          <c:tx>
            <c:v>Full-time</c:v>
          </c:tx>
          <c:spPr>
            <a:solidFill>
              <a:schemeClr val="accent2"/>
            </a:solidFill>
            <a:ln>
              <a:noFill/>
            </a:ln>
            <a:effectLst/>
          </c:spPr>
          <c:invertIfNegative val="0"/>
          <c:cat>
            <c:numRef>
              <c:f>'Petroleum Employment'!$H$9:$H$18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'Petroleum Employment'!$I$9:$I$18</c:f>
              <c:numCache>
                <c:formatCode>#,##0</c:formatCode>
                <c:ptCount val="10"/>
                <c:pt idx="0">
                  <c:v>9498.5055675000003</c:v>
                </c:pt>
                <c:pt idx="1">
                  <c:v>9483.1271850000012</c:v>
                </c:pt>
                <c:pt idx="2">
                  <c:v>15757.641937499999</c:v>
                </c:pt>
                <c:pt idx="3">
                  <c:v>15298.534025000001</c:v>
                </c:pt>
                <c:pt idx="4">
                  <c:v>12022.844992499999</c:v>
                </c:pt>
                <c:pt idx="5">
                  <c:v>10482.987279999999</c:v>
                </c:pt>
                <c:pt idx="6">
                  <c:v>11365.303964999999</c:v>
                </c:pt>
                <c:pt idx="7">
                  <c:v>9255.4462299999996</c:v>
                </c:pt>
                <c:pt idx="8">
                  <c:v>7888.3044850000006</c:v>
                </c:pt>
                <c:pt idx="9">
                  <c:v>10935.1063925</c:v>
                </c:pt>
              </c:numCache>
            </c:numRef>
          </c:val>
          <c:extLst>
            <c:ext xmlns:c16="http://schemas.microsoft.com/office/drawing/2014/chart" uri="{C3380CC4-5D6E-409C-BE32-E72D297353CC}">
              <c16:uniqueId val="{00000000-30E6-4862-8D64-D4FCCB6163B6}"/>
            </c:ext>
          </c:extLst>
        </c:ser>
        <c:ser>
          <c:idx val="2"/>
          <c:order val="1"/>
          <c:tx>
            <c:v>Part-time</c:v>
          </c:tx>
          <c:spPr>
            <a:solidFill>
              <a:schemeClr val="accent2">
                <a:tint val="65000"/>
              </a:schemeClr>
            </a:solidFill>
            <a:ln>
              <a:noFill/>
            </a:ln>
            <a:effectLst/>
          </c:spPr>
          <c:invertIfNegative val="0"/>
          <c:cat>
            <c:numRef>
              <c:f>'Petroleum Employment'!$H$9:$H$18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'Petroleum Employment'!$J$9:$J$18</c:f>
              <c:numCache>
                <c:formatCode>#,##0</c:formatCode>
                <c:ptCount val="10"/>
                <c:pt idx="0">
                  <c:v>799.77450499999998</c:v>
                </c:pt>
                <c:pt idx="1">
                  <c:v>554.67964749999999</c:v>
                </c:pt>
                <c:pt idx="2">
                  <c:v>765.36139500000002</c:v>
                </c:pt>
                <c:pt idx="3">
                  <c:v>1076.1638974999998</c:v>
                </c:pt>
                <c:pt idx="4">
                  <c:v>352.11312500000003</c:v>
                </c:pt>
                <c:pt idx="5">
                  <c:v>725.17669750000005</c:v>
                </c:pt>
                <c:pt idx="6">
                  <c:v>1022.6124225</c:v>
                </c:pt>
                <c:pt idx="7">
                  <c:v>787.17827999999997</c:v>
                </c:pt>
                <c:pt idx="8">
                  <c:v>553.66199499999993</c:v>
                </c:pt>
                <c:pt idx="9">
                  <c:v>308.42287499999998</c:v>
                </c:pt>
              </c:numCache>
            </c:numRef>
          </c:val>
          <c:extLst>
            <c:ext xmlns:c16="http://schemas.microsoft.com/office/drawing/2014/chart" uri="{C3380CC4-5D6E-409C-BE32-E72D297353CC}">
              <c16:uniqueId val="{00000001-30E6-4862-8D64-D4FCCB6163B6}"/>
            </c:ext>
          </c:extLst>
        </c:ser>
        <c:dLbls>
          <c:showLegendKey val="0"/>
          <c:showVal val="0"/>
          <c:showCatName val="0"/>
          <c:showSerName val="0"/>
          <c:showPercent val="0"/>
          <c:showBubbleSize val="0"/>
        </c:dLbls>
        <c:gapWidth val="150"/>
        <c:overlap val="100"/>
        <c:axId val="422924288"/>
        <c:axId val="422926208"/>
      </c:barChart>
      <c:catAx>
        <c:axId val="42292428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4.1894550415240645E-3"/>
              <c:y val="0.94641765635399644"/>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2926208"/>
        <c:crosses val="autoZero"/>
        <c:auto val="1"/>
        <c:lblAlgn val="ctr"/>
        <c:lblOffset val="100"/>
        <c:noMultiLvlLbl val="0"/>
      </c:catAx>
      <c:valAx>
        <c:axId val="422926208"/>
        <c:scaling>
          <c:orientation val="minMax"/>
          <c:max val="20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layout>
            <c:manualLayout>
              <c:xMode val="edge"/>
              <c:yMode val="edge"/>
              <c:x val="2.4634138526551202E-2"/>
              <c:y val="0.44005997433683391"/>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2924288"/>
        <c:crosses val="autoZero"/>
        <c:crossBetween val="between"/>
        <c:majorUnit val="4000"/>
      </c:valAx>
      <c:spPr>
        <a:solidFill>
          <a:schemeClr val="bg1"/>
        </a:solidFill>
        <a:ln>
          <a:noFill/>
        </a:ln>
        <a:effectLst/>
      </c:spPr>
    </c:plotArea>
    <c:legend>
      <c:legendPos val="t"/>
      <c:layout>
        <c:manualLayout>
          <c:xMode val="edge"/>
          <c:yMode val="edge"/>
          <c:x val="6.4589713519852598E-2"/>
          <c:y val="0.12885904482910066"/>
          <c:w val="0.89027346049828882"/>
          <c:h val="7.7571321861529707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Petroleum Employment</a:t>
            </a:r>
          </a:p>
          <a:p>
            <a:pPr>
              <a:defRPr/>
            </a:pPr>
            <a:r>
              <a:rPr lang="en-AU" sz="900"/>
              <a:t>Last 10 Financial Years</a:t>
            </a:r>
          </a:p>
        </c:rich>
      </c:tx>
      <c:layout>
        <c:manualLayout>
          <c:xMode val="edge"/>
          <c:yMode val="edge"/>
          <c:x val="0.36241143630734757"/>
          <c:y val="2.1999409263111135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4541715441395023"/>
          <c:y val="0.21390300090904402"/>
          <c:w val="0.76685710402704521"/>
          <c:h val="0.57793336904261017"/>
        </c:manualLayout>
      </c:layout>
      <c:barChart>
        <c:barDir val="col"/>
        <c:grouping val="stacked"/>
        <c:varyColors val="0"/>
        <c:ser>
          <c:idx val="1"/>
          <c:order val="0"/>
          <c:tx>
            <c:strRef>
              <c:f>'Petroleum Employment'!$N$8</c:f>
              <c:strCache>
                <c:ptCount val="1"/>
                <c:pt idx="0">
                  <c:v>Full-time</c:v>
                </c:pt>
              </c:strCache>
            </c:strRef>
          </c:tx>
          <c:spPr>
            <a:solidFill>
              <a:schemeClr val="accent2"/>
            </a:solidFill>
            <a:ln>
              <a:noFill/>
            </a:ln>
            <a:effectLst/>
          </c:spPr>
          <c:invertIfNegative val="0"/>
          <c:dPt>
            <c:idx val="9"/>
            <c:invertIfNegative val="0"/>
            <c:bubble3D val="0"/>
            <c:spPr>
              <a:solidFill>
                <a:schemeClr val="accent2"/>
              </a:solidFill>
              <a:ln>
                <a:noFill/>
              </a:ln>
              <a:effectLst/>
            </c:spPr>
            <c:extLst>
              <c:ext xmlns:c16="http://schemas.microsoft.com/office/drawing/2014/chart" uri="{C3380CC4-5D6E-409C-BE32-E72D297353CC}">
                <c16:uniqueId val="{00000001-4D83-46E1-814A-53A65F1E217D}"/>
              </c:ext>
            </c:extLst>
          </c:dPt>
          <c:cat>
            <c:strRef>
              <c:f>'Petroleum Employment'!$M$9:$M$18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'Petroleum Employment'!$N$9:$N$18</c:f>
              <c:numCache>
                <c:formatCode>#,##0</c:formatCode>
                <c:ptCount val="10"/>
                <c:pt idx="0">
                  <c:v>10808.92823</c:v>
                </c:pt>
                <c:pt idx="1">
                  <c:v>8658.2281750000002</c:v>
                </c:pt>
                <c:pt idx="2">
                  <c:v>13420.080732499999</c:v>
                </c:pt>
                <c:pt idx="3">
                  <c:v>14161.873075</c:v>
                </c:pt>
                <c:pt idx="4">
                  <c:v>14702.2503925</c:v>
                </c:pt>
                <c:pt idx="5">
                  <c:v>11139.5416675</c:v>
                </c:pt>
                <c:pt idx="6">
                  <c:v>11436.65509</c:v>
                </c:pt>
                <c:pt idx="7">
                  <c:v>11338.261570000001</c:v>
                </c:pt>
                <c:pt idx="8">
                  <c:v>7012.9444725000003</c:v>
                </c:pt>
                <c:pt idx="9">
                  <c:v>9207.6198700000004</c:v>
                </c:pt>
              </c:numCache>
            </c:numRef>
          </c:val>
          <c:extLst>
            <c:ext xmlns:c16="http://schemas.microsoft.com/office/drawing/2014/chart" uri="{C3380CC4-5D6E-409C-BE32-E72D297353CC}">
              <c16:uniqueId val="{00000002-4D83-46E1-814A-53A65F1E217D}"/>
            </c:ext>
          </c:extLst>
        </c:ser>
        <c:ser>
          <c:idx val="2"/>
          <c:order val="1"/>
          <c:tx>
            <c:strRef>
              <c:f>'Petroleum Employment'!$O$8</c:f>
              <c:strCache>
                <c:ptCount val="1"/>
                <c:pt idx="0">
                  <c:v>Part-time</c:v>
                </c:pt>
              </c:strCache>
            </c:strRef>
          </c:tx>
          <c:spPr>
            <a:solidFill>
              <a:schemeClr val="accent2">
                <a:tint val="65000"/>
              </a:schemeClr>
            </a:solidFill>
            <a:ln>
              <a:noFill/>
            </a:ln>
            <a:effectLst/>
          </c:spPr>
          <c:invertIfNegative val="0"/>
          <c:dPt>
            <c:idx val="9"/>
            <c:invertIfNegative val="0"/>
            <c:bubble3D val="0"/>
            <c:spPr>
              <a:solidFill>
                <a:schemeClr val="accent2">
                  <a:tint val="65000"/>
                </a:schemeClr>
              </a:solidFill>
              <a:ln>
                <a:noFill/>
              </a:ln>
              <a:effectLst/>
            </c:spPr>
            <c:extLst>
              <c:ext xmlns:c16="http://schemas.microsoft.com/office/drawing/2014/chart" uri="{C3380CC4-5D6E-409C-BE32-E72D297353CC}">
                <c16:uniqueId val="{00000004-4D83-46E1-814A-53A65F1E217D}"/>
              </c:ext>
            </c:extLst>
          </c:dPt>
          <c:cat>
            <c:strRef>
              <c:f>'Petroleum Employment'!$M$9:$M$18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'Petroleum Employment'!$O$9:$O$18</c:f>
              <c:numCache>
                <c:formatCode>#,##0</c:formatCode>
                <c:ptCount val="10"/>
                <c:pt idx="0">
                  <c:v>812.44194500000003</c:v>
                </c:pt>
                <c:pt idx="1">
                  <c:v>540.01668500000005</c:v>
                </c:pt>
                <c:pt idx="2">
                  <c:v>564.16522750000013</c:v>
                </c:pt>
                <c:pt idx="3">
                  <c:v>794.18953750000003</c:v>
                </c:pt>
                <c:pt idx="4">
                  <c:v>961.06835499999977</c:v>
                </c:pt>
                <c:pt idx="5">
                  <c:v>330.61720249999996</c:v>
                </c:pt>
                <c:pt idx="6">
                  <c:v>1088.6809874999999</c:v>
                </c:pt>
                <c:pt idx="7">
                  <c:v>674.20618749999994</c:v>
                </c:pt>
                <c:pt idx="8">
                  <c:v>1034.5647425</c:v>
                </c:pt>
                <c:pt idx="9">
                  <c:v>219.2977975</c:v>
                </c:pt>
              </c:numCache>
            </c:numRef>
          </c:val>
          <c:extLst>
            <c:ext xmlns:c16="http://schemas.microsoft.com/office/drawing/2014/chart" uri="{C3380CC4-5D6E-409C-BE32-E72D297353CC}">
              <c16:uniqueId val="{00000005-4D83-46E1-814A-53A65F1E217D}"/>
            </c:ext>
          </c:extLst>
        </c:ser>
        <c:dLbls>
          <c:showLegendKey val="0"/>
          <c:showVal val="0"/>
          <c:showCatName val="0"/>
          <c:showSerName val="0"/>
          <c:showPercent val="0"/>
          <c:showBubbleSize val="0"/>
        </c:dLbls>
        <c:gapWidth val="150"/>
        <c:overlap val="100"/>
        <c:axId val="427180032"/>
        <c:axId val="427181952"/>
      </c:bar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9.2280856373997047E-3"/>
              <c:y val="0.9464176411910775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max val="20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4000"/>
      </c:valAx>
      <c:spPr>
        <a:solidFill>
          <a:schemeClr val="bg1"/>
        </a:solidFill>
        <a:ln>
          <a:noFill/>
        </a:ln>
        <a:effectLst/>
      </c:spPr>
    </c:plotArea>
    <c:legend>
      <c:legendPos val="t"/>
      <c:layout>
        <c:manualLayout>
          <c:xMode val="edge"/>
          <c:yMode val="edge"/>
          <c:x val="3.3116440820288501E-2"/>
          <c:y val="0.1369116546462574"/>
          <c:w val="0.95147734634665659"/>
          <c:h val="5.2676147887470041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'Exports 2-years'!$T$8</c:f>
          <c:strCache>
            <c:ptCount val="1"/>
            <c:pt idx="0">
              <c:v>Western Australia Mineral and Petroleum Exports Growth 
2024 to 2025</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6.0921962582757228E-2"/>
          <c:y val="0.1722761214338614"/>
          <c:w val="0.92052782975981795"/>
          <c:h val="0.57812514395525061"/>
        </c:manualLayout>
      </c:layout>
      <c:barChart>
        <c:barDir val="col"/>
        <c:grouping val="clustered"/>
        <c:varyColors val="0"/>
        <c:ser>
          <c:idx val="0"/>
          <c:order val="0"/>
          <c:spPr>
            <a:solidFill>
              <a:schemeClr val="accent1"/>
            </a:solidFill>
            <a:ln>
              <a:noFill/>
            </a:ln>
            <a:effectLst/>
          </c:spPr>
          <c:invertIfNegative val="0"/>
          <c:cat>
            <c:strRef>
              <c:extLst>
                <c:ext xmlns:c15="http://schemas.microsoft.com/office/drawing/2012/chart" uri="{02D57815-91ED-43cb-92C2-25804820EDAC}">
                  <c15:fullRef>
                    <c15:sqref>'Exports 2-years'!$A$10:$A$18</c15:sqref>
                  </c15:fullRef>
                </c:ext>
              </c:extLst>
              <c:f>('Exports 2-years'!$A$10,'Exports 2-years'!$A$12:$A$14,'Exports 2-years'!$A$18)</c:f>
              <c:strCache>
                <c:ptCount val="5"/>
                <c:pt idx="0">
                  <c:v>Alumina and Bauxite</c:v>
                </c:pt>
                <c:pt idx="1">
                  <c:v>Gold</c:v>
                </c:pt>
                <c:pt idx="2">
                  <c:v>Iron Ore</c:v>
                </c:pt>
                <c:pt idx="3">
                  <c:v>Lithium</c:v>
                </c:pt>
                <c:pt idx="4">
                  <c:v>Other</c:v>
                </c:pt>
              </c:strCache>
            </c:strRef>
          </c:cat>
          <c:val>
            <c:numRef>
              <c:extLst>
                <c:ext xmlns:c15="http://schemas.microsoft.com/office/drawing/2012/chart" uri="{02D57815-91ED-43cb-92C2-25804820EDAC}">
                  <c15:fullRef>
                    <c15:sqref>'Exports 2-years'!$E$10:$E$18</c15:sqref>
                  </c15:fullRef>
                </c:ext>
              </c:extLst>
              <c:f>('Exports 2-years'!$E$10,'Exports 2-years'!$E$12:$E$14,'Exports 2-years'!$E$18)</c:f>
              <c:numCache>
                <c:formatCode>0%</c:formatCode>
                <c:ptCount val="5"/>
                <c:pt idx="0">
                  <c:v>-9.6579875388042205E-2</c:v>
                </c:pt>
                <c:pt idx="1">
                  <c:v>0.30318956215776205</c:v>
                </c:pt>
                <c:pt idx="2">
                  <c:v>-2.7057994220258355E-2</c:v>
                </c:pt>
                <c:pt idx="3">
                  <c:v>-1.1560365453276362E-2</c:v>
                </c:pt>
                <c:pt idx="4">
                  <c:v>-0.13065573905480748</c:v>
                </c:pt>
              </c:numCache>
            </c:numRef>
          </c:val>
          <c:extLst>
            <c:ext xmlns:c16="http://schemas.microsoft.com/office/drawing/2014/chart" uri="{C3380CC4-5D6E-409C-BE32-E72D297353CC}">
              <c16:uniqueId val="{00000000-F3C5-43D2-AFBE-AE56C3AF762C}"/>
            </c:ext>
          </c:extLst>
        </c:ser>
        <c:dLbls>
          <c:showLegendKey val="0"/>
          <c:showVal val="0"/>
          <c:showCatName val="0"/>
          <c:showSerName val="0"/>
          <c:showPercent val="0"/>
          <c:showBubbleSize val="0"/>
        </c:dLbls>
        <c:gapWidth val="150"/>
        <c:axId val="431276800"/>
        <c:axId val="431278336"/>
      </c:barChart>
      <c:catAx>
        <c:axId val="431276800"/>
        <c:scaling>
          <c:orientation val="minMax"/>
        </c:scaling>
        <c:delete val="0"/>
        <c:axPos val="b"/>
        <c:numFmt formatCode="General" sourceLinked="0"/>
        <c:majorTickMark val="none"/>
        <c:minorTickMark val="none"/>
        <c:tickLblPos val="low"/>
        <c:spPr>
          <a:noFill/>
          <a:ln w="9525" cap="flat" cmpd="sng" algn="ctr">
            <a:solidFill>
              <a:schemeClr val="tx1">
                <a:tint val="75000"/>
                <a:shade val="95000"/>
                <a:satMod val="105000"/>
              </a:schemeClr>
            </a:solidFill>
            <a:prstDash val="solid"/>
            <a:round/>
          </a:ln>
          <a:effectLst/>
        </c:spPr>
        <c:txPr>
          <a:bodyPr rot="-282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1278336"/>
        <c:crosses val="autoZero"/>
        <c:auto val="1"/>
        <c:lblAlgn val="ctr"/>
        <c:lblOffset val="100"/>
        <c:noMultiLvlLbl val="0"/>
      </c:catAx>
      <c:valAx>
        <c:axId val="431278336"/>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1276800"/>
        <c:crosses val="autoZero"/>
        <c:crossBetween val="between"/>
        <c:majorUnit val="0.2"/>
      </c:valAx>
      <c:spPr>
        <a:solidFill>
          <a:schemeClr val="bg1"/>
        </a:solidFill>
        <a:ln>
          <a:noFill/>
        </a:ln>
        <a:effectLst/>
      </c:spPr>
    </c:plotArea>
    <c:plotVisOnly val="1"/>
    <c:dispBlanksAs val="gap"/>
    <c:showDLblsOverMax val="0"/>
  </c:chart>
  <c:spPr>
    <a:solidFill>
      <a:schemeClr val="bg1"/>
    </a:solidFill>
    <a:ln w="9525" cap="flat" cmpd="sng" algn="ctr">
      <a:solidFill>
        <a:srgbClr val="868686"/>
      </a:solidFill>
      <a:prstDash val="solid"/>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Mining Investment </a:t>
            </a:r>
          </a:p>
          <a:p>
            <a:pPr>
              <a:defRPr/>
            </a:pPr>
            <a:r>
              <a:rPr lang="en-AU" sz="900"/>
              <a:t>Last 10 Calendar Years</a:t>
            </a:r>
          </a:p>
        </c:rich>
      </c:tx>
      <c:layout>
        <c:manualLayout>
          <c:xMode val="edge"/>
          <c:yMode val="edge"/>
          <c:x val="0.3948297839506173"/>
          <c:y val="2.191792929292928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6146107268506327"/>
          <c:y val="0.21482853535353538"/>
          <c:w val="0.7372359093411196"/>
          <c:h val="0.60343686868686863"/>
        </c:manualLayout>
      </c:layout>
      <c:barChart>
        <c:barDir val="col"/>
        <c:grouping val="stacked"/>
        <c:varyColors val="0"/>
        <c:ser>
          <c:idx val="1"/>
          <c:order val="0"/>
          <c:tx>
            <c:v>Western Australia</c:v>
          </c:tx>
          <c:spPr>
            <a:solidFill>
              <a:schemeClr val="accent1"/>
            </a:solidFill>
            <a:ln>
              <a:noFill/>
            </a:ln>
            <a:effectLst/>
          </c:spPr>
          <c:invertIfNegative val="0"/>
          <c:cat>
            <c:numRef>
              <c:f>'Mining Investment'!$K$9:$K$18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'Mining Investment'!$L$9:$L$18</c:f>
              <c:numCache>
                <c:formatCode>#,##0</c:formatCode>
                <c:ptCount val="10"/>
                <c:pt idx="0">
                  <c:v>26880</c:v>
                </c:pt>
                <c:pt idx="1">
                  <c:v>20458</c:v>
                </c:pt>
                <c:pt idx="2">
                  <c:v>17793</c:v>
                </c:pt>
                <c:pt idx="3">
                  <c:v>17236</c:v>
                </c:pt>
                <c:pt idx="4">
                  <c:v>19993</c:v>
                </c:pt>
                <c:pt idx="5">
                  <c:v>22258</c:v>
                </c:pt>
                <c:pt idx="6">
                  <c:v>25834</c:v>
                </c:pt>
                <c:pt idx="7">
                  <c:v>31052</c:v>
                </c:pt>
                <c:pt idx="8">
                  <c:v>31887</c:v>
                </c:pt>
                <c:pt idx="9">
                  <c:v>33809</c:v>
                </c:pt>
              </c:numCache>
            </c:numRef>
          </c:val>
          <c:extLst>
            <c:ext xmlns:c16="http://schemas.microsoft.com/office/drawing/2014/chart" uri="{C3380CC4-5D6E-409C-BE32-E72D297353CC}">
              <c16:uniqueId val="{00000000-9A71-4065-ADB6-96B746505CBC}"/>
            </c:ext>
          </c:extLst>
        </c:ser>
        <c:ser>
          <c:idx val="2"/>
          <c:order val="1"/>
          <c:tx>
            <c:v>Rest of Australia</c:v>
          </c:tx>
          <c:spPr>
            <a:solidFill>
              <a:schemeClr val="accent1">
                <a:tint val="65000"/>
              </a:schemeClr>
            </a:solidFill>
            <a:ln>
              <a:noFill/>
            </a:ln>
            <a:effectLst/>
          </c:spPr>
          <c:invertIfNegative val="0"/>
          <c:cat>
            <c:numRef>
              <c:f>'Mining Investment'!$K$9:$K$18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'Mining Investment'!$M$9:$M$18</c:f>
              <c:numCache>
                <c:formatCode>#,##0</c:formatCode>
                <c:ptCount val="10"/>
                <c:pt idx="0">
                  <c:v>16045</c:v>
                </c:pt>
                <c:pt idx="1">
                  <c:v>16879</c:v>
                </c:pt>
                <c:pt idx="2">
                  <c:v>16802</c:v>
                </c:pt>
                <c:pt idx="3">
                  <c:v>16656</c:v>
                </c:pt>
                <c:pt idx="4">
                  <c:v>15165</c:v>
                </c:pt>
                <c:pt idx="5">
                  <c:v>15805</c:v>
                </c:pt>
                <c:pt idx="6">
                  <c:v>18398</c:v>
                </c:pt>
                <c:pt idx="7">
                  <c:v>20118</c:v>
                </c:pt>
                <c:pt idx="8">
                  <c:v>20221</c:v>
                </c:pt>
                <c:pt idx="9">
                  <c:v>20551</c:v>
                </c:pt>
              </c:numCache>
            </c:numRef>
          </c:val>
          <c:extLst>
            <c:ext xmlns:c16="http://schemas.microsoft.com/office/drawing/2014/chart" uri="{C3380CC4-5D6E-409C-BE32-E72D297353CC}">
              <c16:uniqueId val="{00000001-9A71-4065-ADB6-96B746505CBC}"/>
            </c:ext>
          </c:extLst>
        </c:ser>
        <c:dLbls>
          <c:showLegendKey val="0"/>
          <c:showVal val="0"/>
          <c:showCatName val="0"/>
          <c:showSerName val="0"/>
          <c:showPercent val="0"/>
          <c:showBubbleSize val="0"/>
        </c:dLbls>
        <c:gapWidth val="150"/>
        <c:overlap val="100"/>
        <c:axId val="422924288"/>
        <c:axId val="422926208"/>
      </c:barChart>
      <c:lineChart>
        <c:grouping val="standard"/>
        <c:varyColors val="0"/>
        <c:ser>
          <c:idx val="0"/>
          <c:order val="2"/>
          <c:tx>
            <c:strRef>
              <c:f>'Mining Investment'!$O$8</c:f>
              <c:strCache>
                <c:ptCount val="1"/>
                <c:pt idx="0">
                  <c:v>Western Australia Share of Australia</c:v>
                </c:pt>
              </c:strCache>
            </c:strRef>
          </c:tx>
          <c:spPr>
            <a:ln w="28575" cap="rnd" cmpd="sng" algn="ctr">
              <a:solidFill>
                <a:schemeClr val="accent1">
                  <a:shade val="65000"/>
                  <a:shade val="95000"/>
                  <a:satMod val="105000"/>
                </a:schemeClr>
              </a:solidFill>
              <a:prstDash val="solid"/>
              <a:round/>
            </a:ln>
            <a:effectLst/>
          </c:spPr>
          <c:marker>
            <c:symbol val="none"/>
          </c:marker>
          <c:cat>
            <c:numRef>
              <c:f>'Mining Investment'!$K$9:$K$18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'Mining Investment'!$O$9:$O$18</c:f>
              <c:numCache>
                <c:formatCode>0%</c:formatCode>
                <c:ptCount val="10"/>
                <c:pt idx="0">
                  <c:v>0.62620850320326149</c:v>
                </c:pt>
                <c:pt idx="1">
                  <c:v>0.54792832846773976</c:v>
                </c:pt>
                <c:pt idx="2">
                  <c:v>0.51432287902876139</c:v>
                </c:pt>
                <c:pt idx="3">
                  <c:v>0.50855659152602384</c:v>
                </c:pt>
                <c:pt idx="4">
                  <c:v>0.56866147107343989</c:v>
                </c:pt>
                <c:pt idx="5">
                  <c:v>0.5847673593778735</c:v>
                </c:pt>
                <c:pt idx="6">
                  <c:v>0.58405679146319411</c:v>
                </c:pt>
                <c:pt idx="7">
                  <c:v>0.60683994528043772</c:v>
                </c:pt>
                <c:pt idx="8">
                  <c:v>0.61194058493897285</c:v>
                </c:pt>
                <c:pt idx="9">
                  <c:v>0.62194628403237673</c:v>
                </c:pt>
              </c:numCache>
            </c:numRef>
          </c:val>
          <c:smooth val="0"/>
          <c:extLst>
            <c:ext xmlns:c16="http://schemas.microsoft.com/office/drawing/2014/chart" uri="{C3380CC4-5D6E-409C-BE32-E72D297353CC}">
              <c16:uniqueId val="{00000002-9A71-4065-ADB6-96B746505CBC}"/>
            </c:ext>
          </c:extLst>
        </c:ser>
        <c:dLbls>
          <c:showLegendKey val="0"/>
          <c:showVal val="0"/>
          <c:showCatName val="0"/>
          <c:showSerName val="0"/>
          <c:showPercent val="0"/>
          <c:showBubbleSize val="0"/>
        </c:dLbls>
        <c:marker val="1"/>
        <c:smooth val="0"/>
        <c:axId val="1266057000"/>
        <c:axId val="1266053064"/>
      </c:lineChart>
      <c:catAx>
        <c:axId val="42292428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4.1894550415240645E-3"/>
              <c:y val="0.94641765635399644"/>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rgbClr val="868686"/>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2926208"/>
        <c:crosses val="autoZero"/>
        <c:auto val="1"/>
        <c:lblAlgn val="ctr"/>
        <c:lblOffset val="100"/>
        <c:noMultiLvlLbl val="0"/>
      </c:catAx>
      <c:valAx>
        <c:axId val="422926208"/>
        <c:scaling>
          <c:orientation val="minMax"/>
          <c:max val="80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2924288"/>
        <c:crosses val="autoZero"/>
        <c:crossBetween val="between"/>
        <c:majorUnit val="20000"/>
      </c:valAx>
      <c:valAx>
        <c:axId val="1266053064"/>
        <c:scaling>
          <c:orientation val="minMax"/>
          <c:max val="1"/>
        </c:scaling>
        <c:delete val="0"/>
        <c:axPos val="r"/>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66057000"/>
        <c:crosses val="max"/>
        <c:crossBetween val="between"/>
        <c:majorUnit val="0.25"/>
      </c:valAx>
      <c:catAx>
        <c:axId val="1266057000"/>
        <c:scaling>
          <c:orientation val="minMax"/>
        </c:scaling>
        <c:delete val="1"/>
        <c:axPos val="b"/>
        <c:numFmt formatCode="General" sourceLinked="1"/>
        <c:majorTickMark val="out"/>
        <c:minorTickMark val="none"/>
        <c:tickLblPos val="nextTo"/>
        <c:crossAx val="1266053064"/>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0"/>
          <a:lstStyle/>
          <a:p>
            <a:pPr>
              <a:defRPr sz="1800" b="1" i="0" u="none" strike="noStrike" kern="1200" baseline="0">
                <a:solidFill>
                  <a:schemeClr val="tx1"/>
                </a:solidFill>
                <a:latin typeface="+mn-lt"/>
                <a:ea typeface="+mn-ea"/>
                <a:cs typeface="+mn-cs"/>
              </a:defRPr>
            </a:pPr>
            <a:r>
              <a:rPr lang="en-AU" sz="1300"/>
              <a:t>Mining Investment</a:t>
            </a:r>
          </a:p>
          <a:p>
            <a:pPr>
              <a:defRPr/>
            </a:pPr>
            <a:r>
              <a:rPr lang="en-AU" sz="900"/>
              <a:t>Last 10 Financial Years</a:t>
            </a:r>
          </a:p>
        </c:rich>
      </c:tx>
      <c:layout>
        <c:manualLayout>
          <c:xMode val="edge"/>
          <c:yMode val="edge"/>
          <c:x val="0.39523966049382725"/>
          <c:y val="2.5431313131313131E-2"/>
        </c:manualLayout>
      </c:layout>
      <c:overlay val="0"/>
      <c:spPr>
        <a:noFill/>
        <a:ln>
          <a:noFill/>
        </a:ln>
        <a:effectLst/>
      </c:spPr>
      <c:txPr>
        <a:bodyPr rot="0" spcFirstLastPara="1" vertOverflow="ellipsis" vert="horz" wrap="square" anchor="ctr" anchorCtr="0"/>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4541715441395023"/>
          <c:y val="0.21864191919191919"/>
          <c:w val="0.76685710402704521"/>
          <c:h val="0.55292878787878785"/>
        </c:manualLayout>
      </c:layout>
      <c:barChart>
        <c:barDir val="col"/>
        <c:grouping val="stacked"/>
        <c:varyColors val="0"/>
        <c:ser>
          <c:idx val="1"/>
          <c:order val="0"/>
          <c:tx>
            <c:v>Western Australia</c:v>
          </c:tx>
          <c:spPr>
            <a:solidFill>
              <a:schemeClr val="accent1"/>
            </a:solidFill>
            <a:ln>
              <a:noFill/>
            </a:ln>
            <a:effectLst/>
          </c:spPr>
          <c:invertIfNegative val="0"/>
          <c:dPt>
            <c:idx val="9"/>
            <c:invertIfNegative val="0"/>
            <c:bubble3D val="0"/>
            <c:spPr>
              <a:solidFill>
                <a:schemeClr val="accent1"/>
              </a:solidFill>
              <a:ln>
                <a:noFill/>
              </a:ln>
              <a:effectLst/>
            </c:spPr>
            <c:extLst>
              <c:ext xmlns:c16="http://schemas.microsoft.com/office/drawing/2014/chart" uri="{C3380CC4-5D6E-409C-BE32-E72D297353CC}">
                <c16:uniqueId val="{00000001-EB10-40F2-99DF-840955C56165}"/>
              </c:ext>
            </c:extLst>
          </c:dPt>
          <c:cat>
            <c:strRef>
              <c:f>'Mining Investment'!$S$9:$S$18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Investment'!$T$9:$T$18</c:f>
              <c:numCache>
                <c:formatCode>#,##0</c:formatCode>
                <c:ptCount val="10"/>
                <c:pt idx="0">
                  <c:v>35211</c:v>
                </c:pt>
                <c:pt idx="1">
                  <c:v>22230</c:v>
                </c:pt>
                <c:pt idx="2">
                  <c:v>19173</c:v>
                </c:pt>
                <c:pt idx="3">
                  <c:v>16968</c:v>
                </c:pt>
                <c:pt idx="4">
                  <c:v>18961</c:v>
                </c:pt>
                <c:pt idx="5">
                  <c:v>20671</c:v>
                </c:pt>
                <c:pt idx="6">
                  <c:v>24459</c:v>
                </c:pt>
                <c:pt idx="7">
                  <c:v>27292</c:v>
                </c:pt>
                <c:pt idx="8">
                  <c:v>32196</c:v>
                </c:pt>
                <c:pt idx="9">
                  <c:v>32988</c:v>
                </c:pt>
              </c:numCache>
            </c:numRef>
          </c:val>
          <c:extLst>
            <c:ext xmlns:c16="http://schemas.microsoft.com/office/drawing/2014/chart" uri="{C3380CC4-5D6E-409C-BE32-E72D297353CC}">
              <c16:uniqueId val="{00000002-EB10-40F2-99DF-840955C56165}"/>
            </c:ext>
          </c:extLst>
        </c:ser>
        <c:ser>
          <c:idx val="2"/>
          <c:order val="1"/>
          <c:tx>
            <c:v>Rest of Australia</c:v>
          </c:tx>
          <c:spPr>
            <a:solidFill>
              <a:schemeClr val="accent1">
                <a:tint val="65000"/>
              </a:schemeClr>
            </a:solidFill>
            <a:ln>
              <a:noFill/>
            </a:ln>
            <a:effectLst/>
          </c:spPr>
          <c:invertIfNegative val="0"/>
          <c:dPt>
            <c:idx val="9"/>
            <c:invertIfNegative val="0"/>
            <c:bubble3D val="0"/>
            <c:spPr>
              <a:solidFill>
                <a:schemeClr val="accent1">
                  <a:tint val="65000"/>
                </a:schemeClr>
              </a:solidFill>
              <a:ln>
                <a:noFill/>
              </a:ln>
              <a:effectLst/>
            </c:spPr>
            <c:extLst>
              <c:ext xmlns:c16="http://schemas.microsoft.com/office/drawing/2014/chart" uri="{C3380CC4-5D6E-409C-BE32-E72D297353CC}">
                <c16:uniqueId val="{00000004-EB10-40F2-99DF-840955C56165}"/>
              </c:ext>
            </c:extLst>
          </c:dPt>
          <c:cat>
            <c:strRef>
              <c:f>'Mining Investment'!$S$9:$S$18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Investment'!$U$9:$U$18</c:f>
              <c:numCache>
                <c:formatCode>#,##0</c:formatCode>
                <c:ptCount val="10"/>
                <c:pt idx="0">
                  <c:v>18178</c:v>
                </c:pt>
                <c:pt idx="1">
                  <c:v>16520</c:v>
                </c:pt>
                <c:pt idx="2">
                  <c:v>17215</c:v>
                </c:pt>
                <c:pt idx="3">
                  <c:v>16386</c:v>
                </c:pt>
                <c:pt idx="4">
                  <c:v>16194</c:v>
                </c:pt>
                <c:pt idx="5">
                  <c:v>14789</c:v>
                </c:pt>
                <c:pt idx="6">
                  <c:v>17229</c:v>
                </c:pt>
                <c:pt idx="7">
                  <c:v>19464</c:v>
                </c:pt>
                <c:pt idx="8">
                  <c:v>20366</c:v>
                </c:pt>
                <c:pt idx="9">
                  <c:v>20245</c:v>
                </c:pt>
              </c:numCache>
            </c:numRef>
          </c:val>
          <c:extLst>
            <c:ext xmlns:c16="http://schemas.microsoft.com/office/drawing/2014/chart" uri="{C3380CC4-5D6E-409C-BE32-E72D297353CC}">
              <c16:uniqueId val="{00000005-EB10-40F2-99DF-840955C56165}"/>
            </c:ext>
          </c:extLst>
        </c:ser>
        <c:dLbls>
          <c:showLegendKey val="0"/>
          <c:showVal val="0"/>
          <c:showCatName val="0"/>
          <c:showSerName val="0"/>
          <c:showPercent val="0"/>
          <c:showBubbleSize val="0"/>
        </c:dLbls>
        <c:gapWidth val="150"/>
        <c:overlap val="100"/>
        <c:axId val="427180032"/>
        <c:axId val="427181952"/>
      </c:barChart>
      <c:lineChart>
        <c:grouping val="standard"/>
        <c:varyColors val="0"/>
        <c:ser>
          <c:idx val="0"/>
          <c:order val="2"/>
          <c:tx>
            <c:strRef>
              <c:f>'Mining Investment'!$W$8</c:f>
              <c:strCache>
                <c:ptCount val="1"/>
                <c:pt idx="0">
                  <c:v>Western Australia Share of Australia</c:v>
                </c:pt>
              </c:strCache>
            </c:strRef>
          </c:tx>
          <c:spPr>
            <a:ln w="28575" cap="rnd" cmpd="sng" algn="ctr">
              <a:solidFill>
                <a:schemeClr val="accent1">
                  <a:shade val="65000"/>
                  <a:shade val="95000"/>
                  <a:satMod val="105000"/>
                </a:schemeClr>
              </a:solidFill>
              <a:prstDash val="solid"/>
              <a:round/>
            </a:ln>
            <a:effectLst/>
          </c:spPr>
          <c:marker>
            <c:symbol val="none"/>
          </c:marker>
          <c:cat>
            <c:strRef>
              <c:f>'Mining Investment'!$S$9:$S$18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Investment'!$W$9:$W$18</c:f>
              <c:numCache>
                <c:formatCode>0%</c:formatCode>
                <c:ptCount val="10"/>
                <c:pt idx="0">
                  <c:v>0.6595178782146135</c:v>
                </c:pt>
                <c:pt idx="1">
                  <c:v>0.57367741935483874</c:v>
                </c:pt>
                <c:pt idx="2">
                  <c:v>0.52690447400241835</c:v>
                </c:pt>
                <c:pt idx="3">
                  <c:v>0.50872459075373266</c:v>
                </c:pt>
                <c:pt idx="4">
                  <c:v>0.53935428815246766</c:v>
                </c:pt>
                <c:pt idx="5">
                  <c:v>0.58293852227862375</c:v>
                </c:pt>
                <c:pt idx="6">
                  <c:v>0.58671560161197467</c:v>
                </c:pt>
                <c:pt idx="7">
                  <c:v>0.58371118145264778</c:v>
                </c:pt>
                <c:pt idx="8">
                  <c:v>0.61253376964346862</c:v>
                </c:pt>
                <c:pt idx="9">
                  <c:v>0.61969079330490484</c:v>
                </c:pt>
              </c:numCache>
            </c:numRef>
          </c:val>
          <c:smooth val="0"/>
          <c:extLst>
            <c:ext xmlns:c16="http://schemas.microsoft.com/office/drawing/2014/chart" uri="{C3380CC4-5D6E-409C-BE32-E72D297353CC}">
              <c16:uniqueId val="{00000006-EB10-40F2-99DF-840955C56165}"/>
            </c:ext>
          </c:extLst>
        </c:ser>
        <c:dLbls>
          <c:showLegendKey val="0"/>
          <c:showVal val="0"/>
          <c:showCatName val="0"/>
          <c:showSerName val="0"/>
          <c:showPercent val="0"/>
          <c:showBubbleSize val="0"/>
        </c:dLbls>
        <c:marker val="1"/>
        <c:smooth val="0"/>
        <c:axId val="1288880816"/>
        <c:axId val="1288876880"/>
      </c:line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9.2280856373997047E-3"/>
              <c:y val="0.9464176411910775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max val="80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20000"/>
      </c:valAx>
      <c:valAx>
        <c:axId val="1288876880"/>
        <c:scaling>
          <c:orientation val="minMax"/>
          <c:max val="1"/>
        </c:scaling>
        <c:delete val="0"/>
        <c:axPos val="r"/>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88880816"/>
        <c:crosses val="max"/>
        <c:crossBetween val="between"/>
        <c:majorUnit val="0.25"/>
      </c:valAx>
      <c:catAx>
        <c:axId val="1288880816"/>
        <c:scaling>
          <c:orientation val="minMax"/>
        </c:scaling>
        <c:delete val="1"/>
        <c:axPos val="b"/>
        <c:numFmt formatCode="General" sourceLinked="1"/>
        <c:majorTickMark val="out"/>
        <c:minorTickMark val="none"/>
        <c:tickLblPos val="nextTo"/>
        <c:crossAx val="1288876880"/>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strRef>
          <c:f>'Min. Expl. By Commodity'!$B$9:$F$9</c:f>
          <c:strCache>
            <c:ptCount val="5"/>
            <c:pt idx="0">
              <c:v> Mineral Exploration Expenditure</c:v>
            </c:pt>
          </c:strCache>
        </c:strRef>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v>Western Australia</c:v>
          </c:tx>
          <c:spPr>
            <a:solidFill>
              <a:schemeClr val="accent6"/>
            </a:solidFill>
            <a:ln>
              <a:noFill/>
            </a:ln>
            <a:effectLst/>
          </c:spPr>
          <c:invertIfNegative val="0"/>
          <c:cat>
            <c:numRef>
              <c:f>'Min. Expl. By Commodity'!$H$11:$H$20</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 Expl. By Commodity'!$I$11:$I$20</c:f>
              <c:numCache>
                <c:formatCode>#,##0</c:formatCode>
                <c:ptCount val="10"/>
                <c:pt idx="0">
                  <c:v>927.59999999999991</c:v>
                </c:pt>
                <c:pt idx="1">
                  <c:v>1108.7</c:v>
                </c:pt>
                <c:pt idx="2">
                  <c:v>1318.1</c:v>
                </c:pt>
                <c:pt idx="3">
                  <c:v>1648.1999999999998</c:v>
                </c:pt>
                <c:pt idx="4">
                  <c:v>1757.5</c:v>
                </c:pt>
                <c:pt idx="5">
                  <c:v>2351.3999999999996</c:v>
                </c:pt>
                <c:pt idx="6">
                  <c:v>2546.8000000000002</c:v>
                </c:pt>
                <c:pt idx="7">
                  <c:v>2601.2000000000003</c:v>
                </c:pt>
                <c:pt idx="8">
                  <c:v>2514.6</c:v>
                </c:pt>
                <c:pt idx="9">
                  <c:v>2699</c:v>
                </c:pt>
              </c:numCache>
            </c:numRef>
          </c:val>
          <c:extLst>
            <c:ext xmlns:c16="http://schemas.microsoft.com/office/drawing/2014/chart" uri="{C3380CC4-5D6E-409C-BE32-E72D297353CC}">
              <c16:uniqueId val="{00000000-062A-4394-B697-0E75E605EDBC}"/>
            </c:ext>
          </c:extLst>
        </c:ser>
        <c:ser>
          <c:idx val="1"/>
          <c:order val="1"/>
          <c:tx>
            <c:v>Rest of Australia</c:v>
          </c:tx>
          <c:spPr>
            <a:solidFill>
              <a:schemeClr val="accent6">
                <a:lumMod val="60000"/>
                <a:lumOff val="40000"/>
              </a:schemeClr>
            </a:solidFill>
            <a:ln>
              <a:noFill/>
            </a:ln>
            <a:effectLst/>
          </c:spPr>
          <c:invertIfNegative val="0"/>
          <c:cat>
            <c:numRef>
              <c:f>'Min. Expl. By Commodity'!$H$11:$H$20</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 Expl. By Commodity'!$J$11:$J$20</c:f>
              <c:numCache>
                <c:formatCode>#,##0</c:formatCode>
                <c:ptCount val="10"/>
                <c:pt idx="0">
                  <c:v>499.30000000000018</c:v>
                </c:pt>
                <c:pt idx="1">
                  <c:v>645.10000000000014</c:v>
                </c:pt>
                <c:pt idx="2">
                  <c:v>865.50000000000045</c:v>
                </c:pt>
                <c:pt idx="3">
                  <c:v>1000.2000000000003</c:v>
                </c:pt>
                <c:pt idx="4">
                  <c:v>1051.3000000000002</c:v>
                </c:pt>
                <c:pt idx="5">
                  <c:v>1244.7000000000007</c:v>
                </c:pt>
                <c:pt idx="6">
                  <c:v>1513.2999999999993</c:v>
                </c:pt>
                <c:pt idx="7">
                  <c:v>1659.4</c:v>
                </c:pt>
                <c:pt idx="8">
                  <c:v>1428.1</c:v>
                </c:pt>
                <c:pt idx="9">
                  <c:v>1250.3000000000002</c:v>
                </c:pt>
              </c:numCache>
            </c:numRef>
          </c:val>
          <c:extLst>
            <c:ext xmlns:c16="http://schemas.microsoft.com/office/drawing/2014/chart" uri="{C3380CC4-5D6E-409C-BE32-E72D297353CC}">
              <c16:uniqueId val="{00000001-062A-4394-B697-0E75E605EDBC}"/>
            </c:ext>
          </c:extLst>
        </c:ser>
        <c:dLbls>
          <c:showLegendKey val="0"/>
          <c:showVal val="0"/>
          <c:showCatName val="0"/>
          <c:showSerName val="0"/>
          <c:showPercent val="0"/>
          <c:showBubbleSize val="0"/>
        </c:dLbls>
        <c:gapWidth val="150"/>
        <c:overlap val="100"/>
        <c:axId val="465821200"/>
        <c:axId val="553162656"/>
      </c:barChart>
      <c:lineChart>
        <c:grouping val="standard"/>
        <c:varyColors val="0"/>
        <c:ser>
          <c:idx val="2"/>
          <c:order val="3"/>
          <c:spPr>
            <a:ln w="28575" cap="rnd">
              <a:solidFill>
                <a:srgbClr val="FFFFFF">
                  <a:alpha val="0"/>
                </a:srgbClr>
              </a:solidFill>
              <a:round/>
            </a:ln>
            <a:effectLst/>
          </c:spPr>
          <c:marker>
            <c:symbol val="none"/>
          </c:marker>
          <c:val>
            <c:numRef>
              <c:f>'Min. Expl. By Commodity'!$Q$11:$Q$20</c:f>
              <c:numCache>
                <c:formatCode>#,##0</c:formatCode>
                <c:ptCount val="10"/>
                <c:pt idx="0">
                  <c:v>1421.1</c:v>
                </c:pt>
                <c:pt idx="1">
                  <c:v>1565.1</c:v>
                </c:pt>
                <c:pt idx="2">
                  <c:v>1977.8</c:v>
                </c:pt>
                <c:pt idx="3">
                  <c:v>2347.6</c:v>
                </c:pt>
                <c:pt idx="4">
                  <c:v>2771.8</c:v>
                </c:pt>
                <c:pt idx="5">
                  <c:v>3161.7</c:v>
                </c:pt>
                <c:pt idx="6">
                  <c:v>3861.9000000000005</c:v>
                </c:pt>
                <c:pt idx="7">
                  <c:v>4133.3999999999996</c:v>
                </c:pt>
                <c:pt idx="8">
                  <c:v>4214.7</c:v>
                </c:pt>
                <c:pt idx="9">
                  <c:v>3828.8</c:v>
                </c:pt>
              </c:numCache>
            </c:numRef>
          </c:val>
          <c:smooth val="0"/>
          <c:extLst>
            <c:ext xmlns:c16="http://schemas.microsoft.com/office/drawing/2014/chart" uri="{C3380CC4-5D6E-409C-BE32-E72D297353CC}">
              <c16:uniqueId val="{00000002-062A-4394-B697-0E75E605EDBC}"/>
            </c:ext>
          </c:extLst>
        </c:ser>
        <c:dLbls>
          <c:showLegendKey val="0"/>
          <c:showVal val="0"/>
          <c:showCatName val="0"/>
          <c:showSerName val="0"/>
          <c:showPercent val="0"/>
          <c:showBubbleSize val="0"/>
        </c:dLbls>
        <c:marker val="1"/>
        <c:smooth val="0"/>
        <c:axId val="465821200"/>
        <c:axId val="553162656"/>
      </c:lineChart>
      <c:lineChart>
        <c:grouping val="standard"/>
        <c:varyColors val="0"/>
        <c:ser>
          <c:idx val="3"/>
          <c:order val="2"/>
          <c:tx>
            <c:strRef>
              <c:f>'Min. Expl. By Commodity'!$L$10</c:f>
              <c:strCache>
                <c:ptCount val="1"/>
                <c:pt idx="0">
                  <c:v>Western Australia Share of Australia</c:v>
                </c:pt>
              </c:strCache>
            </c:strRef>
          </c:tx>
          <c:spPr>
            <a:ln w="28575" cap="rnd">
              <a:solidFill>
                <a:srgbClr val="E6883B"/>
              </a:solidFill>
              <a:round/>
            </a:ln>
            <a:effectLst/>
          </c:spPr>
          <c:marker>
            <c:symbol val="none"/>
          </c:marker>
          <c:cat>
            <c:numRef>
              <c:f>'Min. Expl. By Commodity'!$H$11:$H$20</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 Expl. By Commodity'!$L$11:$L$20</c:f>
              <c:numCache>
                <c:formatCode>0%</c:formatCode>
                <c:ptCount val="10"/>
                <c:pt idx="0">
                  <c:v>0.65008059429532539</c:v>
                </c:pt>
                <c:pt idx="1">
                  <c:v>0.63217014482837264</c:v>
                </c:pt>
                <c:pt idx="2">
                  <c:v>0.60363619710569683</c:v>
                </c:pt>
                <c:pt idx="3">
                  <c:v>0.6223380154055278</c:v>
                </c:pt>
                <c:pt idx="4">
                  <c:v>0.62571204784961543</c:v>
                </c:pt>
                <c:pt idx="5">
                  <c:v>0.65387503128389068</c:v>
                </c:pt>
                <c:pt idx="6">
                  <c:v>0.62727519026624978</c:v>
                </c:pt>
                <c:pt idx="7">
                  <c:v>0.61052433929493499</c:v>
                </c:pt>
                <c:pt idx="8">
                  <c:v>0.63778628858396536</c:v>
                </c:pt>
                <c:pt idx="9">
                  <c:v>0.68341225027220009</c:v>
                </c:pt>
              </c:numCache>
            </c:numRef>
          </c:val>
          <c:smooth val="0"/>
          <c:extLst>
            <c:ext xmlns:c16="http://schemas.microsoft.com/office/drawing/2014/chart" uri="{C3380CC4-5D6E-409C-BE32-E72D297353CC}">
              <c16:uniqueId val="{00000003-062A-4394-B697-0E75E605EDBC}"/>
            </c:ext>
          </c:extLst>
        </c:ser>
        <c:dLbls>
          <c:showLegendKey val="0"/>
          <c:showVal val="0"/>
          <c:showCatName val="0"/>
          <c:showSerName val="0"/>
          <c:showPercent val="0"/>
          <c:showBubbleSize val="0"/>
        </c:dLbls>
        <c:marker val="1"/>
        <c:smooth val="0"/>
        <c:axId val="465817952"/>
        <c:axId val="553145376"/>
      </c:lineChart>
      <c:catAx>
        <c:axId val="46582120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AU" sz="900" b="1">
                    <a:solidFill>
                      <a:sysClr val="windowText" lastClr="000000"/>
                    </a:solidFill>
                  </a:rPr>
                  <a:t>Source: ABS</a:t>
                </a:r>
              </a:p>
            </c:rich>
          </c:tx>
          <c:layout>
            <c:manualLayout>
              <c:xMode val="edge"/>
              <c:yMode val="edge"/>
              <c:x val="1.7958518518518506E-2"/>
              <c:y val="0.933024999999999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cross"/>
        <c:minorTickMark val="none"/>
        <c:tickLblPos val="nextTo"/>
        <c:spPr>
          <a:noFill/>
          <a:ln w="9525" cap="flat" cmpd="sng" algn="ctr">
            <a:solidFill>
              <a:schemeClr val="tx1">
                <a:lumMod val="75000"/>
                <a:lumOff val="25000"/>
              </a:schemeClr>
            </a:solidFill>
            <a:round/>
          </a:ln>
          <a:effectLst/>
        </c:spPr>
        <c:txPr>
          <a:bodyPr rot="-2700000" spcFirstLastPara="1" vertOverflow="ellipsis"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553162656"/>
        <c:crosses val="autoZero"/>
        <c:auto val="1"/>
        <c:lblAlgn val="ctr"/>
        <c:lblOffset val="100"/>
        <c:noMultiLvlLbl val="0"/>
      </c:catAx>
      <c:valAx>
        <c:axId val="553162656"/>
        <c:scaling>
          <c:orientation val="minMax"/>
          <c:max val="5000"/>
          <c:min val="0"/>
        </c:scaling>
        <c:delete val="0"/>
        <c:axPos val="l"/>
        <c:majorGridlines>
          <c:spPr>
            <a:ln w="6350" cap="flat" cmpd="sng" algn="ctr">
              <a:solidFill>
                <a:schemeClr val="tx1">
                  <a:lumMod val="75000"/>
                  <a:lumOff val="25000"/>
                </a:schemeClr>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AU" b="1">
                    <a:solidFill>
                      <a:sysClr val="windowText" lastClr="000000"/>
                    </a:solidFill>
                  </a:rPr>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0" sourceLinked="1"/>
        <c:majorTickMark val="cross"/>
        <c:minorTickMark val="none"/>
        <c:tickLblPos val="nextTo"/>
        <c:spPr>
          <a:noFill/>
          <a:ln>
            <a:solidFill>
              <a:srgbClr val="868686"/>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21200"/>
        <c:crosses val="autoZero"/>
        <c:crossBetween val="between"/>
        <c:majorUnit val="500"/>
      </c:valAx>
      <c:valAx>
        <c:axId val="553145376"/>
        <c:scaling>
          <c:orientation val="minMax"/>
          <c:max val="1"/>
          <c:min val="0"/>
        </c:scaling>
        <c:delete val="0"/>
        <c:axPos val="r"/>
        <c:numFmt formatCode="0%" sourceLinked="1"/>
        <c:majorTickMark val="cross"/>
        <c:minorTickMark val="none"/>
        <c:tickLblPos val="nextTo"/>
        <c:spPr>
          <a:noFill/>
          <a:ln>
            <a:solidFill>
              <a:schemeClr val="tx1">
                <a:lumMod val="75000"/>
                <a:lumOff val="25000"/>
              </a:schemeClr>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17952"/>
        <c:crosses val="max"/>
        <c:crossBetween val="between"/>
        <c:majorUnit val="0.2"/>
      </c:valAx>
      <c:catAx>
        <c:axId val="465817952"/>
        <c:scaling>
          <c:orientation val="minMax"/>
        </c:scaling>
        <c:delete val="1"/>
        <c:axPos val="b"/>
        <c:numFmt formatCode="General" sourceLinked="1"/>
        <c:majorTickMark val="none"/>
        <c:minorTickMark val="none"/>
        <c:tickLblPos val="nextTo"/>
        <c:crossAx val="553145376"/>
        <c:crosses val="autoZero"/>
        <c:auto val="1"/>
        <c:lblAlgn val="ctr"/>
        <c:lblOffset val="100"/>
        <c:noMultiLvlLbl val="0"/>
      </c:catAx>
      <c:spPr>
        <a:noFill/>
        <a:ln>
          <a:noFill/>
        </a:ln>
        <a:effectLst/>
      </c:spPr>
    </c:plotArea>
    <c:legend>
      <c:legendPos val="t"/>
      <c:legendEntry>
        <c:idx val="2"/>
        <c:delete val="1"/>
      </c:legendEntry>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strRef>
          <c:f>'Min. Expl. By Commodity'!$B$9:$F$9</c:f>
          <c:strCache>
            <c:ptCount val="5"/>
            <c:pt idx="0">
              <c:v> Mineral Exploration Expenditure</c:v>
            </c:pt>
          </c:strCache>
        </c:strRef>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v>Western Australia</c:v>
          </c:tx>
          <c:spPr>
            <a:solidFill>
              <a:schemeClr val="accent6"/>
            </a:solidFill>
            <a:ln>
              <a:noFill/>
            </a:ln>
            <a:effectLst/>
          </c:spPr>
          <c:invertIfNegative val="0"/>
          <c:cat>
            <c:strRef>
              <c:f>'Min. Expl. By Commodity'!$N$11:$N$20</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Commodity'!$O$11:$O$20</c:f>
              <c:numCache>
                <c:formatCode>#,##0</c:formatCode>
                <c:ptCount val="10"/>
                <c:pt idx="0">
                  <c:v>871</c:v>
                </c:pt>
                <c:pt idx="1">
                  <c:v>1028.3</c:v>
                </c:pt>
                <c:pt idx="2">
                  <c:v>1203.5</c:v>
                </c:pt>
                <c:pt idx="3">
                  <c:v>1441.9</c:v>
                </c:pt>
                <c:pt idx="4">
                  <c:v>1693.1</c:v>
                </c:pt>
                <c:pt idx="5">
                  <c:v>2052.1</c:v>
                </c:pt>
                <c:pt idx="6">
                  <c:v>2478.6</c:v>
                </c:pt>
                <c:pt idx="7">
                  <c:v>2554.9</c:v>
                </c:pt>
                <c:pt idx="8">
                  <c:v>2583.5</c:v>
                </c:pt>
                <c:pt idx="9">
                  <c:v>2564.9</c:v>
                </c:pt>
              </c:numCache>
            </c:numRef>
          </c:val>
          <c:extLst>
            <c:ext xmlns:c16="http://schemas.microsoft.com/office/drawing/2014/chart" uri="{C3380CC4-5D6E-409C-BE32-E72D297353CC}">
              <c16:uniqueId val="{00000000-F99C-46E4-908F-D75E28156847}"/>
            </c:ext>
          </c:extLst>
        </c:ser>
        <c:ser>
          <c:idx val="1"/>
          <c:order val="1"/>
          <c:tx>
            <c:v>Rest of Australia</c:v>
          </c:tx>
          <c:spPr>
            <a:solidFill>
              <a:schemeClr val="accent6">
                <a:lumMod val="60000"/>
                <a:lumOff val="40000"/>
              </a:schemeClr>
            </a:solidFill>
            <a:ln>
              <a:noFill/>
            </a:ln>
            <a:effectLst/>
          </c:spPr>
          <c:invertIfNegative val="0"/>
          <c:cat>
            <c:strRef>
              <c:f>'Min. Expl. By Commodity'!$N$11:$N$20</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Commodity'!$P$11:$P$20</c:f>
              <c:numCache>
                <c:formatCode>#,##0</c:formatCode>
                <c:ptCount val="10"/>
                <c:pt idx="0">
                  <c:v>550.09999999999991</c:v>
                </c:pt>
                <c:pt idx="1">
                  <c:v>536.79999999999995</c:v>
                </c:pt>
                <c:pt idx="2">
                  <c:v>774.3</c:v>
                </c:pt>
                <c:pt idx="3">
                  <c:v>905.69999999999982</c:v>
                </c:pt>
                <c:pt idx="4">
                  <c:v>1078.7000000000003</c:v>
                </c:pt>
                <c:pt idx="5">
                  <c:v>1109.5999999999999</c:v>
                </c:pt>
                <c:pt idx="6">
                  <c:v>1383.3000000000006</c:v>
                </c:pt>
                <c:pt idx="7">
                  <c:v>1578.4999999999995</c:v>
                </c:pt>
                <c:pt idx="8">
                  <c:v>1631.1999999999998</c:v>
                </c:pt>
                <c:pt idx="9">
                  <c:v>1263.9000000000001</c:v>
                </c:pt>
              </c:numCache>
            </c:numRef>
          </c:val>
          <c:extLst>
            <c:ext xmlns:c16="http://schemas.microsoft.com/office/drawing/2014/chart" uri="{C3380CC4-5D6E-409C-BE32-E72D297353CC}">
              <c16:uniqueId val="{00000001-F99C-46E4-908F-D75E28156847}"/>
            </c:ext>
          </c:extLst>
        </c:ser>
        <c:dLbls>
          <c:showLegendKey val="0"/>
          <c:showVal val="0"/>
          <c:showCatName val="0"/>
          <c:showSerName val="0"/>
          <c:showPercent val="0"/>
          <c:showBubbleSize val="0"/>
        </c:dLbls>
        <c:gapWidth val="150"/>
        <c:overlap val="100"/>
        <c:axId val="465821200"/>
        <c:axId val="553162656"/>
      </c:barChart>
      <c:lineChart>
        <c:grouping val="standard"/>
        <c:varyColors val="0"/>
        <c:ser>
          <c:idx val="2"/>
          <c:order val="3"/>
          <c:spPr>
            <a:ln w="28575" cap="rnd">
              <a:solidFill>
                <a:srgbClr val="FFFFFF">
                  <a:alpha val="0"/>
                </a:srgbClr>
              </a:solidFill>
              <a:round/>
            </a:ln>
            <a:effectLst/>
          </c:spPr>
          <c:marker>
            <c:symbol val="none"/>
          </c:marker>
          <c:val>
            <c:numRef>
              <c:f>'Min. Expl. By Commodity'!$K$11:$K$20</c:f>
              <c:numCache>
                <c:formatCode>#,##0</c:formatCode>
                <c:ptCount val="10"/>
                <c:pt idx="0">
                  <c:v>1426.9</c:v>
                </c:pt>
                <c:pt idx="1">
                  <c:v>1753.8000000000002</c:v>
                </c:pt>
                <c:pt idx="2">
                  <c:v>2183.6000000000004</c:v>
                </c:pt>
                <c:pt idx="3">
                  <c:v>2648.4</c:v>
                </c:pt>
                <c:pt idx="4">
                  <c:v>2808.8</c:v>
                </c:pt>
                <c:pt idx="5">
                  <c:v>3596.1000000000004</c:v>
                </c:pt>
                <c:pt idx="6">
                  <c:v>4060.0999999999995</c:v>
                </c:pt>
                <c:pt idx="7">
                  <c:v>4260.6000000000004</c:v>
                </c:pt>
                <c:pt idx="8">
                  <c:v>3942.7</c:v>
                </c:pt>
                <c:pt idx="9">
                  <c:v>3949.3</c:v>
                </c:pt>
              </c:numCache>
            </c:numRef>
          </c:val>
          <c:smooth val="0"/>
          <c:extLst>
            <c:ext xmlns:c16="http://schemas.microsoft.com/office/drawing/2014/chart" uri="{C3380CC4-5D6E-409C-BE32-E72D297353CC}">
              <c16:uniqueId val="{00000002-F99C-46E4-908F-D75E28156847}"/>
            </c:ext>
          </c:extLst>
        </c:ser>
        <c:dLbls>
          <c:showLegendKey val="0"/>
          <c:showVal val="0"/>
          <c:showCatName val="0"/>
          <c:showSerName val="0"/>
          <c:showPercent val="0"/>
          <c:showBubbleSize val="0"/>
        </c:dLbls>
        <c:marker val="1"/>
        <c:smooth val="0"/>
        <c:axId val="465821200"/>
        <c:axId val="553162656"/>
      </c:lineChart>
      <c:lineChart>
        <c:grouping val="standard"/>
        <c:varyColors val="0"/>
        <c:ser>
          <c:idx val="3"/>
          <c:order val="2"/>
          <c:tx>
            <c:strRef>
              <c:f>'Min. Expl. By Commodity'!$R$10</c:f>
              <c:strCache>
                <c:ptCount val="1"/>
                <c:pt idx="0">
                  <c:v>Western Australia Share of Australia</c:v>
                </c:pt>
              </c:strCache>
            </c:strRef>
          </c:tx>
          <c:spPr>
            <a:ln w="28575" cap="rnd">
              <a:solidFill>
                <a:srgbClr val="E6883B"/>
              </a:solidFill>
              <a:round/>
            </a:ln>
            <a:effectLst/>
          </c:spPr>
          <c:marker>
            <c:symbol val="none"/>
          </c:marker>
          <c:cat>
            <c:strRef>
              <c:f>'Min. Expl. By Commodity'!$N$11:$N$20</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Commodity'!$R$11:$R$20</c:f>
              <c:numCache>
                <c:formatCode>0%</c:formatCode>
                <c:ptCount val="10"/>
                <c:pt idx="0">
                  <c:v>0.61290549574273456</c:v>
                </c:pt>
                <c:pt idx="1">
                  <c:v>0.6570187208485081</c:v>
                </c:pt>
                <c:pt idx="2">
                  <c:v>0.60850439882697949</c:v>
                </c:pt>
                <c:pt idx="3">
                  <c:v>0.61420173794513555</c:v>
                </c:pt>
                <c:pt idx="4">
                  <c:v>0.61083050725160537</c:v>
                </c:pt>
                <c:pt idx="5">
                  <c:v>0.64904956194452357</c:v>
                </c:pt>
                <c:pt idx="6">
                  <c:v>0.6418084362619435</c:v>
                </c:pt>
                <c:pt idx="7">
                  <c:v>0.61811099820970639</c:v>
                </c:pt>
                <c:pt idx="8">
                  <c:v>0.61297363987946951</c:v>
                </c:pt>
                <c:pt idx="9">
                  <c:v>0.66989657333890518</c:v>
                </c:pt>
              </c:numCache>
            </c:numRef>
          </c:val>
          <c:smooth val="0"/>
          <c:extLst>
            <c:ext xmlns:c16="http://schemas.microsoft.com/office/drawing/2014/chart" uri="{C3380CC4-5D6E-409C-BE32-E72D297353CC}">
              <c16:uniqueId val="{00000003-F99C-46E4-908F-D75E28156847}"/>
            </c:ext>
          </c:extLst>
        </c:ser>
        <c:dLbls>
          <c:showLegendKey val="0"/>
          <c:showVal val="0"/>
          <c:showCatName val="0"/>
          <c:showSerName val="0"/>
          <c:showPercent val="0"/>
          <c:showBubbleSize val="0"/>
        </c:dLbls>
        <c:marker val="1"/>
        <c:smooth val="0"/>
        <c:axId val="465817952"/>
        <c:axId val="553145376"/>
      </c:lineChart>
      <c:catAx>
        <c:axId val="46582120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AU" sz="900" b="1">
                    <a:solidFill>
                      <a:sysClr val="windowText" lastClr="000000"/>
                    </a:solidFill>
                  </a:rPr>
                  <a:t>Source: ABS</a:t>
                </a:r>
              </a:p>
            </c:rich>
          </c:tx>
          <c:layout>
            <c:manualLayout>
              <c:xMode val="edge"/>
              <c:yMode val="edge"/>
              <c:x val="1.7958518518518506E-2"/>
              <c:y val="0.933024999999999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cross"/>
        <c:minorTickMark val="none"/>
        <c:tickLblPos val="nextTo"/>
        <c:spPr>
          <a:noFill/>
          <a:ln w="9525" cap="flat" cmpd="sng" algn="ctr">
            <a:solidFill>
              <a:schemeClr val="tx1">
                <a:lumMod val="75000"/>
                <a:lumOff val="25000"/>
              </a:schemeClr>
            </a:solidFill>
            <a:round/>
          </a:ln>
          <a:effectLst/>
        </c:spPr>
        <c:txPr>
          <a:bodyPr rot="-2700000" spcFirstLastPara="1" vertOverflow="ellipsis"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553162656"/>
        <c:crosses val="autoZero"/>
        <c:auto val="1"/>
        <c:lblAlgn val="ctr"/>
        <c:lblOffset val="100"/>
        <c:noMultiLvlLbl val="0"/>
      </c:catAx>
      <c:valAx>
        <c:axId val="553162656"/>
        <c:scaling>
          <c:orientation val="minMax"/>
          <c:max val="5000"/>
          <c:min val="0"/>
        </c:scaling>
        <c:delete val="0"/>
        <c:axPos val="l"/>
        <c:majorGridlines>
          <c:spPr>
            <a:ln w="9525" cap="flat" cmpd="sng" algn="ctr">
              <a:solidFill>
                <a:schemeClr val="tx1">
                  <a:lumMod val="75000"/>
                  <a:lumOff val="25000"/>
                </a:schemeClr>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AU" b="1">
                    <a:solidFill>
                      <a:sysClr val="windowText" lastClr="000000"/>
                    </a:solidFill>
                  </a:rPr>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0" sourceLinked="1"/>
        <c:majorTickMark val="cross"/>
        <c:minorTickMark val="none"/>
        <c:tickLblPos val="nextTo"/>
        <c:spPr>
          <a:noFill/>
          <a:ln>
            <a:solidFill>
              <a:schemeClr val="tx1">
                <a:lumMod val="75000"/>
                <a:lumOff val="25000"/>
              </a:schemeClr>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21200"/>
        <c:crosses val="autoZero"/>
        <c:crossBetween val="between"/>
        <c:majorUnit val="500"/>
      </c:valAx>
      <c:valAx>
        <c:axId val="553145376"/>
        <c:scaling>
          <c:orientation val="minMax"/>
          <c:max val="1"/>
          <c:min val="0"/>
        </c:scaling>
        <c:delete val="0"/>
        <c:axPos val="r"/>
        <c:numFmt formatCode="0%" sourceLinked="1"/>
        <c:majorTickMark val="cross"/>
        <c:minorTickMark val="none"/>
        <c:tickLblPos val="nextTo"/>
        <c:spPr>
          <a:noFill/>
          <a:ln>
            <a:solidFill>
              <a:schemeClr val="tx1">
                <a:lumMod val="75000"/>
                <a:lumOff val="25000"/>
              </a:schemeClr>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17952"/>
        <c:crosses val="max"/>
        <c:crossBetween val="between"/>
        <c:majorUnit val="0.2"/>
      </c:valAx>
      <c:catAx>
        <c:axId val="465817952"/>
        <c:scaling>
          <c:orientation val="minMax"/>
        </c:scaling>
        <c:delete val="1"/>
        <c:axPos val="b"/>
        <c:numFmt formatCode="General" sourceLinked="1"/>
        <c:majorTickMark val="none"/>
        <c:minorTickMark val="none"/>
        <c:tickLblPos val="nextTo"/>
        <c:crossAx val="553145376"/>
        <c:crosses val="autoZero"/>
        <c:auto val="1"/>
        <c:lblAlgn val="ctr"/>
        <c:lblOffset val="100"/>
        <c:noMultiLvlLbl val="0"/>
      </c:catAx>
      <c:spPr>
        <a:noFill/>
        <a:ln>
          <a:noFill/>
        </a:ln>
        <a:effectLst/>
      </c:spPr>
    </c:plotArea>
    <c:legend>
      <c:legendPos val="t"/>
      <c:legendEntry>
        <c:idx val="2"/>
        <c:delete val="1"/>
      </c:legendEntry>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AU" sz="1300"/>
              <a:t>Western Australia Mineral Exploration</a:t>
            </a:r>
            <a:r>
              <a:rPr lang="en-AU" sz="1300" baseline="0"/>
              <a:t> Expenditure By Type</a:t>
            </a:r>
            <a:endParaRPr lang="en-AU" sz="1300"/>
          </a:p>
          <a:p>
            <a:pPr>
              <a:defRPr/>
            </a:pPr>
            <a:r>
              <a:rPr lang="en-AU" sz="1100"/>
              <a:t>Last 10 Calendar Years</a:t>
            </a:r>
          </a:p>
        </c:rich>
      </c:tx>
      <c:layout>
        <c:manualLayout>
          <c:xMode val="edge"/>
          <c:yMode val="edge"/>
          <c:x val="0.25868636075474333"/>
          <c:y val="3.5368436088346097E-2"/>
        </c:manualLayout>
      </c:layout>
      <c:overlay val="0"/>
    </c:title>
    <c:autoTitleDeleted val="0"/>
    <c:plotArea>
      <c:layout>
        <c:manualLayout>
          <c:layoutTarget val="inner"/>
          <c:xMode val="edge"/>
          <c:yMode val="edge"/>
          <c:x val="8.27458494326474E-2"/>
          <c:y val="0.17513498320330534"/>
          <c:w val="0.86444629244840809"/>
          <c:h val="0.70918972862659169"/>
        </c:manualLayout>
      </c:layout>
      <c:barChart>
        <c:barDir val="col"/>
        <c:grouping val="stacked"/>
        <c:varyColors val="0"/>
        <c:ser>
          <c:idx val="2"/>
          <c:order val="0"/>
          <c:tx>
            <c:v>New deposits</c:v>
          </c:tx>
          <c:spPr>
            <a:solidFill>
              <a:srgbClr val="F79646"/>
            </a:solidFill>
          </c:spPr>
          <c:invertIfNegative val="0"/>
          <c:cat>
            <c:numRef>
              <c:f>'Min. Expl. By Type'!$M$9:$M$18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 Expl. By Type'!$N$9:$N$18</c:f>
              <c:numCache>
                <c:formatCode>#,##0.0</c:formatCode>
                <c:ptCount val="10"/>
                <c:pt idx="0">
                  <c:v>267.5</c:v>
                </c:pt>
                <c:pt idx="1">
                  <c:v>339.1</c:v>
                </c:pt>
                <c:pt idx="2">
                  <c:v>501.70000000000005</c:v>
                </c:pt>
                <c:pt idx="3">
                  <c:v>696</c:v>
                </c:pt>
                <c:pt idx="4">
                  <c:v>577.40000000000009</c:v>
                </c:pt>
                <c:pt idx="5">
                  <c:v>780.2</c:v>
                </c:pt>
                <c:pt idx="6">
                  <c:v>794</c:v>
                </c:pt>
                <c:pt idx="7">
                  <c:v>792.2</c:v>
                </c:pt>
                <c:pt idx="8">
                  <c:v>601.79999999999995</c:v>
                </c:pt>
                <c:pt idx="9">
                  <c:v>589</c:v>
                </c:pt>
              </c:numCache>
            </c:numRef>
          </c:val>
          <c:extLst>
            <c:ext xmlns:c16="http://schemas.microsoft.com/office/drawing/2014/chart" uri="{C3380CC4-5D6E-409C-BE32-E72D297353CC}">
              <c16:uniqueId val="{00000000-C680-44F9-A968-160DE216F18A}"/>
            </c:ext>
          </c:extLst>
        </c:ser>
        <c:ser>
          <c:idx val="3"/>
          <c:order val="1"/>
          <c:tx>
            <c:v>Existing deposits</c:v>
          </c:tx>
          <c:spPr>
            <a:solidFill>
              <a:srgbClr val="FAC090"/>
            </a:solidFill>
          </c:spPr>
          <c:invertIfNegative val="0"/>
          <c:cat>
            <c:numRef>
              <c:f>'Min. Expl. By Type'!$M$9:$M$18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 Expl. By Type'!$Q$9:$Q$18</c:f>
              <c:numCache>
                <c:formatCode>#,##0.0</c:formatCode>
                <c:ptCount val="10"/>
                <c:pt idx="0">
                  <c:v>660.09999999999991</c:v>
                </c:pt>
                <c:pt idx="1">
                  <c:v>769.9</c:v>
                </c:pt>
                <c:pt idx="2">
                  <c:v>816.7</c:v>
                </c:pt>
                <c:pt idx="3">
                  <c:v>952.19999999999993</c:v>
                </c:pt>
                <c:pt idx="4">
                  <c:v>1180.2</c:v>
                </c:pt>
                <c:pt idx="5">
                  <c:v>1571</c:v>
                </c:pt>
                <c:pt idx="6">
                  <c:v>1752.8999999999999</c:v>
                </c:pt>
                <c:pt idx="7">
                  <c:v>1809</c:v>
                </c:pt>
                <c:pt idx="8">
                  <c:v>1912.8</c:v>
                </c:pt>
                <c:pt idx="9">
                  <c:v>2110</c:v>
                </c:pt>
              </c:numCache>
            </c:numRef>
          </c:val>
          <c:extLst>
            <c:ext xmlns:c16="http://schemas.microsoft.com/office/drawing/2014/chart" uri="{C3380CC4-5D6E-409C-BE32-E72D297353CC}">
              <c16:uniqueId val="{00000001-C680-44F9-A968-160DE216F18A}"/>
            </c:ext>
          </c:extLst>
        </c:ser>
        <c:dLbls>
          <c:showLegendKey val="0"/>
          <c:showVal val="0"/>
          <c:showCatName val="0"/>
          <c:showSerName val="0"/>
          <c:showPercent val="0"/>
          <c:showBubbleSize val="0"/>
        </c:dLbls>
        <c:gapWidth val="150"/>
        <c:overlap val="100"/>
        <c:axId val="422924288"/>
        <c:axId val="422926208"/>
      </c:barChart>
      <c:lineChart>
        <c:grouping val="standard"/>
        <c:varyColors val="0"/>
        <c:ser>
          <c:idx val="0"/>
          <c:order val="2"/>
          <c:tx>
            <c:strRef>
              <c:f>'Min. Expl. By Type'!$T$8</c:f>
              <c:strCache>
                <c:ptCount val="1"/>
                <c:pt idx="0">
                  <c:v>Western Australia Share of Australia New Deposits</c:v>
                </c:pt>
              </c:strCache>
            </c:strRef>
          </c:tx>
          <c:spPr>
            <a:ln w="28575"/>
          </c:spPr>
          <c:marker>
            <c:symbol val="none"/>
          </c:marker>
          <c:cat>
            <c:numRef>
              <c:f>'Min. Expl. By Type'!$M$9:$M$18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 Expl. By Type'!$T$9:$T$18</c:f>
              <c:numCache>
                <c:formatCode>0%</c:formatCode>
                <c:ptCount val="10"/>
                <c:pt idx="0">
                  <c:v>0.61367286074787797</c:v>
                </c:pt>
                <c:pt idx="1">
                  <c:v>0.60510349750178438</c:v>
                </c:pt>
                <c:pt idx="2">
                  <c:v>0.62688991628139457</c:v>
                </c:pt>
                <c:pt idx="3">
                  <c:v>0.65865430112614753</c:v>
                </c:pt>
                <c:pt idx="4">
                  <c:v>0.60346989966555187</c:v>
                </c:pt>
                <c:pt idx="5">
                  <c:v>0.64570057105023593</c:v>
                </c:pt>
                <c:pt idx="6">
                  <c:v>0.62559092341632527</c:v>
                </c:pt>
                <c:pt idx="7">
                  <c:v>0.59194500485690804</c:v>
                </c:pt>
                <c:pt idx="8">
                  <c:v>0.53327425786442173</c:v>
                </c:pt>
                <c:pt idx="9">
                  <c:v>0.57728119180633153</c:v>
                </c:pt>
              </c:numCache>
            </c:numRef>
          </c:val>
          <c:smooth val="0"/>
          <c:extLst>
            <c:ext xmlns:c16="http://schemas.microsoft.com/office/drawing/2014/chart" uri="{C3380CC4-5D6E-409C-BE32-E72D297353CC}">
              <c16:uniqueId val="{00000002-C680-44F9-A968-160DE216F18A}"/>
            </c:ext>
          </c:extLst>
        </c:ser>
        <c:ser>
          <c:idx val="1"/>
          <c:order val="3"/>
          <c:tx>
            <c:strRef>
              <c:f>'Min. Expl. By Type'!$U$8</c:f>
              <c:strCache>
                <c:ptCount val="1"/>
                <c:pt idx="0">
                  <c:v>Western Australia Share of Australia Existing Deposits</c:v>
                </c:pt>
              </c:strCache>
            </c:strRef>
          </c:tx>
          <c:spPr>
            <a:ln w="28575">
              <a:solidFill>
                <a:srgbClr val="EFB179"/>
              </a:solidFill>
            </a:ln>
          </c:spPr>
          <c:marker>
            <c:symbol val="none"/>
          </c:marker>
          <c:cat>
            <c:numRef>
              <c:f>'Min. Expl. By Type'!$M$9:$M$18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'Min. Expl. By Type'!$U$9:$U$18</c:f>
              <c:numCache>
                <c:formatCode>0%</c:formatCode>
                <c:ptCount val="10"/>
                <c:pt idx="0">
                  <c:v>0.66616207488142076</c:v>
                </c:pt>
                <c:pt idx="1">
                  <c:v>0.64513155689626267</c:v>
                </c:pt>
                <c:pt idx="2">
                  <c:v>0.59014379651708948</c:v>
                </c:pt>
                <c:pt idx="3">
                  <c:v>0.59822830935477789</c:v>
                </c:pt>
                <c:pt idx="4">
                  <c:v>0.637291430422809</c:v>
                </c:pt>
                <c:pt idx="5">
                  <c:v>0.65792779964821169</c:v>
                </c:pt>
                <c:pt idx="6">
                  <c:v>0.62807696442007954</c:v>
                </c:pt>
                <c:pt idx="7">
                  <c:v>0.61901177114700234</c:v>
                </c:pt>
                <c:pt idx="8">
                  <c:v>0.67971998152162316</c:v>
                </c:pt>
                <c:pt idx="9">
                  <c:v>0.72038238306589275</c:v>
                </c:pt>
              </c:numCache>
            </c:numRef>
          </c:val>
          <c:smooth val="0"/>
          <c:extLst>
            <c:ext xmlns:c16="http://schemas.microsoft.com/office/drawing/2014/chart" uri="{C3380CC4-5D6E-409C-BE32-E72D297353CC}">
              <c16:uniqueId val="{00000003-C680-44F9-A968-160DE216F18A}"/>
            </c:ext>
          </c:extLst>
        </c:ser>
        <c:dLbls>
          <c:showLegendKey val="0"/>
          <c:showVal val="0"/>
          <c:showCatName val="0"/>
          <c:showSerName val="0"/>
          <c:showPercent val="0"/>
          <c:showBubbleSize val="0"/>
        </c:dLbls>
        <c:marker val="1"/>
        <c:smooth val="0"/>
        <c:axId val="1266064216"/>
        <c:axId val="1266060608"/>
      </c:lineChart>
      <c:catAx>
        <c:axId val="422924288"/>
        <c:scaling>
          <c:orientation val="minMax"/>
        </c:scaling>
        <c:delete val="0"/>
        <c:axPos val="b"/>
        <c:title>
          <c:tx>
            <c:rich>
              <a:bodyPr/>
              <a:lstStyle/>
              <a:p>
                <a:pPr>
                  <a:defRPr sz="900"/>
                </a:pPr>
                <a:r>
                  <a:rPr lang="en-AU" sz="900"/>
                  <a:t>Source: ABS</a:t>
                </a:r>
              </a:p>
            </c:rich>
          </c:tx>
          <c:layout>
            <c:manualLayout>
              <c:xMode val="edge"/>
              <c:yMode val="edge"/>
              <c:x val="9.0527947614476214E-3"/>
              <c:y val="0.96597755937121366"/>
            </c:manualLayout>
          </c:layout>
          <c:overlay val="0"/>
        </c:title>
        <c:numFmt formatCode="General" sourceLinked="1"/>
        <c:majorTickMark val="out"/>
        <c:minorTickMark val="none"/>
        <c:tickLblPos val="nextTo"/>
        <c:txPr>
          <a:bodyPr rot="-2700000"/>
          <a:lstStyle/>
          <a:p>
            <a:pPr>
              <a:defRPr/>
            </a:pPr>
            <a:endParaRPr lang="en-US"/>
          </a:p>
        </c:txPr>
        <c:crossAx val="422926208"/>
        <c:crosses val="autoZero"/>
        <c:auto val="1"/>
        <c:lblAlgn val="ctr"/>
        <c:lblOffset val="100"/>
        <c:noMultiLvlLbl val="0"/>
      </c:catAx>
      <c:valAx>
        <c:axId val="422926208"/>
        <c:scaling>
          <c:orientation val="minMax"/>
          <c:max val="4000"/>
        </c:scaling>
        <c:delete val="0"/>
        <c:axPos val="l"/>
        <c:majorGridlines/>
        <c:title>
          <c:tx>
            <c:rich>
              <a:bodyPr rot="-5400000" vert="horz"/>
              <a:lstStyle/>
              <a:p>
                <a:pPr>
                  <a:defRPr/>
                </a:pPr>
                <a:r>
                  <a:rPr lang="en-AU"/>
                  <a:t>$ Million</a:t>
                </a:r>
              </a:p>
            </c:rich>
          </c:tx>
          <c:overlay val="0"/>
        </c:title>
        <c:numFmt formatCode="#,##0" sourceLinked="0"/>
        <c:majorTickMark val="out"/>
        <c:minorTickMark val="none"/>
        <c:tickLblPos val="nextTo"/>
        <c:crossAx val="422924288"/>
        <c:crosses val="autoZero"/>
        <c:crossBetween val="between"/>
        <c:majorUnit val="1000"/>
      </c:valAx>
      <c:valAx>
        <c:axId val="1266060608"/>
        <c:scaling>
          <c:orientation val="minMax"/>
          <c:max val="1"/>
        </c:scaling>
        <c:delete val="0"/>
        <c:axPos val="r"/>
        <c:numFmt formatCode="0%" sourceLinked="0"/>
        <c:majorTickMark val="out"/>
        <c:minorTickMark val="none"/>
        <c:tickLblPos val="nextTo"/>
        <c:crossAx val="1266064216"/>
        <c:crosses val="max"/>
        <c:crossBetween val="between"/>
        <c:majorUnit val="0.25"/>
      </c:valAx>
      <c:catAx>
        <c:axId val="1266064216"/>
        <c:scaling>
          <c:orientation val="minMax"/>
        </c:scaling>
        <c:delete val="1"/>
        <c:axPos val="b"/>
        <c:numFmt formatCode="General" sourceLinked="1"/>
        <c:majorTickMark val="out"/>
        <c:minorTickMark val="none"/>
        <c:tickLblPos val="nextTo"/>
        <c:crossAx val="1266060608"/>
        <c:crosses val="autoZero"/>
        <c:auto val="1"/>
        <c:lblAlgn val="ctr"/>
        <c:lblOffset val="100"/>
        <c:noMultiLvlLbl val="0"/>
      </c:catAx>
    </c:plotArea>
    <c:legend>
      <c:legendPos val="t"/>
      <c:layout>
        <c:manualLayout>
          <c:xMode val="edge"/>
          <c:yMode val="edge"/>
          <c:x val="6.9485077839313569E-2"/>
          <c:y val="0.11660229296967076"/>
          <c:w val="0.8999999123283059"/>
          <c:h val="4.654545616687316E-2"/>
        </c:manualLayout>
      </c:layout>
      <c:overlay val="0"/>
      <c:txPr>
        <a:bodyPr/>
        <a:lstStyle/>
        <a:p>
          <a:pPr>
            <a:defRPr sz="1000"/>
          </a:pPr>
          <a:endParaRPr lang="en-US"/>
        </a:p>
      </c:txPr>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b="1" i="0" baseline="0">
                <a:effectLst/>
              </a:rPr>
              <a:t>Western Australia Mineral Exploration Expenditure By Type</a:t>
            </a:r>
            <a:endParaRPr lang="en-AU" sz="1300">
              <a:effectLst/>
            </a:endParaRPr>
          </a:p>
          <a:p>
            <a:pPr>
              <a:defRPr/>
            </a:pPr>
            <a:r>
              <a:rPr lang="en-AU" sz="1100"/>
              <a:t>Last 10 Financial Years</a:t>
            </a:r>
          </a:p>
        </c:rich>
      </c:tx>
      <c:layout>
        <c:manualLayout>
          <c:xMode val="edge"/>
          <c:yMode val="edge"/>
          <c:x val="0.30932988779205783"/>
          <c:y val="3.36720813336173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AU"/>
        </a:p>
      </c:txPr>
    </c:title>
    <c:autoTitleDeleted val="0"/>
    <c:plotArea>
      <c:layout>
        <c:manualLayout>
          <c:layoutTarget val="inner"/>
          <c:xMode val="edge"/>
          <c:yMode val="edge"/>
          <c:x val="7.8455640670064303E-2"/>
          <c:y val="0.17845807247116902"/>
          <c:w val="0.87147448429036667"/>
          <c:h val="0.67234255293187328"/>
        </c:manualLayout>
      </c:layout>
      <c:barChart>
        <c:barDir val="col"/>
        <c:grouping val="stacked"/>
        <c:varyColors val="0"/>
        <c:ser>
          <c:idx val="1"/>
          <c:order val="0"/>
          <c:tx>
            <c:v>New deposits</c:v>
          </c:tx>
          <c:spPr>
            <a:solidFill>
              <a:srgbClr val="F79646"/>
            </a:solidFill>
            <a:ln>
              <a:noFill/>
            </a:ln>
            <a:effectLst/>
          </c:spPr>
          <c:invertIfNegative val="0"/>
          <c:dPt>
            <c:idx val="9"/>
            <c:invertIfNegative val="0"/>
            <c:bubble3D val="0"/>
            <c:spPr>
              <a:solidFill>
                <a:srgbClr val="F79646"/>
              </a:solidFill>
              <a:ln>
                <a:noFill/>
              </a:ln>
              <a:effectLst/>
            </c:spPr>
            <c:extLst>
              <c:ext xmlns:c16="http://schemas.microsoft.com/office/drawing/2014/chart" uri="{C3380CC4-5D6E-409C-BE32-E72D297353CC}">
                <c16:uniqueId val="{00000001-448C-4E2D-B124-98B0592A6457}"/>
              </c:ext>
            </c:extLst>
          </c:dPt>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Type'!$Y$9:$Y$18</c:f>
              <c:numCache>
                <c:formatCode>#,##0.0</c:formatCode>
                <c:ptCount val="10"/>
                <c:pt idx="0">
                  <c:v>241.40000000000003</c:v>
                </c:pt>
                <c:pt idx="1">
                  <c:v>295.3</c:v>
                </c:pt>
                <c:pt idx="2">
                  <c:v>405.90000000000003</c:v>
                </c:pt>
                <c:pt idx="3">
                  <c:v>598.5</c:v>
                </c:pt>
                <c:pt idx="4">
                  <c:v>651.4</c:v>
                </c:pt>
                <c:pt idx="5">
                  <c:v>683.30000000000007</c:v>
                </c:pt>
                <c:pt idx="6">
                  <c:v>758.5</c:v>
                </c:pt>
                <c:pt idx="7">
                  <c:v>816.40000000000009</c:v>
                </c:pt>
                <c:pt idx="8">
                  <c:v>733.4</c:v>
                </c:pt>
                <c:pt idx="9">
                  <c:v>540.70000000000005</c:v>
                </c:pt>
              </c:numCache>
            </c:numRef>
          </c:val>
          <c:extLst>
            <c:ext xmlns:c16="http://schemas.microsoft.com/office/drawing/2014/chart" uri="{C3380CC4-5D6E-409C-BE32-E72D297353CC}">
              <c16:uniqueId val="{00000002-448C-4E2D-B124-98B0592A6457}"/>
            </c:ext>
          </c:extLst>
        </c:ser>
        <c:ser>
          <c:idx val="3"/>
          <c:order val="1"/>
          <c:tx>
            <c:v>Existing deposits</c:v>
          </c:tx>
          <c:spPr>
            <a:solidFill>
              <a:srgbClr val="FAC090"/>
            </a:solidFill>
            <a:ln>
              <a:noFill/>
            </a:ln>
            <a:effectLst/>
          </c:spPr>
          <c:invertIfNegative val="0"/>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Type'!$AB$9:$AB$18</c:f>
              <c:numCache>
                <c:formatCode>#,##0.0</c:formatCode>
                <c:ptCount val="10"/>
                <c:pt idx="0">
                  <c:v>629.6</c:v>
                </c:pt>
                <c:pt idx="1">
                  <c:v>733.09999999999991</c:v>
                </c:pt>
                <c:pt idx="2">
                  <c:v>797.80000000000007</c:v>
                </c:pt>
                <c:pt idx="3">
                  <c:v>843.59999999999991</c:v>
                </c:pt>
                <c:pt idx="4">
                  <c:v>1041.8</c:v>
                </c:pt>
                <c:pt idx="5">
                  <c:v>1368.8</c:v>
                </c:pt>
                <c:pt idx="6">
                  <c:v>1720</c:v>
                </c:pt>
                <c:pt idx="7">
                  <c:v>1738.6</c:v>
                </c:pt>
                <c:pt idx="8">
                  <c:v>1850</c:v>
                </c:pt>
                <c:pt idx="9">
                  <c:v>2024.3000000000002</c:v>
                </c:pt>
              </c:numCache>
            </c:numRef>
          </c:val>
          <c:extLst>
            <c:ext xmlns:c16="http://schemas.microsoft.com/office/drawing/2014/chart" uri="{C3380CC4-5D6E-409C-BE32-E72D297353CC}">
              <c16:uniqueId val="{00000003-448C-4E2D-B124-98B0592A6457}"/>
            </c:ext>
          </c:extLst>
        </c:ser>
        <c:dLbls>
          <c:showLegendKey val="0"/>
          <c:showVal val="0"/>
          <c:showCatName val="0"/>
          <c:showSerName val="0"/>
          <c:showPercent val="0"/>
          <c:showBubbleSize val="0"/>
        </c:dLbls>
        <c:gapWidth val="150"/>
        <c:overlap val="100"/>
        <c:axId val="427180032"/>
        <c:axId val="427181952"/>
        <c:extLst/>
      </c:barChart>
      <c:lineChart>
        <c:grouping val="standard"/>
        <c:varyColors val="0"/>
        <c:ser>
          <c:idx val="0"/>
          <c:order val="2"/>
          <c:tx>
            <c:strRef>
              <c:f>'Min. Expl. By Type'!$AE$8</c:f>
              <c:strCache>
                <c:ptCount val="1"/>
                <c:pt idx="0">
                  <c:v>Western Australia Share of Australia New Deposits</c:v>
                </c:pt>
              </c:strCache>
            </c:strRef>
          </c:tx>
          <c:spPr>
            <a:ln w="28575" cap="rnd" cmpd="sng" algn="ctr">
              <a:solidFill>
                <a:srgbClr val="CB7833"/>
              </a:solidFill>
              <a:prstDash val="solid"/>
              <a:round/>
            </a:ln>
            <a:effectLst/>
          </c:spPr>
          <c:marker>
            <c:symbol val="none"/>
          </c:marker>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Type'!$AE$9:$AE$18</c:f>
              <c:numCache>
                <c:formatCode>0%</c:formatCode>
                <c:ptCount val="10"/>
                <c:pt idx="0">
                  <c:v>0.58634928345882931</c:v>
                </c:pt>
                <c:pt idx="1">
                  <c:v>0.61075491209927613</c:v>
                </c:pt>
                <c:pt idx="2">
                  <c:v>0.61046773950970079</c:v>
                </c:pt>
                <c:pt idx="3">
                  <c:v>0.65957681287194181</c:v>
                </c:pt>
                <c:pt idx="4">
                  <c:v>0.61510859301227572</c:v>
                </c:pt>
                <c:pt idx="5">
                  <c:v>0.64045365076389538</c:v>
                </c:pt>
                <c:pt idx="6">
                  <c:v>0.62161940665464688</c:v>
                </c:pt>
                <c:pt idx="7">
                  <c:v>0.62795169602338297</c:v>
                </c:pt>
                <c:pt idx="8">
                  <c:v>0.55746427485557926</c:v>
                </c:pt>
                <c:pt idx="9">
                  <c:v>0.53481701285855598</c:v>
                </c:pt>
              </c:numCache>
            </c:numRef>
          </c:val>
          <c:smooth val="0"/>
          <c:extLst>
            <c:ext xmlns:c16="http://schemas.microsoft.com/office/drawing/2014/chart" uri="{C3380CC4-5D6E-409C-BE32-E72D297353CC}">
              <c16:uniqueId val="{00000004-448C-4E2D-B124-98B0592A6457}"/>
            </c:ext>
          </c:extLst>
        </c:ser>
        <c:ser>
          <c:idx val="2"/>
          <c:order val="3"/>
          <c:tx>
            <c:strRef>
              <c:f>'Min. Expl. By Type'!$AF$8</c:f>
              <c:strCache>
                <c:ptCount val="1"/>
                <c:pt idx="0">
                  <c:v>Western Australia Share of Australia Existing Deposits</c:v>
                </c:pt>
              </c:strCache>
            </c:strRef>
          </c:tx>
          <c:spPr>
            <a:ln w="28575" cap="rnd" cmpd="sng" algn="ctr">
              <a:solidFill>
                <a:srgbClr val="EFB179"/>
              </a:solidFill>
              <a:prstDash val="solid"/>
              <a:round/>
            </a:ln>
            <a:effectLst/>
          </c:spPr>
          <c:marker>
            <c:symbol val="none"/>
          </c:marker>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Type'!$AF$9:$AF$18</c:f>
              <c:numCache>
                <c:formatCode>0%</c:formatCode>
                <c:ptCount val="10"/>
                <c:pt idx="0">
                  <c:v>0.62373687339013273</c:v>
                </c:pt>
                <c:pt idx="1">
                  <c:v>0.67779215976331353</c:v>
                </c:pt>
                <c:pt idx="2">
                  <c:v>0.60766242668900905</c:v>
                </c:pt>
                <c:pt idx="3">
                  <c:v>0.58550805108273174</c:v>
                </c:pt>
                <c:pt idx="4">
                  <c:v>0.60827932504233084</c:v>
                </c:pt>
                <c:pt idx="5">
                  <c:v>0.65342753484819549</c:v>
                </c:pt>
                <c:pt idx="6">
                  <c:v>0.65109588522542305</c:v>
                </c:pt>
                <c:pt idx="7">
                  <c:v>0.61360909155078702</c:v>
                </c:pt>
                <c:pt idx="8">
                  <c:v>0.63815108658157982</c:v>
                </c:pt>
                <c:pt idx="9">
                  <c:v>0.71839733125133098</c:v>
                </c:pt>
              </c:numCache>
            </c:numRef>
          </c:val>
          <c:smooth val="0"/>
          <c:extLst>
            <c:ext xmlns:c16="http://schemas.microsoft.com/office/drawing/2014/chart" uri="{C3380CC4-5D6E-409C-BE32-E72D297353CC}">
              <c16:uniqueId val="{00000005-448C-4E2D-B124-98B0592A6457}"/>
            </c:ext>
          </c:extLst>
        </c:ser>
        <c:dLbls>
          <c:showLegendKey val="0"/>
          <c:showVal val="0"/>
          <c:showCatName val="0"/>
          <c:showSerName val="0"/>
          <c:showPercent val="0"/>
          <c:showBubbleSize val="0"/>
        </c:dLbls>
        <c:marker val="1"/>
        <c:smooth val="0"/>
        <c:axId val="1219611096"/>
        <c:axId val="1219610768"/>
      </c:line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7.7066399021021789E-3"/>
              <c:y val="0.97006835828891036"/>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max val="4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1000"/>
      </c:valAx>
      <c:valAx>
        <c:axId val="1219610768"/>
        <c:scaling>
          <c:orientation val="minMax"/>
          <c:max val="1"/>
        </c:scaling>
        <c:delete val="0"/>
        <c:axPos val="r"/>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19611096"/>
        <c:crosses val="max"/>
        <c:crossBetween val="between"/>
        <c:majorUnit val="0.25"/>
      </c:valAx>
      <c:catAx>
        <c:axId val="1219611096"/>
        <c:scaling>
          <c:orientation val="minMax"/>
        </c:scaling>
        <c:delete val="1"/>
        <c:axPos val="b"/>
        <c:numFmt formatCode="General" sourceLinked="1"/>
        <c:majorTickMark val="out"/>
        <c:minorTickMark val="none"/>
        <c:tickLblPos val="nextTo"/>
        <c:crossAx val="1219610768"/>
        <c:crosses val="autoZero"/>
        <c:auto val="1"/>
        <c:lblAlgn val="ctr"/>
        <c:lblOffset val="100"/>
        <c:noMultiLvlLbl val="0"/>
      </c:catAx>
      <c:spPr>
        <a:solidFill>
          <a:schemeClr val="bg1"/>
        </a:solidFill>
        <a:ln>
          <a:noFill/>
        </a:ln>
        <a:effectLst/>
      </c:spPr>
    </c:plotArea>
    <c:legend>
      <c:legendPos val="t"/>
      <c:layout>
        <c:manualLayout>
          <c:xMode val="edge"/>
          <c:yMode val="edge"/>
          <c:x val="4.9999956492435632E-2"/>
          <c:y val="0.11891542568062269"/>
          <c:w val="0.89999999033165234"/>
          <c:h val="3.0588013411400009E-2"/>
        </c:manualLayout>
      </c:layout>
      <c:overlay val="0"/>
      <c:spPr>
        <a:noFill/>
        <a:ln>
          <a:noFill/>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withinLinear" id="19">
  <a:schemeClr val="accent6"/>
</cs:colorStyle>
</file>

<file path=xl/charts/colors12.xml><?xml version="1.0" encoding="utf-8"?>
<cs:colorStyle xmlns:cs="http://schemas.microsoft.com/office/drawing/2012/chartStyle" xmlns:a="http://schemas.openxmlformats.org/drawingml/2006/main" meth="withinLinear" id="16">
  <a:schemeClr val="accent3"/>
</cs:colorStyle>
</file>

<file path=xl/charts/colors13.xml><?xml version="1.0" encoding="utf-8"?>
<cs:colorStyle xmlns:cs="http://schemas.microsoft.com/office/drawing/2012/chartStyle" xmlns:a="http://schemas.openxmlformats.org/drawingml/2006/main" meth="withinLinear" id="15">
  <a:schemeClr val="accent2"/>
</cs:colorStyle>
</file>

<file path=xl/charts/colors14.xml><?xml version="1.0" encoding="utf-8"?>
<cs:colorStyle xmlns:cs="http://schemas.microsoft.com/office/drawing/2012/chartStyle" xmlns:a="http://schemas.openxmlformats.org/drawingml/2006/main" meth="withinLinear" id="15">
  <a:schemeClr val="accent2"/>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6.xml><?xml version="1.0" encoding="utf-8"?>
<cs:colorStyle xmlns:cs="http://schemas.microsoft.com/office/drawing/2012/chartStyle" xmlns:a="http://schemas.openxmlformats.org/drawingml/2006/main" meth="withinLinear" id="19">
  <a:schemeClr val="accent6"/>
</cs:colorStyle>
</file>

<file path=xl/charts/colors7.xml><?xml version="1.0" encoding="utf-8"?>
<cs:colorStyle xmlns:cs="http://schemas.microsoft.com/office/drawing/2012/chartStyle" xmlns:a="http://schemas.openxmlformats.org/drawingml/2006/main" meth="withinLinear" id="19">
  <a:schemeClr val="accent6"/>
</cs:colorStyle>
</file>

<file path=xl/charts/colors8.xml><?xml version="1.0" encoding="utf-8"?>
<cs:colorStyle xmlns:cs="http://schemas.microsoft.com/office/drawing/2012/chartStyle" xmlns:a="http://schemas.openxmlformats.org/drawingml/2006/main" meth="withinLinearReversed" id="26">
  <a:schemeClr val="accent6"/>
</cs:colorStyle>
</file>

<file path=xl/charts/colors9.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6.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5">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11.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image" Target="../media/image1.png"/><Relationship Id="rId1" Type="http://schemas.openxmlformats.org/officeDocument/2006/relationships/hyperlink" Target="#Index!A1"/></Relationships>
</file>

<file path=xl/drawings/_rels/drawing14.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0.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image" Target="../media/image1.png"/></Relationships>
</file>

<file path=xl/drawings/_rels/drawing22.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20.xml"/><Relationship Id="rId1" Type="http://schemas.openxmlformats.org/officeDocument/2006/relationships/chart" Target="../charts/chart19.xml"/><Relationship Id="rId4" Type="http://schemas.openxmlformats.org/officeDocument/2006/relationships/image" Target="../media/image1.png"/></Relationships>
</file>

<file path=xl/drawings/_rels/drawing24.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9.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24.xml"/><Relationship Id="rId1" Type="http://schemas.openxmlformats.org/officeDocument/2006/relationships/chart" Target="../charts/chart23.xm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Index!A1"/><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9.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3</xdr:col>
      <xdr:colOff>3380475</xdr:colOff>
      <xdr:row>38</xdr:row>
      <xdr:rowOff>64500</xdr:rowOff>
    </xdr:to>
    <xdr:sp macro="" textlink="">
      <xdr:nvSpPr>
        <xdr:cNvPr id="3" name="TextBox 2">
          <a:extLst>
            <a:ext uri="{FF2B5EF4-FFF2-40B4-BE49-F238E27FC236}">
              <a16:creationId xmlns:a16="http://schemas.microsoft.com/office/drawing/2014/main" id="{1D82E2BA-1876-4F95-80CC-CFA09A8ABA16}"/>
            </a:ext>
          </a:extLst>
        </xdr:cNvPr>
        <xdr:cNvSpPr txBox="1"/>
      </xdr:nvSpPr>
      <xdr:spPr>
        <a:xfrm>
          <a:off x="1733550" y="5143500"/>
          <a:ext cx="7200000" cy="2160000"/>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Information provided in this file is made available without charge, as a public service, in good faith. It is derived from sources believed to be reliable and accurate at the time of publication. As a result it is recommended that the latest release is used wherever possible. However, use of the information in this file is at your own risk.</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Users of this information are responsible for making their own assessment of the information provided therein and users are advised to verify all representations, statements and information for decisions that concern the conduct of business that involves monetary or operational consequences.</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Each user </a:t>
          </a:r>
          <a:r>
            <a:rPr lang="en-AU" sz="1100" b="0" i="0">
              <a:solidFill>
                <a:sysClr val="windowText" lastClr="000000"/>
              </a:solidFill>
              <a:effectLst/>
              <a:latin typeface="+mn-lt"/>
              <a:ea typeface="+mn-ea"/>
              <a:cs typeface="+mn-cs"/>
            </a:rPr>
            <a:t>waives and releases the Department of Mines, Petroleum and Exploration and the State of Western Australia and its servants to the full extent permitted by law from all and any claims relating to the use of the material in this file. In no event shall the Department of Mines, Petroleum and Exploration or the State of Western Australia be liable for any incidental or consequential damages arising from any use or reliance on any material in this file.</a:t>
          </a:r>
        </a:p>
      </xdr:txBody>
    </xdr:sp>
    <xdr:clientData/>
  </xdr:twoCellAnchor>
  <xdr:twoCellAnchor editAs="oneCell">
    <xdr:from>
      <xdr:col>0</xdr:col>
      <xdr:colOff>0</xdr:colOff>
      <xdr:row>0</xdr:row>
      <xdr:rowOff>0</xdr:rowOff>
    </xdr:from>
    <xdr:to>
      <xdr:col>2</xdr:col>
      <xdr:colOff>1161727</xdr:colOff>
      <xdr:row>5</xdr:row>
      <xdr:rowOff>29041</xdr:rowOff>
    </xdr:to>
    <xdr:pic>
      <xdr:nvPicPr>
        <xdr:cNvPr id="5" name="Picture 4">
          <a:hlinkClick xmlns:r="http://schemas.openxmlformats.org/officeDocument/2006/relationships" r:id="rId1"/>
          <a:extLst>
            <a:ext uri="{FF2B5EF4-FFF2-40B4-BE49-F238E27FC236}">
              <a16:creationId xmlns:a16="http://schemas.microsoft.com/office/drawing/2014/main" id="{DE185B29-02BE-47E0-86CF-E1034517DD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18727</xdr:colOff>
      <xdr:row>5</xdr:row>
      <xdr:rowOff>29041</xdr:rowOff>
    </xdr:to>
    <xdr:pic>
      <xdr:nvPicPr>
        <xdr:cNvPr id="3" name="Picture 2">
          <a:hlinkClick xmlns:r="http://schemas.openxmlformats.org/officeDocument/2006/relationships" r:id="rId1"/>
          <a:extLst>
            <a:ext uri="{FF2B5EF4-FFF2-40B4-BE49-F238E27FC236}">
              <a16:creationId xmlns:a16="http://schemas.microsoft.com/office/drawing/2014/main" id="{352401C2-E389-47AF-880F-EEAF5BBCEE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0</xdr:colOff>
      <xdr:row>21</xdr:row>
      <xdr:rowOff>0</xdr:rowOff>
    </xdr:from>
    <xdr:to>
      <xdr:col>12</xdr:col>
      <xdr:colOff>11205</xdr:colOff>
      <xdr:row>38</xdr:row>
      <xdr:rowOff>112058</xdr:rowOff>
    </xdr:to>
    <xdr:graphicFrame macro="">
      <xdr:nvGraphicFramePr>
        <xdr:cNvPr id="3" name="Chart 2">
          <a:extLst>
            <a:ext uri="{FF2B5EF4-FFF2-40B4-BE49-F238E27FC236}">
              <a16:creationId xmlns:a16="http://schemas.microsoft.com/office/drawing/2014/main" id="{73BB12A3-2E34-43B6-81D5-30079B55DD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21</xdr:row>
      <xdr:rowOff>0</xdr:rowOff>
    </xdr:from>
    <xdr:to>
      <xdr:col>18</xdr:col>
      <xdr:colOff>22412</xdr:colOff>
      <xdr:row>38</xdr:row>
      <xdr:rowOff>100853</xdr:rowOff>
    </xdr:to>
    <xdr:graphicFrame macro="">
      <xdr:nvGraphicFramePr>
        <xdr:cNvPr id="4" name="Chart 3">
          <a:extLst>
            <a:ext uri="{FF2B5EF4-FFF2-40B4-BE49-F238E27FC236}">
              <a16:creationId xmlns:a16="http://schemas.microsoft.com/office/drawing/2014/main" id="{8391C2B1-2DF4-46F1-B384-F9B27B2623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4</xdr:col>
      <xdr:colOff>41139</xdr:colOff>
      <xdr:row>5</xdr:row>
      <xdr:rowOff>29041</xdr:rowOff>
    </xdr:to>
    <xdr:pic>
      <xdr:nvPicPr>
        <xdr:cNvPr id="5" name="Picture 4">
          <a:hlinkClick xmlns:r="http://schemas.openxmlformats.org/officeDocument/2006/relationships" r:id="rId3"/>
          <a:extLst>
            <a:ext uri="{FF2B5EF4-FFF2-40B4-BE49-F238E27FC236}">
              <a16:creationId xmlns:a16="http://schemas.microsoft.com/office/drawing/2014/main" id="{39725F3C-6781-4004-BD99-DE66D684E7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11</xdr:col>
      <xdr:colOff>582704</xdr:colOff>
      <xdr:row>18</xdr:row>
      <xdr:rowOff>190499</xdr:rowOff>
    </xdr:from>
    <xdr:to>
      <xdr:col>21</xdr:col>
      <xdr:colOff>1030941</xdr:colOff>
      <xdr:row>58</xdr:row>
      <xdr:rowOff>56029</xdr:rowOff>
    </xdr:to>
    <xdr:graphicFrame macro="">
      <xdr:nvGraphicFramePr>
        <xdr:cNvPr id="3" name="Chart 2">
          <a:extLst>
            <a:ext uri="{FF2B5EF4-FFF2-40B4-BE49-F238E27FC236}">
              <a16:creationId xmlns:a16="http://schemas.microsoft.com/office/drawing/2014/main" id="{796F4B7D-CD5E-4A37-874F-3B9A8B01CE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22</xdr:col>
      <xdr:colOff>582705</xdr:colOff>
      <xdr:row>18</xdr:row>
      <xdr:rowOff>190499</xdr:rowOff>
    </xdr:from>
    <xdr:to>
      <xdr:col>33</xdr:col>
      <xdr:colOff>11205</xdr:colOff>
      <xdr:row>58</xdr:row>
      <xdr:rowOff>78440</xdr:rowOff>
    </xdr:to>
    <xdr:graphicFrame macro="">
      <xdr:nvGraphicFramePr>
        <xdr:cNvPr id="4" name="Chart 3">
          <a:extLst>
            <a:ext uri="{FF2B5EF4-FFF2-40B4-BE49-F238E27FC236}">
              <a16:creationId xmlns:a16="http://schemas.microsoft.com/office/drawing/2014/main" id="{60E9727C-B503-4A4E-A0C2-071A5A6D3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4</xdr:col>
      <xdr:colOff>41139</xdr:colOff>
      <xdr:row>5</xdr:row>
      <xdr:rowOff>29041</xdr:rowOff>
    </xdr:to>
    <xdr:pic>
      <xdr:nvPicPr>
        <xdr:cNvPr id="5" name="Picture 4">
          <a:hlinkClick xmlns:r="http://schemas.openxmlformats.org/officeDocument/2006/relationships" r:id="rId3"/>
          <a:extLst>
            <a:ext uri="{FF2B5EF4-FFF2-40B4-BE49-F238E27FC236}">
              <a16:creationId xmlns:a16="http://schemas.microsoft.com/office/drawing/2014/main" id="{45E4B469-3419-4497-B68E-0733A5917EC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41139</xdr:colOff>
      <xdr:row>5</xdr:row>
      <xdr:rowOff>29041</xdr:rowOff>
    </xdr:to>
    <xdr:pic>
      <xdr:nvPicPr>
        <xdr:cNvPr id="6" name="Picture 5">
          <a:hlinkClick xmlns:r="http://schemas.openxmlformats.org/officeDocument/2006/relationships" r:id="rId1"/>
          <a:extLst>
            <a:ext uri="{FF2B5EF4-FFF2-40B4-BE49-F238E27FC236}">
              <a16:creationId xmlns:a16="http://schemas.microsoft.com/office/drawing/2014/main" id="{596ADDCB-689F-47E3-B23E-5114C58C07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twoCellAnchor editAs="oneCell">
    <xdr:from>
      <xdr:col>6</xdr:col>
      <xdr:colOff>885264</xdr:colOff>
      <xdr:row>8</xdr:row>
      <xdr:rowOff>56030</xdr:rowOff>
    </xdr:from>
    <xdr:to>
      <xdr:col>16</xdr:col>
      <xdr:colOff>385746</xdr:colOff>
      <xdr:row>36</xdr:row>
      <xdr:rowOff>129314</xdr:rowOff>
    </xdr:to>
    <xdr:graphicFrame macro="">
      <xdr:nvGraphicFramePr>
        <xdr:cNvPr id="7" name="Chart 6">
          <a:extLst>
            <a:ext uri="{FF2B5EF4-FFF2-40B4-BE49-F238E27FC236}">
              <a16:creationId xmlns:a16="http://schemas.microsoft.com/office/drawing/2014/main" id="{9FE5887C-BD31-4CA1-8A0D-4845C157EE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7</xdr:col>
      <xdr:colOff>0</xdr:colOff>
      <xdr:row>19</xdr:row>
      <xdr:rowOff>0</xdr:rowOff>
    </xdr:from>
    <xdr:to>
      <xdr:col>11</xdr:col>
      <xdr:colOff>1030941</xdr:colOff>
      <xdr:row>36</xdr:row>
      <xdr:rowOff>67235</xdr:rowOff>
    </xdr:to>
    <xdr:graphicFrame macro="">
      <xdr:nvGraphicFramePr>
        <xdr:cNvPr id="8" name="Chart 7">
          <a:extLst>
            <a:ext uri="{FF2B5EF4-FFF2-40B4-BE49-F238E27FC236}">
              <a16:creationId xmlns:a16="http://schemas.microsoft.com/office/drawing/2014/main" id="{A8BEC8E2-D30D-4701-B81E-EAF41A8010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19</xdr:row>
      <xdr:rowOff>0</xdr:rowOff>
    </xdr:from>
    <xdr:to>
      <xdr:col>18</xdr:col>
      <xdr:colOff>0</xdr:colOff>
      <xdr:row>36</xdr:row>
      <xdr:rowOff>112059</xdr:rowOff>
    </xdr:to>
    <xdr:graphicFrame macro="">
      <xdr:nvGraphicFramePr>
        <xdr:cNvPr id="9" name="Chart 8">
          <a:extLst>
            <a:ext uri="{FF2B5EF4-FFF2-40B4-BE49-F238E27FC236}">
              <a16:creationId xmlns:a16="http://schemas.microsoft.com/office/drawing/2014/main" id="{D54D26D3-BBA0-4F5E-9955-922E59CE3B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4</xdr:col>
      <xdr:colOff>41139</xdr:colOff>
      <xdr:row>5</xdr:row>
      <xdr:rowOff>29041</xdr:rowOff>
    </xdr:to>
    <xdr:pic>
      <xdr:nvPicPr>
        <xdr:cNvPr id="3" name="Picture 2">
          <a:hlinkClick xmlns:r="http://schemas.openxmlformats.org/officeDocument/2006/relationships" r:id="rId3"/>
          <a:extLst>
            <a:ext uri="{FF2B5EF4-FFF2-40B4-BE49-F238E27FC236}">
              <a16:creationId xmlns:a16="http://schemas.microsoft.com/office/drawing/2014/main" id="{D6D47EDB-2F9A-46DD-B6B5-85B0D0D396D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22</xdr:col>
      <xdr:colOff>0</xdr:colOff>
      <xdr:row>19</xdr:row>
      <xdr:rowOff>0</xdr:rowOff>
    </xdr:from>
    <xdr:to>
      <xdr:col>30</xdr:col>
      <xdr:colOff>11206</xdr:colOff>
      <xdr:row>43</xdr:row>
      <xdr:rowOff>156883</xdr:rowOff>
    </xdr:to>
    <xdr:graphicFrame macro="">
      <xdr:nvGraphicFramePr>
        <xdr:cNvPr id="5" name="Chart 4">
          <a:extLst>
            <a:ext uri="{FF2B5EF4-FFF2-40B4-BE49-F238E27FC236}">
              <a16:creationId xmlns:a16="http://schemas.microsoft.com/office/drawing/2014/main" id="{4B063FB3-D9A5-40F9-821D-08E992440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1</xdr:colOff>
      <xdr:row>19</xdr:row>
      <xdr:rowOff>11205</xdr:rowOff>
    </xdr:from>
    <xdr:to>
      <xdr:col>21</xdr:col>
      <xdr:colOff>22414</xdr:colOff>
      <xdr:row>43</xdr:row>
      <xdr:rowOff>187852</xdr:rowOff>
    </xdr:to>
    <xdr:graphicFrame macro="">
      <xdr:nvGraphicFramePr>
        <xdr:cNvPr id="6" name="Chart 5">
          <a:extLst>
            <a:ext uri="{FF2B5EF4-FFF2-40B4-BE49-F238E27FC236}">
              <a16:creationId xmlns:a16="http://schemas.microsoft.com/office/drawing/2014/main" id="{1EAB8C09-0A32-4160-AAEB-54C38494EB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45</xdr:row>
      <xdr:rowOff>22412</xdr:rowOff>
    </xdr:from>
    <xdr:to>
      <xdr:col>15</xdr:col>
      <xdr:colOff>178253</xdr:colOff>
      <xdr:row>46</xdr:row>
      <xdr:rowOff>146796</xdr:rowOff>
    </xdr:to>
    <xdr:sp macro="" textlink="">
      <xdr:nvSpPr>
        <xdr:cNvPr id="8" name="TextBox 7">
          <a:extLst>
            <a:ext uri="{FF2B5EF4-FFF2-40B4-BE49-F238E27FC236}">
              <a16:creationId xmlns:a16="http://schemas.microsoft.com/office/drawing/2014/main" id="{77566536-FD71-48AC-B64C-B1F030F16CAD}"/>
            </a:ext>
          </a:extLst>
        </xdr:cNvPr>
        <xdr:cNvSpPr txBox="1"/>
      </xdr:nvSpPr>
      <xdr:spPr>
        <a:xfrm>
          <a:off x="9861176" y="9054353"/>
          <a:ext cx="2083253" cy="314884"/>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AU" sz="1050" b="0" i="0" u="none" strike="noStrike">
              <a:solidFill>
                <a:schemeClr val="dk1"/>
              </a:solidFill>
              <a:effectLst/>
              <a:latin typeface="Calibri" panose="020F0502020204030204" pitchFamily="34" charset="0"/>
              <a:ea typeface="+mn-ea"/>
              <a:cs typeface="Calibri" panose="020F0502020204030204" pitchFamily="34" charset="0"/>
            </a:rPr>
            <a:t>Data is in </a:t>
          </a:r>
          <a:r>
            <a:rPr lang="en-AU" sz="1050" b="0" i="0" u="none" strike="noStrike" baseline="0">
              <a:solidFill>
                <a:schemeClr val="dk1"/>
              </a:solidFill>
              <a:effectLst/>
              <a:latin typeface="Calibri" panose="020F0502020204030204" pitchFamily="34" charset="0"/>
              <a:ea typeface="+mn-ea"/>
              <a:cs typeface="Calibri" panose="020F0502020204030204" pitchFamily="34" charset="0"/>
            </a:rPr>
            <a:t>seasonally adjusted terms. </a:t>
          </a:r>
        </a:p>
      </xdr:txBody>
    </xdr:sp>
    <xdr:clientData/>
  </xdr:twoCellAnchor>
  <xdr:twoCellAnchor editAs="oneCell">
    <xdr:from>
      <xdr:col>0</xdr:col>
      <xdr:colOff>0</xdr:colOff>
      <xdr:row>0</xdr:row>
      <xdr:rowOff>0</xdr:rowOff>
    </xdr:from>
    <xdr:to>
      <xdr:col>6</xdr:col>
      <xdr:colOff>41139</xdr:colOff>
      <xdr:row>4</xdr:row>
      <xdr:rowOff>163512</xdr:rowOff>
    </xdr:to>
    <xdr:pic>
      <xdr:nvPicPr>
        <xdr:cNvPr id="3" name="Picture 2">
          <a:hlinkClick xmlns:r="http://schemas.openxmlformats.org/officeDocument/2006/relationships" r:id="rId3"/>
          <a:extLst>
            <a:ext uri="{FF2B5EF4-FFF2-40B4-BE49-F238E27FC236}">
              <a16:creationId xmlns:a16="http://schemas.microsoft.com/office/drawing/2014/main" id="{3D833EB2-8E7A-472B-BBAF-F9A6E52A25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22</xdr:row>
      <xdr:rowOff>515470</xdr:rowOff>
    </xdr:from>
    <xdr:to>
      <xdr:col>4</xdr:col>
      <xdr:colOff>134471</xdr:colOff>
      <xdr:row>37</xdr:row>
      <xdr:rowOff>89647</xdr:rowOff>
    </xdr:to>
    <xdr:sp macro="" textlink="">
      <xdr:nvSpPr>
        <xdr:cNvPr id="4" name="TextBox 3">
          <a:extLst>
            <a:ext uri="{FF2B5EF4-FFF2-40B4-BE49-F238E27FC236}">
              <a16:creationId xmlns:a16="http://schemas.microsoft.com/office/drawing/2014/main" id="{4C76A40D-2FFE-42C8-A9C5-F1D326B819AB}"/>
            </a:ext>
          </a:extLst>
        </xdr:cNvPr>
        <xdr:cNvSpPr txBox="1"/>
      </xdr:nvSpPr>
      <xdr:spPr>
        <a:xfrm>
          <a:off x="0" y="4773705"/>
          <a:ext cx="6678706" cy="2756648"/>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aseline="0"/>
            <a:t>All royalty revenue shown above is paid into the State's Consolidated Revenue Fund.  </a:t>
          </a:r>
        </a:p>
        <a:p>
          <a:endParaRPr lang="en-AU" sz="1100" baseline="0"/>
        </a:p>
        <a:p>
          <a:r>
            <a:rPr lang="en-AU" sz="1100" baseline="0"/>
            <a:t>Added to the table, shown separately, is the State's share of the North West Shelf project royalty payments to the Commonwealth (which are provided as a grant from the Commonwealth to the State).</a:t>
          </a:r>
        </a:p>
        <a:p>
          <a:endParaRPr lang="en-AU" sz="1100" baseline="0"/>
        </a:p>
        <a:p>
          <a:r>
            <a:rPr lang="en-AU" sz="1100" baseline="0"/>
            <a:t>Included in the royalty receipts for petroleum are the both the State's and Commonwealth's share of royalties collected under the Western Australian </a:t>
          </a:r>
          <a:r>
            <a:rPr lang="en-AU" sz="1100" i="1" baseline="0"/>
            <a:t>Petroleum (Submerged Lands) Act 1967 </a:t>
          </a:r>
          <a:r>
            <a:rPr lang="en-AU" sz="1100" baseline="0"/>
            <a:t>(PSLA). The State's share of the Resource Rent Royalty under the </a:t>
          </a:r>
          <a:r>
            <a:rPr lang="en-AU" sz="1100" i="1" baseline="0"/>
            <a:t>Barrow Island Royalty Variation Agreement Act 1985</a:t>
          </a:r>
          <a:r>
            <a:rPr lang="en-AU" sz="1100" baseline="0"/>
            <a:t> is included, but the Commonwealth's share is not included.</a:t>
          </a:r>
        </a:p>
        <a:p>
          <a:endParaRPr lang="en-AU" sz="1100" baseline="0"/>
        </a:p>
        <a:p>
          <a:r>
            <a:rPr lang="en-AU" sz="1100" baseline="0"/>
            <a:t>Included in the State’s royalty receipts for iron ore is an additional lease rental amount which is currently applied under iron ore State Agreement Acts and the Mining Act. The rate is 25 cents per tonne. In the case of some older Agreement Acts, the rate is 25 cents per imperial ton. The additional lease rental applies to iron ore obtained from a mining lease following 15 years from the date the iron ore was first obtained from the mining tenement, by the lessee.</a:t>
          </a:r>
        </a:p>
        <a:p>
          <a:endParaRPr lang="en-AU" sz="1100"/>
        </a:p>
      </xdr:txBody>
    </xdr:sp>
    <xdr:clientData/>
  </xdr:twoCellAnchor>
  <xdr:twoCellAnchor editAs="oneCell">
    <xdr:from>
      <xdr:col>6</xdr:col>
      <xdr:colOff>0</xdr:colOff>
      <xdr:row>6</xdr:row>
      <xdr:rowOff>0</xdr:rowOff>
    </xdr:from>
    <xdr:to>
      <xdr:col>18</xdr:col>
      <xdr:colOff>244800</xdr:colOff>
      <xdr:row>22</xdr:row>
      <xdr:rowOff>494850</xdr:rowOff>
    </xdr:to>
    <xdr:graphicFrame macro="">
      <xdr:nvGraphicFramePr>
        <xdr:cNvPr id="2" name="Chart 1">
          <a:extLst>
            <a:ext uri="{FF2B5EF4-FFF2-40B4-BE49-F238E27FC236}">
              <a16:creationId xmlns:a16="http://schemas.microsoft.com/office/drawing/2014/main" id="{0716C650-221C-4A67-98AB-3A99CF532E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24</xdr:row>
      <xdr:rowOff>0</xdr:rowOff>
    </xdr:from>
    <xdr:to>
      <xdr:col>18</xdr:col>
      <xdr:colOff>244800</xdr:colOff>
      <xdr:row>48</xdr:row>
      <xdr:rowOff>72000</xdr:rowOff>
    </xdr:to>
    <xdr:graphicFrame macro="">
      <xdr:nvGraphicFramePr>
        <xdr:cNvPr id="5" name="Chart 4">
          <a:extLst>
            <a:ext uri="{FF2B5EF4-FFF2-40B4-BE49-F238E27FC236}">
              <a16:creationId xmlns:a16="http://schemas.microsoft.com/office/drawing/2014/main" id="{81DA4466-F5C6-4A76-9EFD-7F8322EBE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5</xdr:row>
      <xdr:rowOff>17835</xdr:rowOff>
    </xdr:to>
    <xdr:pic>
      <xdr:nvPicPr>
        <xdr:cNvPr id="6" name="Picture 5">
          <a:hlinkClick xmlns:r="http://schemas.openxmlformats.org/officeDocument/2006/relationships" r:id="rId3"/>
          <a:extLst>
            <a:ext uri="{FF2B5EF4-FFF2-40B4-BE49-F238E27FC236}">
              <a16:creationId xmlns:a16="http://schemas.microsoft.com/office/drawing/2014/main" id="{7D22801B-C64E-40A2-B8F0-B51974FFCC7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7.xml><?xml version="1.0" encoding="utf-8"?>
<c:userShapes xmlns:c="http://schemas.openxmlformats.org/drawingml/2006/chart">
  <cdr:relSizeAnchor xmlns:cdr="http://schemas.openxmlformats.org/drawingml/2006/chartDrawing">
    <cdr:from>
      <cdr:x>0</cdr:x>
      <cdr:y>0.91742</cdr:y>
    </cdr:from>
    <cdr:to>
      <cdr:x>0.53137</cdr:x>
      <cdr:y>1</cdr:y>
    </cdr:to>
    <cdr:sp macro="" textlink="">
      <cdr:nvSpPr>
        <cdr:cNvPr id="2" name="TextBox 1">
          <a:extLst xmlns:a="http://schemas.openxmlformats.org/drawingml/2006/main">
            <a:ext uri="{FF2B5EF4-FFF2-40B4-BE49-F238E27FC236}">
              <a16:creationId xmlns:a16="http://schemas.microsoft.com/office/drawing/2014/main" id="{00000000-0008-0000-1100-000005000000}"/>
            </a:ext>
          </a:extLst>
        </cdr:cNvPr>
        <cdr:cNvSpPr txBox="1"/>
      </cdr:nvSpPr>
      <cdr:spPr>
        <a:xfrm xmlns:a="http://schemas.openxmlformats.org/drawingml/2006/main">
          <a:off x="0" y="2516680"/>
          <a:ext cx="2429404" cy="2265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 and DTF</a:t>
          </a:r>
        </a:p>
      </cdr:txBody>
    </cdr:sp>
  </cdr:relSizeAnchor>
</c:userShapes>
</file>

<file path=xl/drawings/drawing18.xml><?xml version="1.0" encoding="utf-8"?>
<c:userShapes xmlns:c="http://schemas.openxmlformats.org/drawingml/2006/chart">
  <cdr:relSizeAnchor xmlns:cdr="http://schemas.openxmlformats.org/drawingml/2006/chartDrawing">
    <cdr:from>
      <cdr:x>0</cdr:x>
      <cdr:y>0.94883</cdr:y>
    </cdr:from>
    <cdr:to>
      <cdr:x>0.35107</cdr:x>
      <cdr:y>1</cdr:y>
    </cdr:to>
    <cdr:sp macro="" textlink="">
      <cdr:nvSpPr>
        <cdr:cNvPr id="2" name="TextBox 1"/>
        <cdr:cNvSpPr txBox="1"/>
      </cdr:nvSpPr>
      <cdr:spPr>
        <a:xfrm xmlns:a="http://schemas.openxmlformats.org/drawingml/2006/main">
          <a:off x="0" y="4371795"/>
          <a:ext cx="2429404" cy="2357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 and DTF</a:t>
          </a:r>
        </a:p>
      </cdr:txBody>
    </cdr:sp>
  </cdr:relSizeAnchor>
</c:userShapes>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2999492</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8A13CF7B-E556-470D-A2AB-5DBBB48323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2999492</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3D4EAB5F-45FF-4598-BC50-BA0ED1C177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23</xdr:row>
      <xdr:rowOff>190499</xdr:rowOff>
    </xdr:from>
    <xdr:to>
      <xdr:col>2</xdr:col>
      <xdr:colOff>624176</xdr:colOff>
      <xdr:row>70</xdr:row>
      <xdr:rowOff>33618</xdr:rowOff>
    </xdr:to>
    <xdr:sp macro="" textlink="">
      <xdr:nvSpPr>
        <xdr:cNvPr id="3" name="TextBox 2">
          <a:extLst>
            <a:ext uri="{FF2B5EF4-FFF2-40B4-BE49-F238E27FC236}">
              <a16:creationId xmlns:a16="http://schemas.microsoft.com/office/drawing/2014/main" id="{F6B2AB5C-2C97-4221-9E3E-6DEF813EB3B3}"/>
            </a:ext>
          </a:extLst>
        </xdr:cNvPr>
        <xdr:cNvSpPr txBox="1"/>
      </xdr:nvSpPr>
      <xdr:spPr>
        <a:xfrm>
          <a:off x="0" y="4661646"/>
          <a:ext cx="4860000" cy="8572501"/>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includes those mining and mineral exploration operations regulated under the </a:t>
          </a:r>
          <a:r>
            <a:rPr lang="en-AU" sz="1100" i="1">
              <a:solidFill>
                <a:schemeClr val="dk1"/>
              </a:solidFill>
              <a:effectLst/>
              <a:latin typeface="+mn-lt"/>
              <a:ea typeface="+mn-ea"/>
              <a:cs typeface="+mn-cs"/>
            </a:rPr>
            <a:t>Work Health and Safety Act 2020 </a:t>
          </a:r>
          <a:r>
            <a:rPr lang="en-AU" sz="1100">
              <a:solidFill>
                <a:schemeClr val="dk1"/>
              </a:solidFill>
              <a:effectLst/>
              <a:latin typeface="+mn-lt"/>
              <a:ea typeface="+mn-ea"/>
              <a:cs typeface="+mn-cs"/>
            </a:rPr>
            <a:t>and, prior to April 2022, the </a:t>
          </a:r>
          <a:r>
            <a:rPr lang="en-AU" sz="1100" i="1">
              <a:solidFill>
                <a:schemeClr val="dk1"/>
              </a:solidFill>
              <a:effectLst/>
              <a:latin typeface="+mn-lt"/>
              <a:ea typeface="+mn-ea"/>
              <a:cs typeface="+mn-cs"/>
            </a:rPr>
            <a:t>Mines Safety and Inspection Act 1994</a:t>
          </a:r>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is submitted monthly (before March 2022) and quarterly (from April 2022). The reporting identifies the number of hours worked</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on operating sites, and, from March 2008, exploration personnel working on greenfield sites. It includes sites under State Agreement Acts.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The data is revised regularly with recent periods often changing.</a:t>
          </a:r>
          <a:r>
            <a:rPr lang="en-AU" sz="1100" baseline="0">
              <a:solidFill>
                <a:schemeClr val="dk1"/>
              </a:solidFill>
              <a:effectLst/>
              <a:latin typeface="+mn-lt"/>
              <a:ea typeface="+mn-ea"/>
              <a:cs typeface="+mn-cs"/>
            </a:rPr>
            <a:t> The lastest available data should always be used.</a:t>
          </a: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Port Authorities,</a:t>
          </a:r>
          <a:r>
            <a:rPr lang="en-AU" sz="1100" baseline="0">
              <a:solidFill>
                <a:schemeClr val="dk1"/>
              </a:solidFill>
              <a:effectLst/>
              <a:latin typeface="+mn-lt"/>
              <a:ea typeface="+mn-ea"/>
              <a:cs typeface="+mn-cs"/>
            </a:rPr>
            <a:t> which were previously included under the </a:t>
          </a:r>
          <a:r>
            <a:rPr lang="en-AU" sz="1100" i="1">
              <a:solidFill>
                <a:schemeClr val="dk1"/>
              </a:solidFill>
              <a:effectLst/>
              <a:latin typeface="+mn-lt"/>
              <a:ea typeface="+mn-ea"/>
              <a:cs typeface="+mn-cs"/>
            </a:rPr>
            <a:t>Mines Safety and Inspection Act 1994</a:t>
          </a:r>
          <a:r>
            <a:rPr lang="en-AU" sz="1100" i="0">
              <a:solidFill>
                <a:schemeClr val="dk1"/>
              </a:solidFill>
              <a:effectLst/>
              <a:latin typeface="+mn-lt"/>
              <a:ea typeface="+mn-ea"/>
              <a:cs typeface="+mn-cs"/>
            </a:rPr>
            <a:t> are now excluded under the </a:t>
          </a:r>
          <a:r>
            <a:rPr lang="en-AU" sz="1100" i="1">
              <a:solidFill>
                <a:schemeClr val="dk1"/>
              </a:solidFill>
              <a:effectLst/>
              <a:latin typeface="+mn-lt"/>
              <a:ea typeface="+mn-ea"/>
              <a:cs typeface="+mn-cs"/>
            </a:rPr>
            <a:t>Work Health and Safety Act 2020</a:t>
          </a:r>
          <a:r>
            <a:rPr lang="en-AU" sz="1100" i="0">
              <a:solidFill>
                <a:schemeClr val="dk1"/>
              </a:solidFill>
              <a:effectLst/>
              <a:latin typeface="+mn-lt"/>
              <a:ea typeface="+mn-ea"/>
              <a:cs typeface="+mn-cs"/>
            </a:rPr>
            <a:t>.</a:t>
          </a:r>
          <a:r>
            <a:rPr lang="en-AU" sz="1100" i="0" baseline="0">
              <a:solidFill>
                <a:schemeClr val="dk1"/>
              </a:solidFill>
              <a:effectLst/>
              <a:latin typeface="+mn-lt"/>
              <a:ea typeface="+mn-ea"/>
              <a:cs typeface="+mn-cs"/>
            </a:rPr>
            <a:t> No attempt has been made to adjust for this change.</a:t>
          </a:r>
          <a:endParaRPr lang="en-AU" sz="110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 (ABS).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a:t>
          </a:r>
          <a:r>
            <a:rPr lang="en-AU" sz="1100" b="0" baseline="0">
              <a:solidFill>
                <a:schemeClr val="dk1"/>
              </a:solidFill>
              <a:effectLst/>
              <a:latin typeface="+mn-lt"/>
              <a:ea typeface="+mn-ea"/>
              <a:cs typeface="+mn-cs"/>
            </a:rPr>
            <a:t>not</a:t>
          </a:r>
          <a:r>
            <a:rPr lang="en-AU" sz="1100" baseline="0">
              <a:solidFill>
                <a:schemeClr val="dk1"/>
              </a:solidFill>
              <a:effectLst/>
              <a:latin typeface="+mn-lt"/>
              <a:ea typeface="+mn-ea"/>
              <a:cs typeface="+mn-cs"/>
            </a:rPr>
            <a: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xdr:txBody>
    </xdr:sp>
    <xdr:clientData/>
  </xdr:twoCellAnchor>
  <xdr:twoCellAnchor editAs="oneCell">
    <xdr:from>
      <xdr:col>3</xdr:col>
      <xdr:colOff>414617</xdr:colOff>
      <xdr:row>24</xdr:row>
      <xdr:rowOff>33618</xdr:rowOff>
    </xdr:from>
    <xdr:to>
      <xdr:col>11</xdr:col>
      <xdr:colOff>779029</xdr:colOff>
      <xdr:row>47</xdr:row>
      <xdr:rowOff>152118</xdr:rowOff>
    </xdr:to>
    <xdr:graphicFrame macro="">
      <xdr:nvGraphicFramePr>
        <xdr:cNvPr id="4" name="Chart 3">
          <a:extLst>
            <a:ext uri="{FF2B5EF4-FFF2-40B4-BE49-F238E27FC236}">
              <a16:creationId xmlns:a16="http://schemas.microsoft.com/office/drawing/2014/main" id="{7EA859AB-A724-4244-945E-A61C56009F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638734</xdr:colOff>
      <xdr:row>24</xdr:row>
      <xdr:rowOff>44823</xdr:rowOff>
    </xdr:from>
    <xdr:to>
      <xdr:col>21</xdr:col>
      <xdr:colOff>144775</xdr:colOff>
      <xdr:row>47</xdr:row>
      <xdr:rowOff>163323</xdr:rowOff>
    </xdr:to>
    <xdr:graphicFrame macro="">
      <xdr:nvGraphicFramePr>
        <xdr:cNvPr id="5" name="Chart 4">
          <a:extLst>
            <a:ext uri="{FF2B5EF4-FFF2-40B4-BE49-F238E27FC236}">
              <a16:creationId xmlns:a16="http://schemas.microsoft.com/office/drawing/2014/main" id="{54C154C0-B699-4F04-87B3-8F713DD55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4</xdr:row>
      <xdr:rowOff>174717</xdr:rowOff>
    </xdr:to>
    <xdr:pic>
      <xdr:nvPicPr>
        <xdr:cNvPr id="6" name="Picture 5">
          <a:hlinkClick xmlns:r="http://schemas.openxmlformats.org/officeDocument/2006/relationships" r:id="rId3"/>
          <a:extLst>
            <a:ext uri="{FF2B5EF4-FFF2-40B4-BE49-F238E27FC236}">
              <a16:creationId xmlns:a16="http://schemas.microsoft.com/office/drawing/2014/main" id="{8DFCE1E4-F27A-475F-9DFC-5DD7960BEE2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1.xml><?xml version="1.0" encoding="utf-8"?>
<c:userShapes xmlns:c="http://schemas.openxmlformats.org/drawingml/2006/chart">
  <cdr:relSizeAnchor xmlns:cdr="http://schemas.openxmlformats.org/drawingml/2006/chartDrawing">
    <cdr:from>
      <cdr:x>0.00781</cdr:x>
      <cdr:y>0.94648</cdr:y>
    </cdr:from>
    <cdr:to>
      <cdr:x>0.22906</cdr:x>
      <cdr:y>1</cdr:y>
    </cdr:to>
    <cdr:sp macro="" textlink="">
      <cdr:nvSpPr>
        <cdr:cNvPr id="3073" name="Text Box 1"/>
        <cdr:cNvSpPr txBox="1">
          <a:spLocks xmlns:a="http://schemas.openxmlformats.org/drawingml/2006/main" noChangeArrowheads="1"/>
        </cdr:cNvSpPr>
      </cdr:nvSpPr>
      <cdr:spPr bwMode="auto">
        <a:xfrm xmlns:a="http://schemas.openxmlformats.org/drawingml/2006/main">
          <a:off x="56029" y="4259160"/>
          <a:ext cx="1588041" cy="24084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en-AU" sz="900" b="1" i="0" u="none" strike="noStrike" baseline="0">
              <a:solidFill>
                <a:srgbClr val="000000"/>
              </a:solidFill>
              <a:latin typeface="+mn-lt"/>
              <a:cs typeface="Arial"/>
            </a:rPr>
            <a:t>Source:  LGIRS</a:t>
          </a:r>
          <a:r>
            <a:rPr lang="en-AU" sz="900" b="0" i="0" u="none" strike="noStrike" baseline="0">
              <a:solidFill>
                <a:srgbClr val="000000"/>
              </a:solidFill>
              <a:latin typeface="+mn-lt"/>
              <a:cs typeface="Arial"/>
            </a:rPr>
            <a:t> </a:t>
          </a:r>
        </a:p>
      </cdr:txBody>
    </cdr:sp>
  </cdr:relSizeAnchor>
</c:userShapes>
</file>

<file path=xl/drawings/drawing22.xml><?xml version="1.0" encoding="utf-8"?>
<xdr:wsDr xmlns:xdr="http://schemas.openxmlformats.org/drawingml/2006/spreadsheetDrawing" xmlns:a="http://schemas.openxmlformats.org/drawingml/2006/main">
  <xdr:twoCellAnchor editAs="oneCell">
    <xdr:from>
      <xdr:col>0</xdr:col>
      <xdr:colOff>0</xdr:colOff>
      <xdr:row>24</xdr:row>
      <xdr:rowOff>0</xdr:rowOff>
    </xdr:from>
    <xdr:to>
      <xdr:col>2</xdr:col>
      <xdr:colOff>624176</xdr:colOff>
      <xdr:row>67</xdr:row>
      <xdr:rowOff>33618</xdr:rowOff>
    </xdr:to>
    <xdr:sp macro="" textlink="">
      <xdr:nvSpPr>
        <xdr:cNvPr id="3" name="TextBox 2">
          <a:extLst>
            <a:ext uri="{FF2B5EF4-FFF2-40B4-BE49-F238E27FC236}">
              <a16:creationId xmlns:a16="http://schemas.microsoft.com/office/drawing/2014/main" id="{424B4A7B-B065-40C4-AA28-383AF31AD2D7}"/>
            </a:ext>
          </a:extLst>
        </xdr:cNvPr>
        <xdr:cNvSpPr txBox="1"/>
      </xdr:nvSpPr>
      <xdr:spPr>
        <a:xfrm>
          <a:off x="0" y="4459941"/>
          <a:ext cx="4860000" cy="805703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includes those mining and mineral exploration operations regulated under the </a:t>
          </a:r>
          <a:r>
            <a:rPr lang="en-AU" sz="1100" i="1">
              <a:solidFill>
                <a:schemeClr val="dk1"/>
              </a:solidFill>
              <a:effectLst/>
              <a:latin typeface="+mn-lt"/>
              <a:ea typeface="+mn-ea"/>
              <a:cs typeface="+mn-cs"/>
            </a:rPr>
            <a:t>Work Health and Safety Act 2020 </a:t>
          </a:r>
          <a:r>
            <a:rPr lang="en-AU" sz="1100">
              <a:solidFill>
                <a:schemeClr val="dk1"/>
              </a:solidFill>
              <a:effectLst/>
              <a:latin typeface="+mn-lt"/>
              <a:ea typeface="+mn-ea"/>
              <a:cs typeface="+mn-cs"/>
            </a:rPr>
            <a:t>and, prior to April 2022, the </a:t>
          </a:r>
          <a:r>
            <a:rPr lang="en-AU" sz="1100" i="1">
              <a:solidFill>
                <a:schemeClr val="dk1"/>
              </a:solidFill>
              <a:effectLst/>
              <a:latin typeface="+mn-lt"/>
              <a:ea typeface="+mn-ea"/>
              <a:cs typeface="+mn-cs"/>
            </a:rPr>
            <a:t>Mines Safety and Inspection Act 1994</a:t>
          </a:r>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is submitted monthly (before March 2022) and quarterly (from April 2022). The reporting identifies the number of hours worked</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on operating sites, and, from March 2008, exploration personnel working on greenfield sites. It includes sites under State Agreement Acts.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The data is revised regularly with recent periods often changing.</a:t>
          </a:r>
          <a:r>
            <a:rPr lang="en-AU" sz="1100" baseline="0">
              <a:solidFill>
                <a:schemeClr val="dk1"/>
              </a:solidFill>
              <a:effectLst/>
              <a:latin typeface="+mn-lt"/>
              <a:ea typeface="+mn-ea"/>
              <a:cs typeface="+mn-cs"/>
            </a:rPr>
            <a:t> The lastest available data should always be used.</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Port Authorities,</a:t>
          </a:r>
          <a:r>
            <a:rPr lang="en-AU" sz="1100" baseline="0">
              <a:solidFill>
                <a:schemeClr val="dk1"/>
              </a:solidFill>
              <a:effectLst/>
              <a:latin typeface="+mn-lt"/>
              <a:ea typeface="+mn-ea"/>
              <a:cs typeface="+mn-cs"/>
            </a:rPr>
            <a:t> which were previously included under the </a:t>
          </a:r>
          <a:r>
            <a:rPr lang="en-AU" sz="1100" i="1">
              <a:solidFill>
                <a:schemeClr val="dk1"/>
              </a:solidFill>
              <a:effectLst/>
              <a:latin typeface="+mn-lt"/>
              <a:ea typeface="+mn-ea"/>
              <a:cs typeface="+mn-cs"/>
            </a:rPr>
            <a:t>Mines Safety and Inspection Act 1994</a:t>
          </a:r>
          <a:r>
            <a:rPr lang="en-AU" sz="1100" i="0">
              <a:solidFill>
                <a:schemeClr val="dk1"/>
              </a:solidFill>
              <a:effectLst/>
              <a:latin typeface="+mn-lt"/>
              <a:ea typeface="+mn-ea"/>
              <a:cs typeface="+mn-cs"/>
            </a:rPr>
            <a:t> are now excluded under the </a:t>
          </a:r>
          <a:r>
            <a:rPr lang="en-AU" sz="1100" i="1">
              <a:solidFill>
                <a:schemeClr val="dk1"/>
              </a:solidFill>
              <a:effectLst/>
              <a:latin typeface="+mn-lt"/>
              <a:ea typeface="+mn-ea"/>
              <a:cs typeface="+mn-cs"/>
            </a:rPr>
            <a:t>Work Health and Safety Act 2020</a:t>
          </a:r>
          <a:r>
            <a:rPr lang="en-AU" sz="1100" i="0">
              <a:solidFill>
                <a:schemeClr val="dk1"/>
              </a:solidFill>
              <a:effectLst/>
              <a:latin typeface="+mn-lt"/>
              <a:ea typeface="+mn-ea"/>
              <a:cs typeface="+mn-cs"/>
            </a:rPr>
            <a:t>.</a:t>
          </a:r>
          <a:r>
            <a:rPr lang="en-AU" sz="1100" i="0" baseline="0">
              <a:solidFill>
                <a:schemeClr val="dk1"/>
              </a:solidFill>
              <a:effectLst/>
              <a:latin typeface="+mn-lt"/>
              <a:ea typeface="+mn-ea"/>
              <a:cs typeface="+mn-cs"/>
            </a:rPr>
            <a:t> No attempt has been made to adjust for this change.</a:t>
          </a:r>
          <a:endParaRPr lang="en-AU" sz="110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not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xdr:txBody>
    </xdr:sp>
    <xdr:clientData/>
  </xdr:twoCellAnchor>
  <xdr:twoCellAnchor editAs="oneCell">
    <xdr:from>
      <xdr:col>3</xdr:col>
      <xdr:colOff>58269</xdr:colOff>
      <xdr:row>24</xdr:row>
      <xdr:rowOff>11206</xdr:rowOff>
    </xdr:from>
    <xdr:to>
      <xdr:col>11</xdr:col>
      <xdr:colOff>421000</xdr:colOff>
      <xdr:row>47</xdr:row>
      <xdr:rowOff>129706</xdr:rowOff>
    </xdr:to>
    <xdr:graphicFrame macro="">
      <xdr:nvGraphicFramePr>
        <xdr:cNvPr id="4" name="Chart 3">
          <a:extLst>
            <a:ext uri="{FF2B5EF4-FFF2-40B4-BE49-F238E27FC236}">
              <a16:creationId xmlns:a16="http://schemas.microsoft.com/office/drawing/2014/main" id="{4C1F3C72-7C09-4FD5-A303-B60929B816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56029</xdr:colOff>
      <xdr:row>24</xdr:row>
      <xdr:rowOff>11206</xdr:rowOff>
    </xdr:from>
    <xdr:to>
      <xdr:col>20</xdr:col>
      <xdr:colOff>419320</xdr:colOff>
      <xdr:row>47</xdr:row>
      <xdr:rowOff>129706</xdr:rowOff>
    </xdr:to>
    <xdr:graphicFrame macro="">
      <xdr:nvGraphicFramePr>
        <xdr:cNvPr id="5" name="Chart 4">
          <a:extLst>
            <a:ext uri="{FF2B5EF4-FFF2-40B4-BE49-F238E27FC236}">
              <a16:creationId xmlns:a16="http://schemas.microsoft.com/office/drawing/2014/main" id="{2E6757AA-555D-4AB8-8931-58167C667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4</xdr:row>
      <xdr:rowOff>174717</xdr:rowOff>
    </xdr:to>
    <xdr:pic>
      <xdr:nvPicPr>
        <xdr:cNvPr id="6" name="Picture 5">
          <a:hlinkClick xmlns:r="http://schemas.openxmlformats.org/officeDocument/2006/relationships" r:id="rId3"/>
          <a:extLst>
            <a:ext uri="{FF2B5EF4-FFF2-40B4-BE49-F238E27FC236}">
              <a16:creationId xmlns:a16="http://schemas.microsoft.com/office/drawing/2014/main" id="{970BDED9-341D-4FFD-8696-779BB6CC33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3.xml><?xml version="1.0" encoding="utf-8"?>
<c:userShapes xmlns:c="http://schemas.openxmlformats.org/drawingml/2006/chart">
  <cdr:relSizeAnchor xmlns:cdr="http://schemas.openxmlformats.org/drawingml/2006/chartDrawing">
    <cdr:from>
      <cdr:x>0</cdr:x>
      <cdr:y>0.94648</cdr:y>
    </cdr:from>
    <cdr:to>
      <cdr:x>0.22125</cdr:x>
      <cdr:y>1</cdr:y>
    </cdr:to>
    <cdr:sp macro="" textlink="">
      <cdr:nvSpPr>
        <cdr:cNvPr id="3073" name="Text Box 1"/>
        <cdr:cNvSpPr txBox="1">
          <a:spLocks xmlns:a="http://schemas.openxmlformats.org/drawingml/2006/main" noChangeArrowheads="1"/>
        </cdr:cNvSpPr>
      </cdr:nvSpPr>
      <cdr:spPr bwMode="auto">
        <a:xfrm xmlns:a="http://schemas.openxmlformats.org/drawingml/2006/main">
          <a:off x="0" y="3200400"/>
          <a:ext cx="1298162" cy="18097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en-AU" sz="800" b="1" i="0" u="none" strike="noStrike" baseline="0">
              <a:solidFill>
                <a:srgbClr val="000000"/>
              </a:solidFill>
              <a:latin typeface="Arial"/>
              <a:cs typeface="Arial"/>
            </a:rPr>
            <a:t>Source:  LGIRS</a:t>
          </a:r>
          <a:r>
            <a:rPr lang="en-AU" sz="800" b="0" i="0" u="none" strike="noStrike" baseline="0">
              <a:solidFill>
                <a:srgbClr val="000000"/>
              </a:solidFill>
              <a:latin typeface="Arial"/>
              <a:cs typeface="Arial"/>
            </a:rPr>
            <a:t> </a:t>
          </a:r>
        </a:p>
      </cdr:txBody>
    </cdr:sp>
  </cdr:relSizeAnchor>
</c:userShapes>
</file>

<file path=xl/drawings/drawing24.xml><?xml version="1.0" encoding="utf-8"?>
<xdr:wsDr xmlns:xdr="http://schemas.openxmlformats.org/drawingml/2006/spreadsheetDrawing" xmlns:a="http://schemas.openxmlformats.org/drawingml/2006/main">
  <xdr:twoCellAnchor editAs="oneCell">
    <xdr:from>
      <xdr:col>1</xdr:col>
      <xdr:colOff>112058</xdr:colOff>
      <xdr:row>84</xdr:row>
      <xdr:rowOff>33618</xdr:rowOff>
    </xdr:from>
    <xdr:to>
      <xdr:col>7</xdr:col>
      <xdr:colOff>402175</xdr:colOff>
      <xdr:row>126</xdr:row>
      <xdr:rowOff>11206</xdr:rowOff>
    </xdr:to>
    <xdr:sp macro="" textlink="">
      <xdr:nvSpPr>
        <xdr:cNvPr id="3" name="TextBox 2">
          <a:extLst>
            <a:ext uri="{FF2B5EF4-FFF2-40B4-BE49-F238E27FC236}">
              <a16:creationId xmlns:a16="http://schemas.microsoft.com/office/drawing/2014/main" id="{D10C4AC8-D240-431A-91A3-EF263ECFE9AB}"/>
            </a:ext>
          </a:extLst>
        </xdr:cNvPr>
        <xdr:cNvSpPr txBox="1"/>
      </xdr:nvSpPr>
      <xdr:spPr>
        <a:xfrm>
          <a:off x="3496234" y="12113559"/>
          <a:ext cx="5400000" cy="7978588"/>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includes those mining and mineral exploration operations regulated under the </a:t>
          </a:r>
          <a:r>
            <a:rPr lang="en-AU" sz="1100" i="1">
              <a:solidFill>
                <a:schemeClr val="dk1"/>
              </a:solidFill>
              <a:effectLst/>
              <a:latin typeface="+mn-lt"/>
              <a:ea typeface="+mn-ea"/>
              <a:cs typeface="+mn-cs"/>
            </a:rPr>
            <a:t>Work Health and Safety Act 2020 </a:t>
          </a:r>
          <a:r>
            <a:rPr lang="en-AU" sz="1100">
              <a:solidFill>
                <a:schemeClr val="dk1"/>
              </a:solidFill>
              <a:effectLst/>
              <a:latin typeface="+mn-lt"/>
              <a:ea typeface="+mn-ea"/>
              <a:cs typeface="+mn-cs"/>
            </a:rPr>
            <a:t>and, prior to April 2022, the </a:t>
          </a:r>
          <a:r>
            <a:rPr lang="en-AU" sz="1100" i="1">
              <a:solidFill>
                <a:schemeClr val="dk1"/>
              </a:solidFill>
              <a:effectLst/>
              <a:latin typeface="+mn-lt"/>
              <a:ea typeface="+mn-ea"/>
              <a:cs typeface="+mn-cs"/>
            </a:rPr>
            <a:t>Mines Safety and Inspection Act 1994</a:t>
          </a:r>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is submitted monthly (before March 2022) and quarterly (from April 2022). The reporting identifies the number of hours worked</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on operating sites, and, from March 2008, exploration personnel working on greenfield sites. It includes sites under State Agreement Acts.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The data is revised regularly with recent periods often changing.</a:t>
          </a:r>
          <a:r>
            <a:rPr lang="en-AU" sz="1100" baseline="0">
              <a:solidFill>
                <a:schemeClr val="dk1"/>
              </a:solidFill>
              <a:effectLst/>
              <a:latin typeface="+mn-lt"/>
              <a:ea typeface="+mn-ea"/>
              <a:cs typeface="+mn-cs"/>
            </a:rPr>
            <a:t> The lastest available data should always be used.</a:t>
          </a: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Port Authorities,</a:t>
          </a:r>
          <a:r>
            <a:rPr lang="en-AU" sz="1100" baseline="0">
              <a:solidFill>
                <a:schemeClr val="dk1"/>
              </a:solidFill>
              <a:effectLst/>
              <a:latin typeface="+mn-lt"/>
              <a:ea typeface="+mn-ea"/>
              <a:cs typeface="+mn-cs"/>
            </a:rPr>
            <a:t> which were previously included under the </a:t>
          </a:r>
          <a:r>
            <a:rPr lang="en-AU" sz="1100" i="1">
              <a:solidFill>
                <a:schemeClr val="dk1"/>
              </a:solidFill>
              <a:effectLst/>
              <a:latin typeface="+mn-lt"/>
              <a:ea typeface="+mn-ea"/>
              <a:cs typeface="+mn-cs"/>
            </a:rPr>
            <a:t>Mines Safety and Inspection Act 1994</a:t>
          </a:r>
          <a:r>
            <a:rPr lang="en-AU" sz="1100" i="0">
              <a:solidFill>
                <a:schemeClr val="dk1"/>
              </a:solidFill>
              <a:effectLst/>
              <a:latin typeface="+mn-lt"/>
              <a:ea typeface="+mn-ea"/>
              <a:cs typeface="+mn-cs"/>
            </a:rPr>
            <a:t> are now excluded under the </a:t>
          </a:r>
          <a:r>
            <a:rPr lang="en-AU" sz="1100" i="1">
              <a:solidFill>
                <a:schemeClr val="dk1"/>
              </a:solidFill>
              <a:effectLst/>
              <a:latin typeface="+mn-lt"/>
              <a:ea typeface="+mn-ea"/>
              <a:cs typeface="+mn-cs"/>
            </a:rPr>
            <a:t>Work Health and Safety Act 2020</a:t>
          </a:r>
          <a:r>
            <a:rPr lang="en-AU" sz="1100" i="0">
              <a:solidFill>
                <a:schemeClr val="dk1"/>
              </a:solidFill>
              <a:effectLst/>
              <a:latin typeface="+mn-lt"/>
              <a:ea typeface="+mn-ea"/>
              <a:cs typeface="+mn-cs"/>
            </a:rPr>
            <a:t>.</a:t>
          </a:r>
          <a:r>
            <a:rPr lang="en-AU" sz="1100" i="0" baseline="0">
              <a:solidFill>
                <a:schemeClr val="dk1"/>
              </a:solidFill>
              <a:effectLst/>
              <a:latin typeface="+mn-lt"/>
              <a:ea typeface="+mn-ea"/>
              <a:cs typeface="+mn-cs"/>
            </a:rPr>
            <a:t> No attempt has been made to adjust for this change.</a:t>
          </a:r>
          <a:endParaRPr lang="en-AU" sz="110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not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endParaRPr lang="en-AU" sz="1100"/>
        </a:p>
      </xdr:txBody>
    </xdr:sp>
    <xdr:clientData/>
  </xdr:twoCellAnchor>
  <xdr:twoCellAnchor editAs="oneCell">
    <xdr:from>
      <xdr:col>272</xdr:col>
      <xdr:colOff>2723</xdr:colOff>
      <xdr:row>7</xdr:row>
      <xdr:rowOff>0</xdr:rowOff>
    </xdr:from>
    <xdr:to>
      <xdr:col>286</xdr:col>
      <xdr:colOff>108323</xdr:colOff>
      <xdr:row>31</xdr:row>
      <xdr:rowOff>88950</xdr:rowOff>
    </xdr:to>
    <xdr:graphicFrame macro="">
      <xdr:nvGraphicFramePr>
        <xdr:cNvPr id="6" name="Chart 5">
          <a:extLst>
            <a:ext uri="{FF2B5EF4-FFF2-40B4-BE49-F238E27FC236}">
              <a16:creationId xmlns:a16="http://schemas.microsoft.com/office/drawing/2014/main" id="{FA6E76C0-6F39-4695-889E-BC2DD4E17E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272</xdr:col>
      <xdr:colOff>0</xdr:colOff>
      <xdr:row>33</xdr:row>
      <xdr:rowOff>0</xdr:rowOff>
    </xdr:from>
    <xdr:to>
      <xdr:col>286</xdr:col>
      <xdr:colOff>108322</xdr:colOff>
      <xdr:row>78</xdr:row>
      <xdr:rowOff>88951</xdr:rowOff>
    </xdr:to>
    <xdr:graphicFrame macro="">
      <xdr:nvGraphicFramePr>
        <xdr:cNvPr id="7" name="Chart 6">
          <a:extLst>
            <a:ext uri="{FF2B5EF4-FFF2-40B4-BE49-F238E27FC236}">
              <a16:creationId xmlns:a16="http://schemas.microsoft.com/office/drawing/2014/main" id="{A79D3701-3542-4060-9768-C2976F5D60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5</xdr:row>
      <xdr:rowOff>29041</xdr:rowOff>
    </xdr:to>
    <xdr:pic>
      <xdr:nvPicPr>
        <xdr:cNvPr id="4" name="Picture 3">
          <a:hlinkClick xmlns:r="http://schemas.openxmlformats.org/officeDocument/2006/relationships" r:id="rId3"/>
          <a:extLst>
            <a:ext uri="{FF2B5EF4-FFF2-40B4-BE49-F238E27FC236}">
              <a16:creationId xmlns:a16="http://schemas.microsoft.com/office/drawing/2014/main" id="{658C8F16-0558-4AFC-9C47-BC76D517058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5.xml><?xml version="1.0" encoding="utf-8"?>
<c:userShapes xmlns:c="http://schemas.openxmlformats.org/drawingml/2006/chart">
  <cdr:relSizeAnchor xmlns:cdr="http://schemas.openxmlformats.org/drawingml/2006/chartDrawing">
    <cdr:from>
      <cdr:x>0</cdr:x>
      <cdr:y>0.95887</cdr:y>
    </cdr:from>
    <cdr:to>
      <cdr:x>0.28935</cdr:x>
      <cdr:y>0.99593</cdr:y>
    </cdr:to>
    <cdr:sp macro="" textlink="">
      <cdr:nvSpPr>
        <cdr:cNvPr id="2" name="TextBox 1"/>
        <cdr:cNvSpPr txBox="1"/>
      </cdr:nvSpPr>
      <cdr:spPr>
        <a:xfrm xmlns:a="http://schemas.openxmlformats.org/drawingml/2006/main">
          <a:off x="0" y="4487509"/>
          <a:ext cx="2499984" cy="173441"/>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LGIRS</a:t>
          </a:r>
        </a:p>
      </cdr:txBody>
    </cdr:sp>
  </cdr:relSizeAnchor>
</c:userShapes>
</file>

<file path=xl/drawings/drawing26.xml><?xml version="1.0" encoding="utf-8"?>
<c:userShapes xmlns:c="http://schemas.openxmlformats.org/drawingml/2006/chart">
  <cdr:relSizeAnchor xmlns:cdr="http://schemas.openxmlformats.org/drawingml/2006/chartDrawing">
    <cdr:from>
      <cdr:x>0.00037</cdr:x>
      <cdr:y>0.9536</cdr:y>
    </cdr:from>
    <cdr:to>
      <cdr:x>0.28282</cdr:x>
      <cdr:y>0.98978</cdr:y>
    </cdr:to>
    <cdr:sp macro="" textlink="">
      <cdr:nvSpPr>
        <cdr:cNvPr id="2" name="TextBox 1"/>
        <cdr:cNvSpPr txBox="1"/>
      </cdr:nvSpPr>
      <cdr:spPr>
        <a:xfrm xmlns:a="http://schemas.openxmlformats.org/drawingml/2006/main">
          <a:off x="3182" y="4444338"/>
          <a:ext cx="2429374" cy="168620"/>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LGIRS</a:t>
          </a:r>
        </a:p>
      </cdr:txBody>
    </cdr:sp>
  </cdr:relSizeAnchor>
</c:userShapes>
</file>

<file path=xl/drawings/drawing27.xml><?xml version="1.0" encoding="utf-8"?>
<xdr:wsDr xmlns:xdr="http://schemas.openxmlformats.org/drawingml/2006/spreadsheetDrawing" xmlns:a="http://schemas.openxmlformats.org/drawingml/2006/main">
  <xdr:twoCellAnchor editAs="oneCell">
    <xdr:from>
      <xdr:col>5</xdr:col>
      <xdr:colOff>425823</xdr:colOff>
      <xdr:row>8</xdr:row>
      <xdr:rowOff>65553</xdr:rowOff>
    </xdr:from>
    <xdr:to>
      <xdr:col>10</xdr:col>
      <xdr:colOff>402176</xdr:colOff>
      <xdr:row>50</xdr:row>
      <xdr:rowOff>89647</xdr:rowOff>
    </xdr:to>
    <xdr:sp macro="" textlink="">
      <xdr:nvSpPr>
        <xdr:cNvPr id="3" name="TextBox 2">
          <a:extLst>
            <a:ext uri="{FF2B5EF4-FFF2-40B4-BE49-F238E27FC236}">
              <a16:creationId xmlns:a16="http://schemas.microsoft.com/office/drawing/2014/main" id="{16FFC6AE-D5F1-42D4-9A85-B5E301632E37}"/>
            </a:ext>
          </a:extLst>
        </xdr:cNvPr>
        <xdr:cNvSpPr txBox="1"/>
      </xdr:nvSpPr>
      <xdr:spPr>
        <a:xfrm>
          <a:off x="14018558" y="1802465"/>
          <a:ext cx="5400000" cy="8025094"/>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Data includes those mining and mineral exploration operations regulated under the </a:t>
          </a:r>
          <a:r>
            <a:rPr lang="en-AU" sz="1100" i="1">
              <a:solidFill>
                <a:sysClr val="windowText" lastClr="000000"/>
              </a:solidFill>
              <a:effectLst/>
              <a:latin typeface="+mn-lt"/>
              <a:ea typeface="+mn-ea"/>
              <a:cs typeface="+mn-cs"/>
            </a:rPr>
            <a:t>Work Health and Safety Act 2020 </a:t>
          </a:r>
          <a:r>
            <a:rPr lang="en-AU" sz="1100">
              <a:solidFill>
                <a:sysClr val="windowText" lastClr="000000"/>
              </a:solidFill>
              <a:effectLst/>
              <a:latin typeface="+mn-lt"/>
              <a:ea typeface="+mn-ea"/>
              <a:cs typeface="+mn-cs"/>
            </a:rPr>
            <a:t>and, prior to April 2022, the </a:t>
          </a:r>
          <a:r>
            <a:rPr lang="en-AU" sz="1100" i="1">
              <a:solidFill>
                <a:sysClr val="windowText" lastClr="000000"/>
              </a:solidFill>
              <a:effectLst/>
              <a:latin typeface="+mn-lt"/>
              <a:ea typeface="+mn-ea"/>
              <a:cs typeface="+mn-cs"/>
            </a:rPr>
            <a:t>Mines Safety and Inspection Act 1994</a:t>
          </a:r>
          <a:r>
            <a:rPr lang="en-AU" sz="1100">
              <a:solidFill>
                <a:sysClr val="windowText" lastClr="000000"/>
              </a:solidFill>
              <a:effectLst/>
              <a:latin typeface="+mn-lt"/>
              <a:ea typeface="+mn-ea"/>
              <a:cs typeface="+mn-cs"/>
            </a:rPr>
            <a:t>. </a:t>
          </a:r>
        </a:p>
        <a:p>
          <a:endParaRPr lang="en-AU"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Data is subitted monthly (before March 2022) and quarterly (from April 2022). The reporting identifies the number of hours worked</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on operating sites, and, from March 2008, exploration personnel working on greenfield sites. It includes sites under State Agreement Acts.</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Port Authorities,</a:t>
          </a:r>
          <a:r>
            <a:rPr lang="en-AU" sz="1100" baseline="0">
              <a:solidFill>
                <a:sysClr val="windowText" lastClr="000000"/>
              </a:solidFill>
              <a:effectLst/>
              <a:latin typeface="+mn-lt"/>
              <a:ea typeface="+mn-ea"/>
              <a:cs typeface="+mn-cs"/>
            </a:rPr>
            <a:t> which were previously included under the </a:t>
          </a:r>
          <a:r>
            <a:rPr lang="en-AU" sz="1100" i="1">
              <a:solidFill>
                <a:sysClr val="windowText" lastClr="000000"/>
              </a:solidFill>
              <a:effectLst/>
              <a:latin typeface="+mn-lt"/>
              <a:ea typeface="+mn-ea"/>
              <a:cs typeface="+mn-cs"/>
            </a:rPr>
            <a:t>Mines Safety and Inspection Act 1994</a:t>
          </a:r>
          <a:r>
            <a:rPr lang="en-AU" sz="1100" i="0">
              <a:solidFill>
                <a:sysClr val="windowText" lastClr="000000"/>
              </a:solidFill>
              <a:effectLst/>
              <a:latin typeface="+mn-lt"/>
              <a:ea typeface="+mn-ea"/>
              <a:cs typeface="+mn-cs"/>
            </a:rPr>
            <a:t> are now excluded under the </a:t>
          </a:r>
          <a:r>
            <a:rPr lang="en-AU" sz="1100" i="1">
              <a:solidFill>
                <a:sysClr val="windowText" lastClr="000000"/>
              </a:solidFill>
              <a:effectLst/>
              <a:latin typeface="+mn-lt"/>
              <a:ea typeface="+mn-ea"/>
              <a:cs typeface="+mn-cs"/>
            </a:rPr>
            <a:t>Work Health and Safety Act 2020</a:t>
          </a:r>
          <a:r>
            <a:rPr lang="en-AU" sz="1100" i="0">
              <a:solidFill>
                <a:sysClr val="windowText" lastClr="000000"/>
              </a:solidFill>
              <a:effectLst/>
              <a:latin typeface="+mn-lt"/>
              <a:ea typeface="+mn-ea"/>
              <a:cs typeface="+mn-cs"/>
            </a:rPr>
            <a:t>.</a:t>
          </a:r>
          <a:r>
            <a:rPr lang="en-AU" sz="1100" i="0" baseline="0">
              <a:solidFill>
                <a:sysClr val="windowText" lastClr="000000"/>
              </a:solidFill>
              <a:effectLst/>
              <a:latin typeface="+mn-lt"/>
              <a:ea typeface="+mn-ea"/>
              <a:cs typeface="+mn-cs"/>
            </a:rPr>
            <a:t> No attempt has been made to adjust for this change.</a:t>
          </a:r>
        </a:p>
        <a:p>
          <a:pPr marL="0" marR="0" lvl="0" indent="0" defTabSz="914400" eaLnBrk="1" fontAlgn="auto" latinLnBrk="0" hangingPunct="1">
            <a:lnSpc>
              <a:spcPct val="100000"/>
            </a:lnSpc>
            <a:spcBef>
              <a:spcPts val="0"/>
            </a:spcBef>
            <a:spcAft>
              <a:spcPts val="0"/>
            </a:spcAft>
            <a:buClrTx/>
            <a:buSzTx/>
            <a:buFontTx/>
            <a:buNone/>
            <a:tabLst/>
            <a:defRPr/>
          </a:pPr>
          <a:endParaRPr lang="en-AU" sz="110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The data is revised regularly with recent periods often changing.</a:t>
          </a:r>
          <a:r>
            <a:rPr lang="en-AU" sz="1100" baseline="0">
              <a:solidFill>
                <a:schemeClr val="dk1"/>
              </a:solidFill>
              <a:effectLst/>
              <a:latin typeface="+mn-lt"/>
              <a:ea typeface="+mn-ea"/>
              <a:cs typeface="+mn-cs"/>
            </a:rPr>
            <a:t> The lastest available data should always be used.</a:t>
          </a:r>
          <a:endParaRPr lang="en-AU" sz="110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ysClr val="windowText" lastClr="000000"/>
            </a:solidFill>
            <a:effectLst/>
            <a:latin typeface="+mn-lt"/>
            <a:ea typeface="+mn-ea"/>
            <a:cs typeface="+mn-cs"/>
          </a:endParaRPr>
        </a:p>
        <a:p>
          <a:r>
            <a:rPr lang="en-AU" sz="1100">
              <a:solidFill>
                <a:sysClr val="windowText" lastClr="000000"/>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a:t>
          </a:r>
          <a:r>
            <a:rPr lang="en-AU" sz="1100">
              <a:solidFill>
                <a:schemeClr val="dk1"/>
              </a:solidFill>
              <a:effectLst/>
              <a:latin typeface="+mn-lt"/>
              <a:ea typeface="+mn-ea"/>
              <a:cs typeface="+mn-cs"/>
            </a:rPr>
            <a:t>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not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endParaRPr lang="en-AU" sz="1100"/>
        </a:p>
      </xdr:txBody>
    </xdr:sp>
    <xdr:clientData/>
  </xdr:twoCellAnchor>
  <xdr:twoCellAnchor editAs="oneCell">
    <xdr:from>
      <xdr:col>0</xdr:col>
      <xdr:colOff>0</xdr:colOff>
      <xdr:row>0</xdr:row>
      <xdr:rowOff>0</xdr:rowOff>
    </xdr:from>
    <xdr:to>
      <xdr:col>1</xdr:col>
      <xdr:colOff>948816</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3A0A55C1-8B5B-4C1A-92E9-DB9D652366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2999492</xdr:colOff>
      <xdr:row>5</xdr:row>
      <xdr:rowOff>29041</xdr:rowOff>
    </xdr:to>
    <xdr:pic>
      <xdr:nvPicPr>
        <xdr:cNvPr id="3" name="Picture 2">
          <a:hlinkClick xmlns:r="http://schemas.openxmlformats.org/officeDocument/2006/relationships" r:id="rId1"/>
          <a:extLst>
            <a:ext uri="{FF2B5EF4-FFF2-40B4-BE49-F238E27FC236}">
              <a16:creationId xmlns:a16="http://schemas.microsoft.com/office/drawing/2014/main" id="{299CB9EC-23B6-4A91-B40F-F0863BC005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0</xdr:colOff>
      <xdr:row>18</xdr:row>
      <xdr:rowOff>190498</xdr:rowOff>
    </xdr:from>
    <xdr:to>
      <xdr:col>13</xdr:col>
      <xdr:colOff>0</xdr:colOff>
      <xdr:row>41</xdr:row>
      <xdr:rowOff>56029</xdr:rowOff>
    </xdr:to>
    <xdr:graphicFrame macro="">
      <xdr:nvGraphicFramePr>
        <xdr:cNvPr id="3" name="Chart 2">
          <a:extLst>
            <a:ext uri="{FF2B5EF4-FFF2-40B4-BE49-F238E27FC236}">
              <a16:creationId xmlns:a16="http://schemas.microsoft.com/office/drawing/2014/main" id="{CD0CA735-371B-4AA1-9B57-C470E569FF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424142</xdr:colOff>
      <xdr:row>19</xdr:row>
      <xdr:rowOff>0</xdr:rowOff>
    </xdr:from>
    <xdr:to>
      <xdr:col>20</xdr:col>
      <xdr:colOff>481852</xdr:colOff>
      <xdr:row>41</xdr:row>
      <xdr:rowOff>71559</xdr:rowOff>
    </xdr:to>
    <xdr:graphicFrame macro="">
      <xdr:nvGraphicFramePr>
        <xdr:cNvPr id="4" name="Chart 3">
          <a:extLst>
            <a:ext uri="{FF2B5EF4-FFF2-40B4-BE49-F238E27FC236}">
              <a16:creationId xmlns:a16="http://schemas.microsoft.com/office/drawing/2014/main" id="{55ADFAAC-BDFC-495D-B783-AF8A731E42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313763</xdr:colOff>
      <xdr:row>43</xdr:row>
      <xdr:rowOff>44823</xdr:rowOff>
    </xdr:from>
    <xdr:to>
      <xdr:col>12</xdr:col>
      <xdr:colOff>805587</xdr:colOff>
      <xdr:row>63</xdr:row>
      <xdr:rowOff>67235</xdr:rowOff>
    </xdr:to>
    <xdr:sp macro="" textlink="">
      <xdr:nvSpPr>
        <xdr:cNvPr id="6" name="TextBox 5">
          <a:extLst>
            <a:ext uri="{FF2B5EF4-FFF2-40B4-BE49-F238E27FC236}">
              <a16:creationId xmlns:a16="http://schemas.microsoft.com/office/drawing/2014/main" id="{0A7072E0-B54B-4387-8442-1B72FDA85660}"/>
            </a:ext>
          </a:extLst>
        </xdr:cNvPr>
        <xdr:cNvSpPr txBox="1"/>
      </xdr:nvSpPr>
      <xdr:spPr>
        <a:xfrm>
          <a:off x="4639234" y="8819029"/>
          <a:ext cx="5400000" cy="3832412"/>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ysClr val="windowText" lastClr="000000"/>
              </a:solidFill>
              <a:effectLst/>
              <a:latin typeface="+mn-lt"/>
              <a:ea typeface="+mn-ea"/>
              <a:cs typeface="+mn-cs"/>
            </a:rPr>
            <a:t>Petroleum employment data here represents the numbers of persons employed</a:t>
          </a:r>
          <a:r>
            <a:rPr lang="en-AU" sz="1100" baseline="0">
              <a:solidFill>
                <a:sysClr val="windowText" lastClr="000000"/>
              </a:solidFill>
              <a:effectLst/>
              <a:latin typeface="+mn-lt"/>
              <a:ea typeface="+mn-ea"/>
              <a:cs typeface="+mn-cs"/>
            </a:rPr>
            <a:t> in the 'Oil and Gas Extraction' class of the </a:t>
          </a:r>
          <a:r>
            <a:rPr lang="en-AU" sz="1100">
              <a:solidFill>
                <a:sysClr val="windowText" lastClr="000000"/>
              </a:solidFill>
              <a:effectLst/>
              <a:latin typeface="+mn-lt"/>
              <a:ea typeface="+mn-ea"/>
              <a:cs typeface="+mn-cs"/>
            </a:rPr>
            <a:t>Australian and New Zealand Standard Industrial Classification (ANZSIC)</a:t>
          </a:r>
          <a:r>
            <a:rPr lang="en-AU" sz="1100" baseline="0">
              <a:solidFill>
                <a:sysClr val="windowText" lastClr="000000"/>
              </a:solidFill>
              <a:effectLst/>
              <a:latin typeface="+mn-lt"/>
              <a:ea typeface="+mn-ea"/>
              <a:cs typeface="+mn-cs"/>
            </a:rPr>
            <a:t> in WA.</a:t>
          </a:r>
          <a:endParaRPr lang="en-AU" sz="1100">
            <a:solidFill>
              <a:sysClr val="windowText" lastClr="000000"/>
            </a:solidFill>
            <a:effectLst/>
            <a:latin typeface="+mn-lt"/>
            <a:ea typeface="+mn-ea"/>
            <a:cs typeface="+mn-cs"/>
          </a:endParaRPr>
        </a:p>
        <a:p>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mn-lt"/>
              <a:ea typeface="+mn-ea"/>
              <a:cs typeface="+mn-cs"/>
            </a:rPr>
            <a:t>It includes onshore, coastal waters, and offshore areas. </a:t>
          </a:r>
          <a:r>
            <a:rPr lang="en-AU" sz="1100">
              <a:solidFill>
                <a:sysClr val="windowText" lastClr="000000"/>
              </a:solidFill>
              <a:effectLst/>
              <a:latin typeface="+mn-lt"/>
              <a:ea typeface="+mn-ea"/>
              <a:cs typeface="+mn-cs"/>
            </a:rPr>
            <a:t>It includes persons mainly engaged in producing crude oil, natural gas or condensate through the extraction of oil and gas deposits,</a:t>
          </a:r>
          <a:r>
            <a:rPr lang="en-AU" sz="1100" baseline="0">
              <a:solidFill>
                <a:sysClr val="windowText" lastClr="000000"/>
              </a:solidFill>
              <a:effectLst/>
              <a:latin typeface="+mn-lt"/>
              <a:ea typeface="+mn-ea"/>
              <a:cs typeface="+mn-cs"/>
            </a:rPr>
            <a:t> including LNG facilities. </a:t>
          </a:r>
        </a:p>
        <a:p>
          <a:pPr marL="0" marR="0" lvl="0" indent="0" defTabSz="914400" eaLnBrk="1" fontAlgn="auto" latinLnBrk="0" hangingPunct="1">
            <a:lnSpc>
              <a:spcPct val="100000"/>
            </a:lnSpc>
            <a:spcBef>
              <a:spcPts val="0"/>
            </a:spcBef>
            <a:spcAft>
              <a:spcPts val="0"/>
            </a:spcAft>
            <a:buClrTx/>
            <a:buSzTx/>
            <a:buFontTx/>
            <a:buNone/>
            <a:tabLst/>
            <a:defRPr/>
          </a:pPr>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mn-lt"/>
              <a:ea typeface="+mn-ea"/>
              <a:cs typeface="+mn-cs"/>
            </a:rPr>
            <a:t>It does not include </a:t>
          </a:r>
          <a:r>
            <a:rPr lang="en-AU" sz="1100">
              <a:solidFill>
                <a:sysClr val="windowText" lastClr="000000"/>
              </a:solidFill>
              <a:effectLst/>
              <a:latin typeface="+mn-lt"/>
              <a:ea typeface="+mn-ea"/>
              <a:cs typeface="+mn-cs"/>
            </a:rPr>
            <a:t>employees engaged in natural gas and petroleum exploration. They</a:t>
          </a:r>
          <a:r>
            <a:rPr lang="en-AU" sz="1100" baseline="0">
              <a:solidFill>
                <a:sysClr val="windowText" lastClr="000000"/>
              </a:solidFill>
              <a:effectLst/>
              <a:latin typeface="+mn-lt"/>
              <a:ea typeface="+mn-ea"/>
              <a:cs typeface="+mn-cs"/>
            </a:rPr>
            <a:t> are included under the Exploration subdivision on ANZSIC. There is insufficient data available for this to be reported or included in the figures.</a:t>
          </a:r>
        </a:p>
        <a:p>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It is important to</a:t>
          </a:r>
          <a:r>
            <a:rPr lang="en-AU" sz="1100" baseline="0">
              <a:solidFill>
                <a:sysClr val="windowText" lastClr="000000"/>
              </a:solidFill>
              <a:effectLst/>
              <a:latin typeface="+mn-lt"/>
              <a:ea typeface="+mn-ea"/>
              <a:cs typeface="+mn-cs"/>
            </a:rPr>
            <a:t> note that this data is </a:t>
          </a:r>
          <a:r>
            <a:rPr lang="en-AU" sz="1100">
              <a:solidFill>
                <a:sysClr val="windowText" lastClr="000000"/>
              </a:solidFill>
              <a:effectLst/>
              <a:latin typeface="+mn-lt"/>
              <a:ea typeface="+mn-ea"/>
              <a:cs typeface="+mn-cs"/>
            </a:rPr>
            <a:t>not directly comparable with the</a:t>
          </a:r>
          <a:r>
            <a:rPr lang="en-AU" sz="1100" baseline="0">
              <a:solidFill>
                <a:sysClr val="windowText" lastClr="000000"/>
              </a:solidFill>
              <a:effectLst/>
              <a:latin typeface="+mn-lt"/>
              <a:ea typeface="+mn-ea"/>
              <a:cs typeface="+mn-cs"/>
            </a:rPr>
            <a:t> petroleum employment data previously published by DMPE to March 2022 which included only onshore and coastal waters facilities and pipelines previously covered under the WA </a:t>
          </a:r>
          <a:r>
            <a:rPr lang="en-AU" sz="1100" i="1" baseline="0">
              <a:solidFill>
                <a:sysClr val="windowText" lastClr="000000"/>
              </a:solidFill>
              <a:effectLst/>
              <a:latin typeface="+mn-lt"/>
              <a:ea typeface="+mn-ea"/>
              <a:cs typeface="+mn-cs"/>
            </a:rPr>
            <a:t>Petroleum Pipelines Act 1969</a:t>
          </a:r>
          <a:r>
            <a:rPr lang="en-AU" sz="1100" baseline="0">
              <a:solidFill>
                <a:sysClr val="windowText" lastClr="000000"/>
              </a:solidFill>
              <a:effectLst/>
              <a:latin typeface="+mn-lt"/>
              <a:ea typeface="+mn-ea"/>
              <a:cs typeface="+mn-cs"/>
            </a:rPr>
            <a:t>, </a:t>
          </a:r>
          <a:r>
            <a:rPr lang="en-AU" sz="1100" i="1" baseline="0">
              <a:solidFill>
                <a:sysClr val="windowText" lastClr="000000"/>
              </a:solidFill>
              <a:effectLst/>
              <a:latin typeface="+mn-lt"/>
              <a:ea typeface="+mn-ea"/>
              <a:cs typeface="+mn-cs"/>
            </a:rPr>
            <a:t>Petroleum (Submerged Lands) Act 1982</a:t>
          </a:r>
          <a:r>
            <a:rPr lang="en-AU" sz="1100" baseline="0">
              <a:solidFill>
                <a:sysClr val="windowText" lastClr="000000"/>
              </a:solidFill>
              <a:effectLst/>
              <a:latin typeface="+mn-lt"/>
              <a:ea typeface="+mn-ea"/>
              <a:cs typeface="+mn-cs"/>
            </a:rPr>
            <a:t>, and </a:t>
          </a:r>
          <a:r>
            <a:rPr lang="en-AU" sz="1100" i="1" baseline="0">
              <a:solidFill>
                <a:sysClr val="windowText" lastClr="000000"/>
              </a:solidFill>
              <a:effectLst/>
              <a:latin typeface="+mn-lt"/>
              <a:ea typeface="+mn-ea"/>
              <a:cs typeface="+mn-cs"/>
            </a:rPr>
            <a:t>Petroleum and Geothermal Energy Resources Act 1967</a:t>
          </a:r>
          <a:r>
            <a:rPr lang="en-AU" sz="1100" baseline="0">
              <a:solidFill>
                <a:sysClr val="windowText" lastClr="000000"/>
              </a:solidFill>
              <a:effectLst/>
              <a:latin typeface="+mn-lt"/>
              <a:ea typeface="+mn-ea"/>
              <a:cs typeface="+mn-cs"/>
            </a:rPr>
            <a:t>. This was discontinued in March 2022 due to changes in reporting requirements under the </a:t>
          </a:r>
          <a:r>
            <a:rPr lang="en-AU" sz="1100" i="1" baseline="0">
              <a:solidFill>
                <a:sysClr val="windowText" lastClr="000000"/>
              </a:solidFill>
              <a:effectLst/>
              <a:latin typeface="+mn-lt"/>
              <a:ea typeface="+mn-ea"/>
              <a:cs typeface="+mn-cs"/>
            </a:rPr>
            <a:t>Work Health and Safety Act 2020</a:t>
          </a:r>
          <a:r>
            <a:rPr lang="en-AU" sz="1100" baseline="0">
              <a:solidFill>
                <a:sysClr val="windowText" lastClr="000000"/>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mn-lt"/>
              <a:ea typeface="+mn-ea"/>
              <a:cs typeface="+mn-cs"/>
            </a:rPr>
            <a:t>Due to differences in methodology and classifications, it should also not be combined with the mining employment data provided as part of this publication.</a:t>
          </a:r>
          <a:endParaRPr lang="en-AU" sz="1100">
            <a:solidFill>
              <a:sysClr val="windowText" lastClr="000000"/>
            </a:solidFill>
            <a:effectLst/>
            <a:latin typeface="+mn-lt"/>
            <a:ea typeface="+mn-ea"/>
            <a:cs typeface="+mn-cs"/>
          </a:endParaRPr>
        </a:p>
      </xdr:txBody>
    </xdr:sp>
    <xdr:clientData/>
  </xdr:twoCellAnchor>
  <xdr:twoCellAnchor editAs="oneCell">
    <xdr:from>
      <xdr:col>0</xdr:col>
      <xdr:colOff>0</xdr:colOff>
      <xdr:row>0</xdr:row>
      <xdr:rowOff>0</xdr:rowOff>
    </xdr:from>
    <xdr:to>
      <xdr:col>4</xdr:col>
      <xdr:colOff>41139</xdr:colOff>
      <xdr:row>5</xdr:row>
      <xdr:rowOff>29041</xdr:rowOff>
    </xdr:to>
    <xdr:pic>
      <xdr:nvPicPr>
        <xdr:cNvPr id="5" name="Picture 4">
          <a:hlinkClick xmlns:r="http://schemas.openxmlformats.org/officeDocument/2006/relationships" r:id="rId3"/>
          <a:extLst>
            <a:ext uri="{FF2B5EF4-FFF2-40B4-BE49-F238E27FC236}">
              <a16:creationId xmlns:a16="http://schemas.microsoft.com/office/drawing/2014/main" id="{36020ED6-16DF-4594-9F97-13C44AD8064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342900</xdr:colOff>
      <xdr:row>6</xdr:row>
      <xdr:rowOff>0</xdr:rowOff>
    </xdr:from>
    <xdr:to>
      <xdr:col>6</xdr:col>
      <xdr:colOff>0</xdr:colOff>
      <xdr:row>19</xdr:row>
      <xdr:rowOff>76199</xdr:rowOff>
    </xdr:to>
    <xdr:sp macro="" textlink="">
      <xdr:nvSpPr>
        <xdr:cNvPr id="3" name="Text Box 2">
          <a:extLst>
            <a:ext uri="{FF2B5EF4-FFF2-40B4-BE49-F238E27FC236}">
              <a16:creationId xmlns:a16="http://schemas.microsoft.com/office/drawing/2014/main" id="{2BBD0592-EE9A-46F1-90D8-C20A8619B41D}"/>
            </a:ext>
          </a:extLst>
        </xdr:cNvPr>
        <xdr:cNvSpPr txBox="1">
          <a:spLocks noChangeArrowheads="1"/>
        </xdr:cNvSpPr>
      </xdr:nvSpPr>
      <xdr:spPr bwMode="auto">
        <a:xfrm>
          <a:off x="342900" y="1143000"/>
          <a:ext cx="6210300" cy="2600324"/>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vertOverflow="clip" wrap="square" lIns="27432" tIns="27432" rIns="0" bIns="0" anchor="t" upright="1"/>
        <a:lstStyle/>
        <a:p>
          <a:pPr algn="l" rtl="0">
            <a:defRPr sz="1000"/>
          </a:pPr>
          <a:r>
            <a:rPr lang="en-AU" sz="1100" b="1" i="0" u="none" strike="noStrike" baseline="0">
              <a:solidFill>
                <a:srgbClr val="000000"/>
              </a:solidFill>
              <a:latin typeface="+mn-lt"/>
            </a:rPr>
            <a:t>Navigation: 		</a:t>
          </a:r>
          <a:r>
            <a:rPr lang="en-AU" sz="1100" b="0" i="0" u="none" strike="noStrike" baseline="0">
              <a:solidFill>
                <a:srgbClr val="000000"/>
              </a:solidFill>
              <a:latin typeface="+mn-lt"/>
            </a:rPr>
            <a:t>All tabs have a link to the index tab in the top left. Clicking on this logo will 		return you to the index page. Alternately, navigate through the named 		tabs at the bottom of the screen.</a:t>
          </a:r>
        </a:p>
        <a:p>
          <a:pPr algn="l" rtl="0">
            <a:defRPr sz="1000"/>
          </a:pPr>
          <a:endParaRPr lang="en-AU" sz="1100" b="0" i="0" u="none" strike="noStrike" baseline="0">
            <a:solidFill>
              <a:srgbClr val="000000"/>
            </a:solidFill>
            <a:latin typeface="+mn-lt"/>
          </a:endParaRPr>
        </a:p>
        <a:p>
          <a:pPr rtl="0"/>
          <a:r>
            <a:rPr lang="en-AU" sz="1100" b="1" i="0" baseline="0">
              <a:effectLst/>
              <a:latin typeface="+mn-lt"/>
              <a:ea typeface="+mn-ea"/>
              <a:cs typeface="+mn-cs"/>
            </a:rPr>
            <a:t>Dynamic Graphs: 	</a:t>
          </a:r>
          <a:r>
            <a:rPr lang="en-AU" sz="1100" b="0" i="0" baseline="0">
              <a:effectLst/>
              <a:latin typeface="+mn-lt"/>
              <a:ea typeface="+mn-ea"/>
              <a:cs typeface="+mn-cs"/>
            </a:rPr>
            <a:t>Several of the charts and graphs in this workbook are dynamic, i.e. they 		can display more than one set of data. To the right, you can see some 		examples of cells formatted for input.  Where you see similar cells 		throughout the workbook, you may click on them to manipulate displayed 		data.</a:t>
          </a:r>
          <a:endParaRPr lang="en-AU">
            <a:effectLst/>
          </a:endParaRPr>
        </a:p>
        <a:p>
          <a:pPr rtl="0"/>
          <a:r>
            <a:rPr lang="en-AU" sz="1100" b="0" i="0" baseline="0">
              <a:effectLst/>
              <a:latin typeface="+mn-lt"/>
              <a:ea typeface="+mn-ea"/>
              <a:cs typeface="+mn-cs"/>
            </a:rPr>
            <a:t>		</a:t>
          </a:r>
        </a:p>
        <a:p>
          <a:pPr rtl="0"/>
          <a:r>
            <a:rPr lang="en-AU" sz="1100" b="0" i="0" baseline="0">
              <a:effectLst/>
              <a:latin typeface="+mn-lt"/>
              <a:ea typeface="+mn-ea"/>
              <a:cs typeface="+mn-cs"/>
            </a:rPr>
            <a:t>		Note that all the raw data underpinning these dynamic tables and graphs 		is available within the workbook, though not necessarily within the same 		tab. For example, the raw data that populates the "Calendar Year 		Employment" tab is found in the "Historic Employment 			Monthly" tab.</a:t>
          </a:r>
          <a:endParaRPr lang="en-AU">
            <a:effectLst/>
          </a:endParaRPr>
        </a:p>
      </xdr:txBody>
    </xdr:sp>
    <xdr:clientData/>
  </xdr:twoCellAnchor>
  <xdr:twoCellAnchor editAs="oneCell">
    <xdr:from>
      <xdr:col>0</xdr:col>
      <xdr:colOff>0</xdr:colOff>
      <xdr:row>0</xdr:row>
      <xdr:rowOff>0</xdr:rowOff>
    </xdr:from>
    <xdr:to>
      <xdr:col>1</xdr:col>
      <xdr:colOff>1822874</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4364E844-6035-47C8-A76B-CD66788EEB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2</xdr:col>
      <xdr:colOff>84176</xdr:colOff>
      <xdr:row>25</xdr:row>
      <xdr:rowOff>168089</xdr:rowOff>
    </xdr:to>
    <xdr:sp macro="" textlink="">
      <xdr:nvSpPr>
        <xdr:cNvPr id="3" name="TextBox 2">
          <a:extLst>
            <a:ext uri="{FF2B5EF4-FFF2-40B4-BE49-F238E27FC236}">
              <a16:creationId xmlns:a16="http://schemas.microsoft.com/office/drawing/2014/main" id="{5F2DB652-007F-4DC0-B275-C40F865B636C}"/>
            </a:ext>
          </a:extLst>
        </xdr:cNvPr>
        <xdr:cNvSpPr txBox="1"/>
      </xdr:nvSpPr>
      <xdr:spPr>
        <a:xfrm>
          <a:off x="0" y="2543735"/>
          <a:ext cx="4320000" cy="2454089"/>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Petroleum employment data here includes only onshore and coastal waters facilities and pipelines previously covered under the WA </a:t>
          </a:r>
          <a:r>
            <a:rPr lang="en-AU" sz="1100" i="1">
              <a:solidFill>
                <a:schemeClr val="dk1"/>
              </a:solidFill>
              <a:effectLst/>
              <a:latin typeface="+mn-lt"/>
              <a:ea typeface="+mn-ea"/>
              <a:cs typeface="+mn-cs"/>
            </a:rPr>
            <a:t>Petroleum Pipelines Act 1969</a:t>
          </a:r>
          <a:r>
            <a:rPr lang="en-AU" sz="1100">
              <a:solidFill>
                <a:schemeClr val="dk1"/>
              </a:solidFill>
              <a:effectLst/>
              <a:latin typeface="+mn-lt"/>
              <a:ea typeface="+mn-ea"/>
              <a:cs typeface="+mn-cs"/>
            </a:rPr>
            <a:t>, </a:t>
          </a:r>
          <a:r>
            <a:rPr lang="en-AU" sz="1100" i="1">
              <a:solidFill>
                <a:schemeClr val="dk1"/>
              </a:solidFill>
              <a:effectLst/>
              <a:latin typeface="+mn-lt"/>
              <a:ea typeface="+mn-ea"/>
              <a:cs typeface="+mn-cs"/>
            </a:rPr>
            <a:t>Petroleum (Submerged Lands) Act 1982</a:t>
          </a:r>
          <a:r>
            <a:rPr lang="en-AU" sz="1100">
              <a:solidFill>
                <a:schemeClr val="dk1"/>
              </a:solidFill>
              <a:effectLst/>
              <a:latin typeface="+mn-lt"/>
              <a:ea typeface="+mn-ea"/>
              <a:cs typeface="+mn-cs"/>
            </a:rPr>
            <a:t>, and </a:t>
          </a:r>
          <a:r>
            <a:rPr lang="en-AU" sz="1100" i="1">
              <a:solidFill>
                <a:schemeClr val="dk1"/>
              </a:solidFill>
              <a:effectLst/>
              <a:latin typeface="+mn-lt"/>
              <a:ea typeface="+mn-ea"/>
              <a:cs typeface="+mn-cs"/>
            </a:rPr>
            <a:t>Petroleum and</a:t>
          </a:r>
          <a:r>
            <a:rPr lang="en-AU" sz="1100" i="1" baseline="0">
              <a:solidFill>
                <a:schemeClr val="dk1"/>
              </a:solidFill>
              <a:effectLst/>
              <a:latin typeface="+mn-lt"/>
              <a:ea typeface="+mn-ea"/>
              <a:cs typeface="+mn-cs"/>
            </a:rPr>
            <a:t> </a:t>
          </a:r>
          <a:r>
            <a:rPr lang="en-AU" sz="1100" i="1">
              <a:solidFill>
                <a:schemeClr val="dk1"/>
              </a:solidFill>
              <a:effectLst/>
              <a:latin typeface="+mn-lt"/>
              <a:ea typeface="+mn-ea"/>
              <a:cs typeface="+mn-cs"/>
            </a:rPr>
            <a:t>Geothermal Energy Resources Act 1967</a:t>
          </a:r>
          <a:r>
            <a:rPr lang="en-AU" sz="11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It does not include LNG and land-based service facilities.</a:t>
          </a: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For petroleum operations under this legislation, employment data was </a:t>
          </a:r>
          <a:r>
            <a:rPr lang="en-AU" sz="1100">
              <a:solidFill>
                <a:sysClr val="windowText" lastClr="000000"/>
              </a:solidFill>
              <a:effectLst/>
              <a:latin typeface="+mn-lt"/>
              <a:ea typeface="+mn-ea"/>
              <a:cs typeface="+mn-cs"/>
            </a:rPr>
            <a:t>previously provided in monthly safety reports submitted to the Department of Local Government, Industry Regulation and Safety. </a:t>
          </a:r>
        </a:p>
        <a:p>
          <a:endParaRPr lang="en-AU" sz="1100" baseline="0">
            <a:solidFill>
              <a:schemeClr val="dk1"/>
            </a:solidFill>
            <a:effectLst/>
            <a:latin typeface="+mn-lt"/>
            <a:ea typeface="+mn-ea"/>
            <a:cs typeface="+mn-cs"/>
          </a:endParaRPr>
        </a:p>
        <a:p>
          <a:r>
            <a:rPr lang="en-AU" sz="1100" baseline="0">
              <a:solidFill>
                <a:schemeClr val="dk1"/>
              </a:solidFill>
              <a:effectLst/>
              <a:latin typeface="+mn-lt"/>
              <a:ea typeface="+mn-ea"/>
              <a:cs typeface="+mn-cs"/>
            </a:rPr>
            <a:t>This data was discontinued in March 2022 due to changes in reporting requirements under the </a:t>
          </a:r>
          <a:r>
            <a:rPr lang="en-AU" sz="1100" i="1" baseline="0">
              <a:solidFill>
                <a:schemeClr val="dk1"/>
              </a:solidFill>
              <a:effectLst/>
              <a:latin typeface="+mn-lt"/>
              <a:ea typeface="+mn-ea"/>
              <a:cs typeface="+mn-cs"/>
            </a:rPr>
            <a:t>Work Health and Safety Act 2020</a:t>
          </a:r>
          <a:r>
            <a:rPr lang="en-AU" sz="1100" baseline="0">
              <a:solidFill>
                <a:schemeClr val="dk1"/>
              </a:solidFill>
              <a:effectLst/>
              <a:latin typeface="+mn-lt"/>
              <a:ea typeface="+mn-ea"/>
              <a:cs typeface="+mn-cs"/>
            </a:rPr>
            <a:t>.</a:t>
          </a:r>
          <a:endParaRPr lang="en-AU" sz="1100">
            <a:solidFill>
              <a:schemeClr val="dk1"/>
            </a:solidFill>
            <a:effectLst/>
            <a:latin typeface="+mn-lt"/>
            <a:ea typeface="+mn-ea"/>
            <a:cs typeface="+mn-cs"/>
          </a:endParaRPr>
        </a:p>
      </xdr:txBody>
    </xdr:sp>
    <xdr:clientData/>
  </xdr:twoCellAnchor>
  <xdr:twoCellAnchor editAs="oneCell">
    <xdr:from>
      <xdr:col>0</xdr:col>
      <xdr:colOff>0</xdr:colOff>
      <xdr:row>0</xdr:row>
      <xdr:rowOff>0</xdr:rowOff>
    </xdr:from>
    <xdr:to>
      <xdr:col>0</xdr:col>
      <xdr:colOff>2999492</xdr:colOff>
      <xdr:row>4</xdr:row>
      <xdr:rowOff>174717</xdr:rowOff>
    </xdr:to>
    <xdr:pic>
      <xdr:nvPicPr>
        <xdr:cNvPr id="4" name="Picture 3">
          <a:hlinkClick xmlns:r="http://schemas.openxmlformats.org/officeDocument/2006/relationships" r:id="rId1"/>
          <a:extLst>
            <a:ext uri="{FF2B5EF4-FFF2-40B4-BE49-F238E27FC236}">
              <a16:creationId xmlns:a16="http://schemas.microsoft.com/office/drawing/2014/main" id="{A8B82A3A-2CCC-4C3A-AA73-1724EDEF4E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257736</xdr:colOff>
      <xdr:row>18</xdr:row>
      <xdr:rowOff>156883</xdr:rowOff>
    </xdr:from>
    <xdr:to>
      <xdr:col>17</xdr:col>
      <xdr:colOff>1030941</xdr:colOff>
      <xdr:row>40</xdr:row>
      <xdr:rowOff>170649</xdr:rowOff>
    </xdr:to>
    <xdr:graphicFrame macro="">
      <xdr:nvGraphicFramePr>
        <xdr:cNvPr id="4" name="Chart 3">
          <a:extLst>
            <a:ext uri="{FF2B5EF4-FFF2-40B4-BE49-F238E27FC236}">
              <a16:creationId xmlns:a16="http://schemas.microsoft.com/office/drawing/2014/main" id="{476F9412-7DE0-497A-AA99-3FB0579922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246530</xdr:colOff>
      <xdr:row>41</xdr:row>
      <xdr:rowOff>179294</xdr:rowOff>
    </xdr:from>
    <xdr:to>
      <xdr:col>18</xdr:col>
      <xdr:colOff>42804</xdr:colOff>
      <xdr:row>47</xdr:row>
      <xdr:rowOff>44823</xdr:rowOff>
    </xdr:to>
    <xdr:sp macro="" textlink="">
      <xdr:nvSpPr>
        <xdr:cNvPr id="6" name="TextBox 5">
          <a:extLst>
            <a:ext uri="{FF2B5EF4-FFF2-40B4-BE49-F238E27FC236}">
              <a16:creationId xmlns:a16="http://schemas.microsoft.com/office/drawing/2014/main" id="{AF54838B-6A68-4D23-8C07-2483C1F6E5B8}"/>
            </a:ext>
          </a:extLst>
        </xdr:cNvPr>
        <xdr:cNvSpPr txBox="1"/>
      </xdr:nvSpPr>
      <xdr:spPr>
        <a:xfrm>
          <a:off x="7642412" y="8785412"/>
          <a:ext cx="7236980" cy="1019735"/>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t>The mining economic</a:t>
          </a:r>
          <a:r>
            <a:rPr lang="en-AU" sz="1100" baseline="0"/>
            <a:t> impact</a:t>
          </a:r>
          <a:r>
            <a:rPr lang="en-AU" sz="1100"/>
            <a:t> figures reported by the ABS do not capture the mining</a:t>
          </a:r>
          <a:r>
            <a:rPr lang="en-AU" sz="1100" baseline="0"/>
            <a:t> and petroleum industry's total gross value added contribution</a:t>
          </a:r>
          <a:r>
            <a:rPr lang="en-AU" sz="1100"/>
            <a:t>.  Mining is broadly defined by the ABS as the extraction of minerals occurring naturally as solids such as coal and ores, and liquids such as crude petroleum and natural gas.  Downstream mining activities such as smelting of minerals or ores (other than preliminary smelting of gold) or refining</a:t>
          </a:r>
          <a:r>
            <a:rPr lang="en-AU" sz="1100">
              <a:solidFill>
                <a:schemeClr val="dk1"/>
              </a:solidFill>
              <a:effectLst/>
              <a:latin typeface="+mn-lt"/>
              <a:ea typeface="+mn-ea"/>
              <a:cs typeface="+mn-cs"/>
            </a:rPr>
            <a:t>, and LNG production, </a:t>
          </a:r>
          <a:r>
            <a:rPr lang="en-AU" sz="1100"/>
            <a:t>are classified as manufacturing activities.</a:t>
          </a:r>
        </a:p>
        <a:p>
          <a:endParaRPr lang="en-AU" sz="1100" baseline="0"/>
        </a:p>
      </xdr:txBody>
    </xdr:sp>
    <xdr:clientData/>
  </xdr:twoCellAnchor>
  <xdr:twoCellAnchor editAs="oneCell">
    <xdr:from>
      <xdr:col>0</xdr:col>
      <xdr:colOff>0</xdr:colOff>
      <xdr:row>0</xdr:row>
      <xdr:rowOff>0</xdr:rowOff>
    </xdr:from>
    <xdr:to>
      <xdr:col>5</xdr:col>
      <xdr:colOff>41139</xdr:colOff>
      <xdr:row>5</xdr:row>
      <xdr:rowOff>29041</xdr:rowOff>
    </xdr:to>
    <xdr:pic>
      <xdr:nvPicPr>
        <xdr:cNvPr id="3" name="Picture 2">
          <a:hlinkClick xmlns:r="http://schemas.openxmlformats.org/officeDocument/2006/relationships" r:id="rId2"/>
          <a:extLst>
            <a:ext uri="{FF2B5EF4-FFF2-40B4-BE49-F238E27FC236}">
              <a16:creationId xmlns:a16="http://schemas.microsoft.com/office/drawing/2014/main" id="{F9EA1DC7-ABF8-4F48-AB29-B0CE2D23294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7</xdr:row>
      <xdr:rowOff>0</xdr:rowOff>
    </xdr:from>
    <xdr:to>
      <xdr:col>17</xdr:col>
      <xdr:colOff>543706</xdr:colOff>
      <xdr:row>30</xdr:row>
      <xdr:rowOff>107294</xdr:rowOff>
    </xdr:to>
    <xdr:graphicFrame macro="">
      <xdr:nvGraphicFramePr>
        <xdr:cNvPr id="3" name="Chart 2">
          <a:extLst>
            <a:ext uri="{FF2B5EF4-FFF2-40B4-BE49-F238E27FC236}">
              <a16:creationId xmlns:a16="http://schemas.microsoft.com/office/drawing/2014/main" id="{91592D9A-F8A2-4EC9-A8D5-5F41A38CF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32</xdr:row>
      <xdr:rowOff>0</xdr:rowOff>
    </xdr:from>
    <xdr:to>
      <xdr:col>17</xdr:col>
      <xdr:colOff>543706</xdr:colOff>
      <xdr:row>55</xdr:row>
      <xdr:rowOff>118500</xdr:rowOff>
    </xdr:to>
    <xdr:graphicFrame macro="">
      <xdr:nvGraphicFramePr>
        <xdr:cNvPr id="4" name="Chart 3">
          <a:extLst>
            <a:ext uri="{FF2B5EF4-FFF2-40B4-BE49-F238E27FC236}">
              <a16:creationId xmlns:a16="http://schemas.microsoft.com/office/drawing/2014/main" id="{C147D4D5-4203-4219-BC67-C6C2F6B20C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5</xdr:row>
      <xdr:rowOff>17835</xdr:rowOff>
    </xdr:to>
    <xdr:pic>
      <xdr:nvPicPr>
        <xdr:cNvPr id="5" name="Picture 4">
          <a:hlinkClick xmlns:r="http://schemas.openxmlformats.org/officeDocument/2006/relationships" r:id="rId3"/>
          <a:extLst>
            <a:ext uri="{FF2B5EF4-FFF2-40B4-BE49-F238E27FC236}">
              <a16:creationId xmlns:a16="http://schemas.microsoft.com/office/drawing/2014/main" id="{C1F20A37-E4A7-4D95-9C62-1FC526B3266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6.xml><?xml version="1.0" encoding="utf-8"?>
<c:userShapes xmlns:c="http://schemas.openxmlformats.org/drawingml/2006/chart">
  <cdr:relSizeAnchor xmlns:cdr="http://schemas.openxmlformats.org/drawingml/2006/chartDrawing">
    <cdr:from>
      <cdr:x>0</cdr:x>
      <cdr:y>0.94294</cdr:y>
    </cdr:from>
    <cdr:to>
      <cdr:x>0.53137</cdr:x>
      <cdr:y>1</cdr:y>
    </cdr:to>
    <cdr:sp macro="" textlink="">
      <cdr:nvSpPr>
        <cdr:cNvPr id="2" name="TextBox 1">
          <a:extLst xmlns:a="http://schemas.openxmlformats.org/drawingml/2006/main">
            <a:ext uri="{FF2B5EF4-FFF2-40B4-BE49-F238E27FC236}">
              <a16:creationId xmlns:a16="http://schemas.microsoft.com/office/drawing/2014/main" id="{00000000-0008-0000-1100-000005000000}"/>
            </a:ext>
          </a:extLst>
        </cdr:cNvPr>
        <cdr:cNvSpPr txBox="1"/>
      </cdr:nvSpPr>
      <cdr:spPr>
        <a:xfrm xmlns:a="http://schemas.openxmlformats.org/drawingml/2006/main">
          <a:off x="0" y="4290912"/>
          <a:ext cx="3968059" cy="2596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a:t>
          </a:r>
          <a:r>
            <a:rPr lang="en-AU" sz="900" b="1" baseline="0">
              <a:latin typeface="+mn-lt"/>
            </a:rPr>
            <a:t> and ABS</a:t>
          </a:r>
          <a:endParaRPr lang="en-AU" sz="900" b="1">
            <a:latin typeface="+mn-lt"/>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cdr:x>
      <cdr:y>0.94883</cdr:y>
    </cdr:from>
    <cdr:to>
      <cdr:x>0.35107</cdr:x>
      <cdr:y>1</cdr:y>
    </cdr:to>
    <cdr:sp macro="" textlink="">
      <cdr:nvSpPr>
        <cdr:cNvPr id="2" name="TextBox 1"/>
        <cdr:cNvSpPr txBox="1"/>
      </cdr:nvSpPr>
      <cdr:spPr>
        <a:xfrm xmlns:a="http://schemas.openxmlformats.org/drawingml/2006/main">
          <a:off x="0" y="4371795"/>
          <a:ext cx="2429404" cy="2357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 and ABS</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42</xdr:row>
      <xdr:rowOff>0</xdr:rowOff>
    </xdr:from>
    <xdr:to>
      <xdr:col>6</xdr:col>
      <xdr:colOff>261408</xdr:colOff>
      <xdr:row>46</xdr:row>
      <xdr:rowOff>38100</xdr:rowOff>
    </xdr:to>
    <xdr:sp macro="" textlink="">
      <xdr:nvSpPr>
        <xdr:cNvPr id="4" name="TextBox 3">
          <a:extLst>
            <a:ext uri="{FF2B5EF4-FFF2-40B4-BE49-F238E27FC236}">
              <a16:creationId xmlns:a16="http://schemas.microsoft.com/office/drawing/2014/main" id="{25FB7EF6-D37C-4EE2-8A3E-C4BEFDB63B90}"/>
            </a:ext>
          </a:extLst>
        </xdr:cNvPr>
        <xdr:cNvSpPr txBox="1"/>
      </xdr:nvSpPr>
      <xdr:spPr>
        <a:xfrm>
          <a:off x="0" y="8039100"/>
          <a:ext cx="9500658" cy="8001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Mineral and petroleum exports include gold, mineral sands, and nickel refined or processed in Western Australia but produced </a:t>
          </a:r>
          <a:r>
            <a:rPr lang="en-AU" sz="1100" baseline="0">
              <a:solidFill>
                <a:schemeClr val="dk1"/>
              </a:solidFill>
              <a:effectLst/>
              <a:latin typeface="+mn-lt"/>
              <a:ea typeface="+mn-ea"/>
              <a:cs typeface="+mn-cs"/>
            </a:rPr>
            <a:t>in other State and Territories or overseas.</a:t>
          </a:r>
        </a:p>
        <a:p>
          <a:endParaRPr lang="en-AU" sz="1100" baseline="0">
            <a:solidFill>
              <a:schemeClr val="dk1"/>
            </a:solidFill>
            <a:effectLst/>
            <a:latin typeface="+mn-lt"/>
            <a:ea typeface="+mn-ea"/>
            <a:cs typeface="+mn-cs"/>
          </a:endParaRPr>
        </a:p>
        <a:p>
          <a:r>
            <a:rPr lang="en-AU" baseline="0">
              <a:effectLst/>
            </a:rPr>
            <a:t>n/a is not available. Where data is n/a, an estimate may be included in Other.</a:t>
          </a:r>
          <a:endParaRPr lang="en-AU">
            <a:effectLst/>
          </a:endParaRPr>
        </a:p>
      </xdr:txBody>
    </xdr:sp>
    <xdr:clientData/>
  </xdr:twoCellAnchor>
  <xdr:twoCellAnchor editAs="oneCell">
    <xdr:from>
      <xdr:col>0</xdr:col>
      <xdr:colOff>0</xdr:colOff>
      <xdr:row>0</xdr:row>
      <xdr:rowOff>0</xdr:rowOff>
    </xdr:from>
    <xdr:to>
      <xdr:col>0</xdr:col>
      <xdr:colOff>2999492</xdr:colOff>
      <xdr:row>5</xdr:row>
      <xdr:rowOff>29041</xdr:rowOff>
    </xdr:to>
    <xdr:pic>
      <xdr:nvPicPr>
        <xdr:cNvPr id="3" name="Picture 2">
          <a:hlinkClick xmlns:r="http://schemas.openxmlformats.org/officeDocument/2006/relationships" r:id="rId1"/>
          <a:extLst>
            <a:ext uri="{FF2B5EF4-FFF2-40B4-BE49-F238E27FC236}">
              <a16:creationId xmlns:a16="http://schemas.microsoft.com/office/drawing/2014/main" id="{AA65DCC8-7457-4627-B10F-A57DEF723A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313764</xdr:colOff>
      <xdr:row>18</xdr:row>
      <xdr:rowOff>179294</xdr:rowOff>
    </xdr:from>
    <xdr:to>
      <xdr:col>16</xdr:col>
      <xdr:colOff>1030941</xdr:colOff>
      <xdr:row>38</xdr:row>
      <xdr:rowOff>100854</xdr:rowOff>
    </xdr:to>
    <xdr:graphicFrame macro="">
      <xdr:nvGraphicFramePr>
        <xdr:cNvPr id="6" name="Chart 5">
          <a:extLst>
            <a:ext uri="{FF2B5EF4-FFF2-40B4-BE49-F238E27FC236}">
              <a16:creationId xmlns:a16="http://schemas.microsoft.com/office/drawing/2014/main" id="{AE398F0A-9CFD-4874-9A44-ED69CA643F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0</xdr:colOff>
      <xdr:row>39</xdr:row>
      <xdr:rowOff>123265</xdr:rowOff>
    </xdr:from>
    <xdr:to>
      <xdr:col>17</xdr:col>
      <xdr:colOff>361588</xdr:colOff>
      <xdr:row>49</xdr:row>
      <xdr:rowOff>7059</xdr:rowOff>
    </xdr:to>
    <xdr:sp macro="" textlink="">
      <xdr:nvSpPr>
        <xdr:cNvPr id="7" name="TextBox 6">
          <a:extLst>
            <a:ext uri="{FF2B5EF4-FFF2-40B4-BE49-F238E27FC236}">
              <a16:creationId xmlns:a16="http://schemas.microsoft.com/office/drawing/2014/main" id="{2C4B6956-7D3D-4FC4-837D-414148AFEC2C}"/>
            </a:ext>
          </a:extLst>
        </xdr:cNvPr>
        <xdr:cNvSpPr txBox="1"/>
      </xdr:nvSpPr>
      <xdr:spPr>
        <a:xfrm>
          <a:off x="6745941" y="8527677"/>
          <a:ext cx="6480000" cy="18000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t>The mining investment figures reported by the ABS do not capture all mining investment.  Mining is broadly defined by the ABS as the extraction of minerals occurring naturally as solids such as coal and ores, and liquids such as crude petroleum and natural gas.  Downstream mining activities such as smelting of minerals or ores (other than preliminary smelting of gold) or refining</a:t>
          </a:r>
          <a:r>
            <a:rPr lang="en-AU" sz="1100">
              <a:solidFill>
                <a:schemeClr val="dk1"/>
              </a:solidFill>
              <a:effectLst/>
              <a:latin typeface="+mn-lt"/>
              <a:ea typeface="+mn-ea"/>
              <a:cs typeface="+mn-cs"/>
            </a:rPr>
            <a:t>, and LNG production, </a:t>
          </a:r>
          <a:r>
            <a:rPr lang="en-AU" sz="1100"/>
            <a:t>are classified as manufacturing activities.</a:t>
          </a:r>
        </a:p>
        <a:p>
          <a:endParaRPr lang="en-AU" sz="1100" baseline="0"/>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chemeClr val="dk1"/>
              </a:solidFill>
              <a:effectLst/>
              <a:latin typeface="+mn-lt"/>
              <a:ea typeface="+mn-ea"/>
              <a:cs typeface="+mn-cs"/>
            </a:rPr>
            <a:t>The ABS made changes to its capital expenditure data in December 2020 to capture the Education and Training and Health Care and Social Assistance industries. The mining share of Western Australia New Capital Expenditure has been updated to reflect this change.</a:t>
          </a:r>
          <a:endParaRPr lang="en-AU">
            <a:effectLst/>
          </a:endParaRPr>
        </a:p>
        <a:p>
          <a:endParaRPr lang="en-AU" sz="1100" baseline="0"/>
        </a:p>
      </xdr:txBody>
    </xdr:sp>
    <xdr:clientData/>
  </xdr:twoCellAnchor>
  <xdr:twoCellAnchor editAs="oneCell">
    <xdr:from>
      <xdr:col>18</xdr:col>
      <xdr:colOff>1</xdr:colOff>
      <xdr:row>19</xdr:row>
      <xdr:rowOff>0</xdr:rowOff>
    </xdr:from>
    <xdr:to>
      <xdr:col>24</xdr:col>
      <xdr:colOff>1042147</xdr:colOff>
      <xdr:row>38</xdr:row>
      <xdr:rowOff>100853</xdr:rowOff>
    </xdr:to>
    <xdr:graphicFrame macro="">
      <xdr:nvGraphicFramePr>
        <xdr:cNvPr id="8" name="Chart 7">
          <a:extLst>
            <a:ext uri="{FF2B5EF4-FFF2-40B4-BE49-F238E27FC236}">
              <a16:creationId xmlns:a16="http://schemas.microsoft.com/office/drawing/2014/main" id="{FF586417-4436-441F-8854-F9FF1FCBA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4</xdr:col>
      <xdr:colOff>29933</xdr:colOff>
      <xdr:row>5</xdr:row>
      <xdr:rowOff>29041</xdr:rowOff>
    </xdr:to>
    <xdr:pic>
      <xdr:nvPicPr>
        <xdr:cNvPr id="3" name="Picture 2">
          <a:hlinkClick xmlns:r="http://schemas.openxmlformats.org/officeDocument/2006/relationships" r:id="rId3"/>
          <a:extLst>
            <a:ext uri="{FF2B5EF4-FFF2-40B4-BE49-F238E27FC236}">
              <a16:creationId xmlns:a16="http://schemas.microsoft.com/office/drawing/2014/main" id="{52F1800A-82D7-49A9-B817-5E75895E599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abs.gov.au/statistics/economy/business-indicators/private-new-capital-expenditure-and-expected-expenditure-australia/latest-release" TargetMode="External"/><Relationship Id="rId3" Type="http://schemas.openxmlformats.org/officeDocument/2006/relationships/hyperlink" Target="http://www.abs.gov.au/ausstats/abs@.nsf/mf/5368.0" TargetMode="External"/><Relationship Id="rId7" Type="http://schemas.openxmlformats.org/officeDocument/2006/relationships/hyperlink" Target="https://www.abs.gov.au/statistics/economy/business-indicators/private-new-capital-expenditure-and-expected-expenditure-australia/latest-release" TargetMode="External"/><Relationship Id="rId2" Type="http://schemas.openxmlformats.org/officeDocument/2006/relationships/hyperlink" Target="https://www.abs.gov.au/ausstats/abs@.nsf/mf/8412.0" TargetMode="External"/><Relationship Id="rId1" Type="http://schemas.openxmlformats.org/officeDocument/2006/relationships/hyperlink" Target="https://www.abs.gov.au/ausstats/abs@.nsf/mf/8412.0" TargetMode="External"/><Relationship Id="rId6" Type="http://schemas.openxmlformats.org/officeDocument/2006/relationships/hyperlink" Target="https://www.abs.gov.au/ausstats/abs@.nsf/mf/5220.0" TargetMode="External"/><Relationship Id="rId11" Type="http://schemas.openxmlformats.org/officeDocument/2006/relationships/drawing" Target="../drawings/drawing2.xml"/><Relationship Id="rId5" Type="http://schemas.openxmlformats.org/officeDocument/2006/relationships/hyperlink" Target="https://www.abs.gov.au/ausstats/abs@.nsf/mf/5220.0" TargetMode="External"/><Relationship Id="rId10" Type="http://schemas.openxmlformats.org/officeDocument/2006/relationships/printerSettings" Target="../printerSettings/printerSettings2.bin"/><Relationship Id="rId4" Type="http://schemas.openxmlformats.org/officeDocument/2006/relationships/hyperlink" Target="https://www.industry.gov.au/data-and-publications/resources-and-energy-quarterly-all" TargetMode="External"/><Relationship Id="rId9" Type="http://schemas.openxmlformats.org/officeDocument/2006/relationships/hyperlink" Target="https://www.abs.gov.au/statistics/labour/employment-and-unemployment/labour-force-australia-detailed/latest-releas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F4C43-3F21-4548-AB21-F05CC61FC8FF}">
  <sheetPr codeName="Sheet2"/>
  <dimension ref="A7:D26"/>
  <sheetViews>
    <sheetView showGridLines="0" tabSelected="1" zoomScale="85" zoomScaleNormal="85" workbookViewId="0"/>
  </sheetViews>
  <sheetFormatPr defaultColWidth="9.140625" defaultRowHeight="15" x14ac:dyDescent="0.25"/>
  <cols>
    <col min="1" max="1" width="26" bestFit="1" customWidth="1"/>
    <col min="2" max="2" width="1.5703125" bestFit="1" customWidth="1"/>
    <col min="3" max="3" width="55.7109375" bestFit="1" customWidth="1"/>
    <col min="4" max="4" width="121.85546875" bestFit="1" customWidth="1"/>
  </cols>
  <sheetData>
    <row r="7" spans="1:4" x14ac:dyDescent="0.25">
      <c r="A7" t="s">
        <v>0</v>
      </c>
      <c r="B7" t="s">
        <v>1</v>
      </c>
      <c r="C7" s="1" t="s">
        <v>2</v>
      </c>
      <c r="D7" t="s">
        <v>1213</v>
      </c>
    </row>
    <row r="8" spans="1:4" x14ac:dyDescent="0.25">
      <c r="B8" t="s">
        <v>1</v>
      </c>
      <c r="C8" s="1" t="s">
        <v>3</v>
      </c>
      <c r="D8" t="s">
        <v>1209</v>
      </c>
    </row>
    <row r="9" spans="1:4" x14ac:dyDescent="0.25">
      <c r="B9" t="s">
        <v>1</v>
      </c>
      <c r="C9" s="1" t="s">
        <v>4</v>
      </c>
      <c r="D9" t="s">
        <v>1214</v>
      </c>
    </row>
    <row r="10" spans="1:4" x14ac:dyDescent="0.25">
      <c r="B10" t="s">
        <v>1</v>
      </c>
      <c r="C10" s="1" t="s">
        <v>5</v>
      </c>
      <c r="D10" t="s">
        <v>1210</v>
      </c>
    </row>
    <row r="11" spans="1:4" x14ac:dyDescent="0.25">
      <c r="A11" t="s">
        <v>6</v>
      </c>
      <c r="B11" t="s">
        <v>1</v>
      </c>
      <c r="C11" s="1" t="s">
        <v>7</v>
      </c>
      <c r="D11" t="s">
        <v>1207</v>
      </c>
    </row>
    <row r="12" spans="1:4" x14ac:dyDescent="0.25">
      <c r="B12" t="s">
        <v>1</v>
      </c>
      <c r="C12" s="1" t="s">
        <v>8</v>
      </c>
      <c r="D12" t="s">
        <v>1208</v>
      </c>
    </row>
    <row r="13" spans="1:4" x14ac:dyDescent="0.25">
      <c r="B13" t="s">
        <v>1</v>
      </c>
      <c r="C13" s="1" t="s">
        <v>9</v>
      </c>
      <c r="D13" t="s">
        <v>1211</v>
      </c>
    </row>
    <row r="14" spans="1:4" x14ac:dyDescent="0.25">
      <c r="B14" t="s">
        <v>1</v>
      </c>
      <c r="C14" s="1" t="s">
        <v>10</v>
      </c>
      <c r="D14" t="s">
        <v>1212</v>
      </c>
    </row>
    <row r="15" spans="1:4" x14ac:dyDescent="0.25">
      <c r="B15" t="s">
        <v>1</v>
      </c>
      <c r="C15" s="1" t="s">
        <v>11</v>
      </c>
      <c r="D15" t="s">
        <v>1215</v>
      </c>
    </row>
    <row r="16" spans="1:4" x14ac:dyDescent="0.25">
      <c r="A16" t="s">
        <v>12</v>
      </c>
      <c r="B16" t="s">
        <v>1</v>
      </c>
      <c r="C16" s="1" t="s">
        <v>13</v>
      </c>
      <c r="D16" t="s">
        <v>1216</v>
      </c>
    </row>
    <row r="17" spans="1:4" x14ac:dyDescent="0.25">
      <c r="B17" t="s">
        <v>1</v>
      </c>
      <c r="C17" s="1" t="s">
        <v>14</v>
      </c>
      <c r="D17" t="s">
        <v>1217</v>
      </c>
    </row>
    <row r="18" spans="1:4" x14ac:dyDescent="0.25">
      <c r="A18" t="s">
        <v>15</v>
      </c>
      <c r="B18" t="s">
        <v>1</v>
      </c>
      <c r="C18" s="1" t="s">
        <v>16</v>
      </c>
      <c r="D18" t="s">
        <v>1218</v>
      </c>
    </row>
    <row r="19" spans="1:4" x14ac:dyDescent="0.25">
      <c r="B19" t="s">
        <v>1</v>
      </c>
      <c r="C19" s="1" t="s">
        <v>17</v>
      </c>
      <c r="D19" t="s">
        <v>1219</v>
      </c>
    </row>
    <row r="20" spans="1:4" x14ac:dyDescent="0.25">
      <c r="B20" t="s">
        <v>1</v>
      </c>
      <c r="C20" s="1" t="s">
        <v>18</v>
      </c>
      <c r="D20" t="s">
        <v>1220</v>
      </c>
    </row>
    <row r="21" spans="1:4" x14ac:dyDescent="0.25">
      <c r="B21" t="s">
        <v>1</v>
      </c>
      <c r="C21" s="1" t="s">
        <v>1204</v>
      </c>
      <c r="D21" t="s">
        <v>1221</v>
      </c>
    </row>
    <row r="22" spans="1:4" x14ac:dyDescent="0.25">
      <c r="B22" t="s">
        <v>1</v>
      </c>
      <c r="C22" s="1" t="s">
        <v>19</v>
      </c>
      <c r="D22" t="s">
        <v>1222</v>
      </c>
    </row>
    <row r="23" spans="1:4" x14ac:dyDescent="0.25">
      <c r="A23" s="3"/>
      <c r="B23" t="s">
        <v>1</v>
      </c>
      <c r="C23" s="1" t="s">
        <v>20</v>
      </c>
      <c r="D23" t="s">
        <v>1230</v>
      </c>
    </row>
    <row r="24" spans="1:4" x14ac:dyDescent="0.25">
      <c r="B24" t="s">
        <v>1</v>
      </c>
      <c r="C24" s="1" t="s">
        <v>21</v>
      </c>
      <c r="D24" t="s">
        <v>1229</v>
      </c>
    </row>
    <row r="25" spans="1:4" x14ac:dyDescent="0.25">
      <c r="A25" t="s">
        <v>22</v>
      </c>
      <c r="B25" t="s">
        <v>1</v>
      </c>
      <c r="C25" s="1" t="s">
        <v>22</v>
      </c>
      <c r="D25" t="s">
        <v>23</v>
      </c>
    </row>
    <row r="26" spans="1:4" x14ac:dyDescent="0.25">
      <c r="A26" t="s">
        <v>24</v>
      </c>
      <c r="B26" t="s">
        <v>1</v>
      </c>
      <c r="C26" s="1" t="s">
        <v>25</v>
      </c>
    </row>
  </sheetData>
  <hyperlinks>
    <hyperlink ref="C26" location="'Data Sources'!A1" display="Sources" xr:uid="{8AB2321D-161C-4C61-B7D9-7B92C258204E}"/>
    <hyperlink ref="C10" location="'Mining Investment'!A1" display="Mining Investment" xr:uid="{538DB861-40A6-4C22-B32F-9DAEF1E82BBE}"/>
    <hyperlink ref="C14" location="'Pet. Exploration Expenditure'!A1" display="Petroleum Exploration" xr:uid="{CA3D5241-F94F-4699-97A3-A93A8D197041}"/>
    <hyperlink ref="C21" location="'Mining Employment By Project'!R1C1" display="Mining Employment By Project" xr:uid="{99D764B2-A1F2-4361-BDE3-C76F62673FD7}"/>
    <hyperlink ref="C18" location="'Mining Employment CY'!A1" display="Mining Employment Calendar Year" xr:uid="{AA375BA3-559F-4DC4-B1EA-3C99D7BE79F5}"/>
    <hyperlink ref="C20" location="'Mining Employment Report Period'!A1" display="Mining Employment Report Period" xr:uid="{FD222B75-1337-4CC3-847A-1A487A600CBB}"/>
    <hyperlink ref="C17" location="'Royalties Historic'!A1" display="Royalties Historic" xr:uid="{547CFCED-E406-4ADC-9E59-5D421593419D}"/>
    <hyperlink ref="C16" location="'Royalties 2-years'!A1" display="Royalties 2-years" xr:uid="{08CA63BC-1C1E-4460-B8C1-6D707F3369F9}"/>
    <hyperlink ref="C22" location="'Mining Employment CY Pre-2001'!A1" display="Mining Employment By Calendar Year Pre-2001" xr:uid="{5A933EBF-1C0E-4066-AB86-5428F586B1A6}"/>
    <hyperlink ref="C25" location="'How To Use'!A1" display="How to Use" xr:uid="{438B1C02-B2D4-46A2-BC89-4EA6983F0848}"/>
    <hyperlink ref="C13" location="'Min. Expl. Metres Drilled'!A1" display="Mineral Exploration Drilling" xr:uid="{AA95C86F-1F3B-4F00-AEB5-9E430D4A72BD}"/>
    <hyperlink ref="C11" location="'Min. Expl. By Commodity'!A1" display="Mineral Exploration Major Commodities" xr:uid="{3B240470-A716-47E4-A6BA-E10237E6FE35}"/>
    <hyperlink ref="C19" location="'Mining Employment FY'!A1" display="Mining Employment Financial Year" xr:uid="{DA689823-6838-4B77-A19B-9FB6D1E244BA}"/>
    <hyperlink ref="C15" location="'Pet. Expl. By Location'!A1" display="Petroleum Exploration By Location" xr:uid="{A3252605-ED9D-4267-9D1C-A391E7121269}"/>
    <hyperlink ref="C12" location="'Min. Expl. By Type'!A1" display="Mineral Exploration By Type" xr:uid="{AFEBEA41-DC92-4915-A101-D9F1547C94DD}"/>
    <hyperlink ref="C23" location="'Petroleum Employment'!A1" display="Petroleum Employment" xr:uid="{6995B09B-C281-402F-A537-2FFE915FCE09}"/>
    <hyperlink ref="C7" location="'Mining Economic Impact'!A1" display="Mining Economic Impact" xr:uid="{E9089F79-524A-490A-B20D-19ABCFB2B9F3}"/>
    <hyperlink ref="C9" location="'Exports Historic'!A1" display="Exports Historic" xr:uid="{1D06A53B-99AE-4359-AB1A-DE5884D1FB4A}"/>
    <hyperlink ref="C8" location="'Exports 2-years'!A1" display="Exports 2-years" xr:uid="{B1B3129E-456F-44CF-BD95-E5F9B140C009}"/>
    <hyperlink ref="C24" location="'Pet. Emp. Jan 2010 to Mar 2022'!A1" display="Petroleum Employment Monthly January 2010 to March 2022" xr:uid="{6F503BA0-B014-4C03-BD0D-78A515DAD271}"/>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E541-32CD-4CDB-8B06-FB333832F883}">
  <sheetPr codeName="Sheet10"/>
  <dimension ref="A1:AG572"/>
  <sheetViews>
    <sheetView showGridLines="0" topLeftCell="B1" zoomScale="85" zoomScaleNormal="85" workbookViewId="0">
      <pane ySplit="8" topLeftCell="A9" activePane="bottomLeft" state="frozen"/>
      <selection activeCell="B1" sqref="B1"/>
      <selection pane="bottomLeft" activeCell="B1" sqref="B1"/>
    </sheetView>
  </sheetViews>
  <sheetFormatPr defaultColWidth="9.140625" defaultRowHeight="15" x14ac:dyDescent="0.25"/>
  <cols>
    <col min="1" max="1" width="6.85546875" hidden="1" customWidth="1"/>
    <col min="2" max="2" width="12.7109375" customWidth="1"/>
    <col min="3" max="11" width="15.7109375" customWidth="1"/>
    <col min="12" max="12" width="8.7109375" customWidth="1"/>
    <col min="13" max="13" width="12.7109375" customWidth="1"/>
    <col min="14" max="22" width="15.7109375" customWidth="1"/>
    <col min="23" max="23" width="8.7109375" customWidth="1"/>
    <col min="24" max="24" width="12.7109375" customWidth="1"/>
    <col min="25" max="33" width="15.7109375" customWidth="1"/>
  </cols>
  <sheetData>
    <row r="1" spans="1:33" x14ac:dyDescent="0.25">
      <c r="M1" s="110">
        <f>(LARGE(B9:B456,1))</f>
        <v>45992</v>
      </c>
    </row>
    <row r="2" spans="1:33" x14ac:dyDescent="0.25">
      <c r="M2" s="110">
        <f>MATCH(M1,B9:B456,0)+6</f>
        <v>96</v>
      </c>
    </row>
    <row r="3" spans="1:33" x14ac:dyDescent="0.25">
      <c r="M3" s="3" t="str">
        <f ca="1">IF(MONTH(INDIRECT(CONCATENATE("B",M2)))=12, "Calendar Year", "Financial year")</f>
        <v>Financial year</v>
      </c>
    </row>
    <row r="4" spans="1:33" x14ac:dyDescent="0.25">
      <c r="M4" s="2"/>
    </row>
    <row r="7" spans="1:33" ht="15.75" thickBot="1" x14ac:dyDescent="0.3">
      <c r="B7" s="575" t="s">
        <v>99</v>
      </c>
      <c r="C7" s="575"/>
      <c r="D7" s="575"/>
      <c r="E7" s="575"/>
      <c r="F7" s="575"/>
      <c r="G7" s="575"/>
      <c r="H7" s="575"/>
      <c r="I7" s="575"/>
      <c r="J7" s="575"/>
      <c r="K7" s="575"/>
      <c r="L7" s="4"/>
      <c r="M7" s="575" t="s">
        <v>100</v>
      </c>
      <c r="N7" s="575"/>
      <c r="O7" s="575"/>
      <c r="P7" s="575"/>
      <c r="Q7" s="575"/>
      <c r="R7" s="575"/>
      <c r="S7" s="575"/>
      <c r="T7" s="575"/>
      <c r="U7" s="575"/>
      <c r="V7" s="132"/>
      <c r="W7" s="132"/>
      <c r="X7" s="575" t="s">
        <v>54</v>
      </c>
      <c r="Y7" s="575"/>
      <c r="Z7" s="575"/>
      <c r="AA7" s="575"/>
      <c r="AB7" s="575"/>
      <c r="AC7" s="575"/>
      <c r="AD7" s="575"/>
      <c r="AE7" s="575"/>
      <c r="AF7" s="575"/>
      <c r="AG7" s="575"/>
    </row>
    <row r="8" spans="1:33" ht="60" customHeight="1" x14ac:dyDescent="0.25">
      <c r="B8" s="170" t="s">
        <v>93</v>
      </c>
      <c r="C8" s="134" t="s">
        <v>101</v>
      </c>
      <c r="D8" s="135" t="s">
        <v>571</v>
      </c>
      <c r="E8" s="171" t="s">
        <v>102</v>
      </c>
      <c r="F8" s="171" t="s">
        <v>103</v>
      </c>
      <c r="G8" s="134" t="s">
        <v>572</v>
      </c>
      <c r="H8" s="134" t="s">
        <v>573</v>
      </c>
      <c r="I8" s="172" t="s">
        <v>566</v>
      </c>
      <c r="J8" s="172" t="s">
        <v>567</v>
      </c>
      <c r="K8" s="136" t="s">
        <v>570</v>
      </c>
      <c r="L8" s="173"/>
      <c r="M8" s="137" t="s">
        <v>55</v>
      </c>
      <c r="N8" s="134" t="s">
        <v>574</v>
      </c>
      <c r="O8" s="171" t="s">
        <v>575</v>
      </c>
      <c r="P8" s="171" t="s">
        <v>576</v>
      </c>
      <c r="Q8" s="134" t="s">
        <v>577</v>
      </c>
      <c r="R8" s="135" t="s">
        <v>572</v>
      </c>
      <c r="S8" s="134" t="s">
        <v>573</v>
      </c>
      <c r="T8" s="134" t="s">
        <v>566</v>
      </c>
      <c r="U8" s="172" t="s">
        <v>567</v>
      </c>
      <c r="V8" s="136" t="s">
        <v>570</v>
      </c>
      <c r="W8" s="138"/>
      <c r="X8" s="174" t="s">
        <v>55</v>
      </c>
      <c r="Y8" s="134" t="s">
        <v>574</v>
      </c>
      <c r="Z8" s="135" t="s">
        <v>575</v>
      </c>
      <c r="AA8" s="134" t="s">
        <v>576</v>
      </c>
      <c r="AB8" s="135" t="s">
        <v>577</v>
      </c>
      <c r="AC8" s="134" t="s">
        <v>572</v>
      </c>
      <c r="AD8" s="135" t="s">
        <v>573</v>
      </c>
      <c r="AE8" s="134" t="s">
        <v>566</v>
      </c>
      <c r="AF8" s="134" t="s">
        <v>567</v>
      </c>
      <c r="AG8" s="136" t="s">
        <v>570</v>
      </c>
    </row>
    <row r="9" spans="1:33" x14ac:dyDescent="0.25">
      <c r="A9">
        <f>YEAR(B9)</f>
        <v>2003</v>
      </c>
      <c r="B9" s="139">
        <v>37865</v>
      </c>
      <c r="C9" s="474">
        <v>37.4</v>
      </c>
      <c r="D9" s="479">
        <f>E9-C9</f>
        <v>26.200000000000003</v>
      </c>
      <c r="E9" s="474">
        <v>63.6</v>
      </c>
      <c r="F9" s="479">
        <v>71.099999999999994</v>
      </c>
      <c r="G9" s="474">
        <f>H9-F9</f>
        <v>44.800000000000011</v>
      </c>
      <c r="H9" s="479">
        <v>115.9</v>
      </c>
      <c r="I9" s="175">
        <f t="shared" ref="I9:I72" si="0">C9/E9</f>
        <v>0.58805031446540879</v>
      </c>
      <c r="J9" s="49">
        <f>F9/H9</f>
        <v>0.61345987920621214</v>
      </c>
      <c r="K9" s="176">
        <f>C9/(C9+F9)</f>
        <v>0.34470046082949307</v>
      </c>
      <c r="L9" s="177"/>
      <c r="M9" s="141">
        <f t="shared" ref="M9:M17" si="1">M10-1</f>
        <v>2016</v>
      </c>
      <c r="N9" s="476">
        <f t="shared" ref="N9:N18" si="2">SUMIF($A$9:$A$572,$M9,C$9:C$574)</f>
        <v>267.5</v>
      </c>
      <c r="O9" s="481">
        <f>P9-N9</f>
        <v>168.39999999999998</v>
      </c>
      <c r="P9" s="486">
        <f t="shared" ref="P9:P18" si="3">SUMIF($A$9:$A$572,$M9,E$9:E$574)</f>
        <v>435.9</v>
      </c>
      <c r="Q9" s="481">
        <f t="shared" ref="Q9:Q18" si="4">SUMIF($A$9:$A$572,$M9,F$9:F$574)</f>
        <v>660.09999999999991</v>
      </c>
      <c r="R9" s="486">
        <f>S9-Q9</f>
        <v>330.80000000000018</v>
      </c>
      <c r="S9" s="481">
        <f t="shared" ref="S9:S18" si="5">SUMIF($A$9:$A$572,$M9,H$9:H$574)</f>
        <v>990.90000000000009</v>
      </c>
      <c r="T9" s="114">
        <f t="shared" ref="T9:T18" si="6">N9/P9</f>
        <v>0.61367286074787797</v>
      </c>
      <c r="U9" s="178">
        <f t="shared" ref="U9:U18" si="7">Q9/S9</f>
        <v>0.66616207488142076</v>
      </c>
      <c r="V9" s="179">
        <f t="shared" ref="V9:V18" si="8">N9/(Q9+N9)</f>
        <v>0.28837861147046145</v>
      </c>
      <c r="W9" s="180"/>
      <c r="X9" s="141" t="str">
        <f>LEFT(X10,4)-1 &amp; "-" &amp; RIGHT(LEFT(X10,4), 2)</f>
        <v>2015-16</v>
      </c>
      <c r="Y9" s="476">
        <f t="shared" ref="Y9:Y18" si="9">SUMIFS(C:C, $B:$B, "&gt;=" &amp; DATE(LEFT($X9, 4), 7, 1), $B:$B, "&lt;" &amp; DATE(LEFT($X9, 4)+1, 7, 1))</f>
        <v>241.40000000000003</v>
      </c>
      <c r="Z9" s="481">
        <f>AA9-Y9</f>
        <v>170.3</v>
      </c>
      <c r="AA9" s="486">
        <f t="shared" ref="AA9:AA18" si="10">SUMIFS(E:E, $B:$B, "&gt;=" &amp; DATE(LEFT($X9, 4), 7, 1), $B:$B, "&lt;" &amp; DATE(LEFT($X9, 4)+1, 7, 1))</f>
        <v>411.70000000000005</v>
      </c>
      <c r="AB9" s="481">
        <f t="shared" ref="AB9:AB18" si="11">SUMIFS(F:F, $B:$B, "&gt;=" &amp; DATE(LEFT($X9, 4), 7, 1), $B:$B, "&lt;" &amp; DATE(LEFT($X9, 4)+1, 7, 1))</f>
        <v>629.6</v>
      </c>
      <c r="AC9" s="486">
        <f t="shared" ref="AC9:AC18" si="12">AD9-AB9</f>
        <v>379.80000000000007</v>
      </c>
      <c r="AD9" s="481">
        <f t="shared" ref="AD9:AD18" si="13">SUMIFS(H:H, $B:$B, "&gt;=" &amp; DATE(LEFT($X9, 4), 7, 1), $B:$B, "&lt;" &amp; DATE(LEFT($X9, 4)+1, 7, 1))</f>
        <v>1009.4000000000001</v>
      </c>
      <c r="AE9" s="114">
        <f t="shared" ref="AE9:AE18" si="14">Y9/AA9</f>
        <v>0.58634928345882931</v>
      </c>
      <c r="AF9" s="178">
        <f t="shared" ref="AF9:AF18" si="15">AB9/AD9</f>
        <v>0.62373687339013273</v>
      </c>
      <c r="AG9" s="179">
        <f t="shared" ref="AG9:AG18" si="16">Y9/(AB9+Y9)</f>
        <v>0.27715269804822046</v>
      </c>
    </row>
    <row r="10" spans="1:33" x14ac:dyDescent="0.25">
      <c r="A10">
        <f t="shared" ref="A10:A74" si="17">YEAR(B10)</f>
        <v>2003</v>
      </c>
      <c r="B10" s="139">
        <v>37956</v>
      </c>
      <c r="C10" s="475">
        <v>54.1</v>
      </c>
      <c r="D10" s="480">
        <f t="shared" ref="D10:D73" si="18">E10-C10</f>
        <v>29.999999999999993</v>
      </c>
      <c r="E10" s="475">
        <v>84.1</v>
      </c>
      <c r="F10" s="480">
        <v>67.900000000000006</v>
      </c>
      <c r="G10" s="475">
        <f t="shared" ref="G10:G73" si="19">H10-F10</f>
        <v>47.5</v>
      </c>
      <c r="H10" s="480">
        <v>115.4</v>
      </c>
      <c r="I10" s="181">
        <f t="shared" si="0"/>
        <v>0.643281807372176</v>
      </c>
      <c r="J10" s="182">
        <f t="shared" ref="J10:J73" si="20">F10/H10</f>
        <v>0.58838821490467941</v>
      </c>
      <c r="K10" s="183">
        <f t="shared" ref="K10:K73" si="21">C10/(C10+F10)</f>
        <v>0.44344262295081971</v>
      </c>
      <c r="L10" s="177"/>
      <c r="M10" s="149">
        <f t="shared" si="1"/>
        <v>2017</v>
      </c>
      <c r="N10" s="477">
        <f t="shared" si="2"/>
        <v>339.1</v>
      </c>
      <c r="O10" s="483">
        <f t="shared" ref="O10:O18" si="22">P10-N10</f>
        <v>221.30000000000007</v>
      </c>
      <c r="P10" s="487">
        <f t="shared" si="3"/>
        <v>560.40000000000009</v>
      </c>
      <c r="Q10" s="483">
        <f t="shared" si="4"/>
        <v>769.9</v>
      </c>
      <c r="R10" s="487">
        <f t="shared" ref="R10:R18" si="23">S10-Q10</f>
        <v>423.50000000000011</v>
      </c>
      <c r="S10" s="483">
        <f t="shared" si="5"/>
        <v>1193.4000000000001</v>
      </c>
      <c r="T10" s="184">
        <f t="shared" si="6"/>
        <v>0.60510349750178438</v>
      </c>
      <c r="U10" s="185">
        <f t="shared" si="7"/>
        <v>0.64513155689626267</v>
      </c>
      <c r="V10" s="186">
        <f t="shared" si="8"/>
        <v>0.30577096483318306</v>
      </c>
      <c r="W10" s="180"/>
      <c r="X10" s="149" t="str">
        <f t="shared" ref="X10:X17" si="24">LEFT(X11,4)-1 &amp; "-" &amp; RIGHT(LEFT(X11,4), 2)</f>
        <v>2016-17</v>
      </c>
      <c r="Y10" s="477">
        <f t="shared" si="9"/>
        <v>295.3</v>
      </c>
      <c r="Z10" s="483">
        <f t="shared" ref="Z10:Z18" si="25">AA10-Y10</f>
        <v>188.2</v>
      </c>
      <c r="AA10" s="487">
        <f t="shared" si="10"/>
        <v>483.5</v>
      </c>
      <c r="AB10" s="483">
        <f t="shared" si="11"/>
        <v>733.09999999999991</v>
      </c>
      <c r="AC10" s="487">
        <f t="shared" si="12"/>
        <v>348.5</v>
      </c>
      <c r="AD10" s="483">
        <f t="shared" si="13"/>
        <v>1081.5999999999999</v>
      </c>
      <c r="AE10" s="184">
        <f t="shared" si="14"/>
        <v>0.61075491209927613</v>
      </c>
      <c r="AF10" s="185">
        <f t="shared" si="15"/>
        <v>0.67779215976331353</v>
      </c>
      <c r="AG10" s="186">
        <f t="shared" si="16"/>
        <v>0.28714507973551151</v>
      </c>
    </row>
    <row r="11" spans="1:33" x14ac:dyDescent="0.25">
      <c r="A11">
        <f t="shared" si="17"/>
        <v>2004</v>
      </c>
      <c r="B11" s="139">
        <v>38047</v>
      </c>
      <c r="C11" s="474">
        <v>37.6</v>
      </c>
      <c r="D11" s="479">
        <f t="shared" si="18"/>
        <v>22.5</v>
      </c>
      <c r="E11" s="474">
        <v>60.1</v>
      </c>
      <c r="F11" s="479">
        <v>59</v>
      </c>
      <c r="G11" s="474">
        <f t="shared" si="19"/>
        <v>48.099999999999994</v>
      </c>
      <c r="H11" s="479">
        <v>107.1</v>
      </c>
      <c r="I11" s="175">
        <f t="shared" si="0"/>
        <v>0.62562396006655574</v>
      </c>
      <c r="J11" s="49">
        <f t="shared" si="20"/>
        <v>0.55088702147525681</v>
      </c>
      <c r="K11" s="176">
        <f t="shared" si="21"/>
        <v>0.38923395445134579</v>
      </c>
      <c r="L11" s="12"/>
      <c r="M11" s="141">
        <f t="shared" si="1"/>
        <v>2018</v>
      </c>
      <c r="N11" s="476">
        <f t="shared" si="2"/>
        <v>501.70000000000005</v>
      </c>
      <c r="O11" s="481">
        <f t="shared" si="22"/>
        <v>298.59999999999991</v>
      </c>
      <c r="P11" s="486">
        <f t="shared" si="3"/>
        <v>800.3</v>
      </c>
      <c r="Q11" s="481">
        <f t="shared" si="4"/>
        <v>816.7</v>
      </c>
      <c r="R11" s="486">
        <f t="shared" si="23"/>
        <v>567.19999999999982</v>
      </c>
      <c r="S11" s="481">
        <f t="shared" si="5"/>
        <v>1383.8999999999999</v>
      </c>
      <c r="T11" s="114">
        <f t="shared" si="6"/>
        <v>0.62688991628139457</v>
      </c>
      <c r="U11" s="178">
        <f t="shared" si="7"/>
        <v>0.59014379651708948</v>
      </c>
      <c r="V11" s="179">
        <f t="shared" si="8"/>
        <v>0.38053701456310679</v>
      </c>
      <c r="W11" s="180"/>
      <c r="X11" s="141" t="str">
        <f t="shared" si="24"/>
        <v>2017-18</v>
      </c>
      <c r="Y11" s="476">
        <f t="shared" si="9"/>
        <v>405.90000000000003</v>
      </c>
      <c r="Z11" s="481">
        <f t="shared" si="25"/>
        <v>258.99999999999994</v>
      </c>
      <c r="AA11" s="486">
        <f t="shared" si="10"/>
        <v>664.9</v>
      </c>
      <c r="AB11" s="481">
        <f t="shared" si="11"/>
        <v>797.80000000000007</v>
      </c>
      <c r="AC11" s="486">
        <f t="shared" si="12"/>
        <v>515.1</v>
      </c>
      <c r="AD11" s="481">
        <f t="shared" si="13"/>
        <v>1312.9</v>
      </c>
      <c r="AE11" s="114">
        <f t="shared" si="14"/>
        <v>0.61046773950970079</v>
      </c>
      <c r="AF11" s="178">
        <f t="shared" si="15"/>
        <v>0.60766242668900905</v>
      </c>
      <c r="AG11" s="179">
        <f t="shared" si="16"/>
        <v>0.33721026833928719</v>
      </c>
    </row>
    <row r="12" spans="1:33" x14ac:dyDescent="0.25">
      <c r="A12">
        <f t="shared" si="17"/>
        <v>2004</v>
      </c>
      <c r="B12" s="139">
        <v>38139</v>
      </c>
      <c r="C12" s="475">
        <v>66.7</v>
      </c>
      <c r="D12" s="480">
        <f t="shared" si="18"/>
        <v>36.599999999999994</v>
      </c>
      <c r="E12" s="475">
        <v>103.3</v>
      </c>
      <c r="F12" s="480">
        <v>72.099999999999994</v>
      </c>
      <c r="G12" s="475">
        <f t="shared" si="19"/>
        <v>65</v>
      </c>
      <c r="H12" s="480">
        <v>137.1</v>
      </c>
      <c r="I12" s="181">
        <f t="shared" si="0"/>
        <v>0.6456921587608907</v>
      </c>
      <c r="J12" s="182">
        <f t="shared" si="20"/>
        <v>0.52589350838803794</v>
      </c>
      <c r="K12" s="183">
        <f t="shared" si="21"/>
        <v>0.48054755043227665</v>
      </c>
      <c r="L12" s="12"/>
      <c r="M12" s="149">
        <f t="shared" si="1"/>
        <v>2019</v>
      </c>
      <c r="N12" s="477">
        <f t="shared" si="2"/>
        <v>696</v>
      </c>
      <c r="O12" s="483">
        <f t="shared" si="22"/>
        <v>360.69999999999982</v>
      </c>
      <c r="P12" s="487">
        <f t="shared" si="3"/>
        <v>1056.6999999999998</v>
      </c>
      <c r="Q12" s="483">
        <f t="shared" si="4"/>
        <v>952.19999999999993</v>
      </c>
      <c r="R12" s="487">
        <f t="shared" si="23"/>
        <v>639.50000000000011</v>
      </c>
      <c r="S12" s="483">
        <f t="shared" si="5"/>
        <v>1591.7</v>
      </c>
      <c r="T12" s="184">
        <f t="shared" si="6"/>
        <v>0.65865430112614753</v>
      </c>
      <c r="U12" s="185">
        <f t="shared" si="7"/>
        <v>0.59822830935477789</v>
      </c>
      <c r="V12" s="186">
        <f t="shared" si="8"/>
        <v>0.42227884965416823</v>
      </c>
      <c r="W12" s="180"/>
      <c r="X12" s="149" t="str">
        <f t="shared" si="24"/>
        <v>2018-19</v>
      </c>
      <c r="Y12" s="477">
        <f t="shared" si="9"/>
        <v>598.5</v>
      </c>
      <c r="Z12" s="483">
        <f t="shared" si="25"/>
        <v>308.89999999999998</v>
      </c>
      <c r="AA12" s="487">
        <f t="shared" si="10"/>
        <v>907.4</v>
      </c>
      <c r="AB12" s="483">
        <f t="shared" si="11"/>
        <v>843.59999999999991</v>
      </c>
      <c r="AC12" s="487">
        <f>AD12-AB12</f>
        <v>597.20000000000005</v>
      </c>
      <c r="AD12" s="483">
        <f t="shared" si="13"/>
        <v>1440.8</v>
      </c>
      <c r="AE12" s="184">
        <f t="shared" si="14"/>
        <v>0.65957681287194181</v>
      </c>
      <c r="AF12" s="185">
        <f t="shared" si="15"/>
        <v>0.58550805108273174</v>
      </c>
      <c r="AG12" s="186">
        <f t="shared" si="16"/>
        <v>0.41501976284584985</v>
      </c>
    </row>
    <row r="13" spans="1:33" x14ac:dyDescent="0.25">
      <c r="A13">
        <f t="shared" si="17"/>
        <v>2004</v>
      </c>
      <c r="B13" s="139">
        <v>38231</v>
      </c>
      <c r="C13" s="474">
        <v>68.099999999999994</v>
      </c>
      <c r="D13" s="479">
        <f t="shared" si="18"/>
        <v>30</v>
      </c>
      <c r="E13" s="474">
        <v>98.1</v>
      </c>
      <c r="F13" s="479">
        <v>79.8</v>
      </c>
      <c r="G13" s="474">
        <f t="shared" si="19"/>
        <v>73.2</v>
      </c>
      <c r="H13" s="479">
        <v>153</v>
      </c>
      <c r="I13" s="175">
        <f t="shared" si="0"/>
        <v>0.6941896024464832</v>
      </c>
      <c r="J13" s="49">
        <f t="shared" si="20"/>
        <v>0.52156862745098043</v>
      </c>
      <c r="K13" s="176">
        <f t="shared" si="21"/>
        <v>0.46044624746450308</v>
      </c>
      <c r="L13" s="12"/>
      <c r="M13" s="149">
        <f t="shared" si="1"/>
        <v>2020</v>
      </c>
      <c r="N13" s="476">
        <f t="shared" si="2"/>
        <v>577.40000000000009</v>
      </c>
      <c r="O13" s="481">
        <f t="shared" si="22"/>
        <v>379.4</v>
      </c>
      <c r="P13" s="486">
        <f t="shared" si="3"/>
        <v>956.80000000000007</v>
      </c>
      <c r="Q13" s="481">
        <f t="shared" si="4"/>
        <v>1180.2</v>
      </c>
      <c r="R13" s="486">
        <f t="shared" si="23"/>
        <v>671.7</v>
      </c>
      <c r="S13" s="481">
        <f t="shared" si="5"/>
        <v>1851.9</v>
      </c>
      <c r="T13" s="114">
        <f t="shared" si="6"/>
        <v>0.60346989966555187</v>
      </c>
      <c r="U13" s="178">
        <f t="shared" si="7"/>
        <v>0.637291430422809</v>
      </c>
      <c r="V13" s="179">
        <f t="shared" si="8"/>
        <v>0.32851615839781523</v>
      </c>
      <c r="W13" s="180"/>
      <c r="X13" s="149" t="str">
        <f t="shared" si="24"/>
        <v>2019-20</v>
      </c>
      <c r="Y13" s="476">
        <f t="shared" si="9"/>
        <v>651.4</v>
      </c>
      <c r="Z13" s="481">
        <f t="shared" si="25"/>
        <v>407.6</v>
      </c>
      <c r="AA13" s="486">
        <f t="shared" si="10"/>
        <v>1059</v>
      </c>
      <c r="AB13" s="481">
        <f t="shared" si="11"/>
        <v>1041.8</v>
      </c>
      <c r="AC13" s="486">
        <f t="shared" si="12"/>
        <v>670.89999999999986</v>
      </c>
      <c r="AD13" s="481">
        <f t="shared" si="13"/>
        <v>1712.6999999999998</v>
      </c>
      <c r="AE13" s="114">
        <f>Y13/AA13</f>
        <v>0.61510859301227572</v>
      </c>
      <c r="AF13" s="178">
        <f>AB13/AD13</f>
        <v>0.60827932504233084</v>
      </c>
      <c r="AG13" s="179">
        <f>Y13/(AB13+Y13)</f>
        <v>0.38471533191589891</v>
      </c>
    </row>
    <row r="14" spans="1:33" x14ac:dyDescent="0.25">
      <c r="A14">
        <f t="shared" si="17"/>
        <v>2004</v>
      </c>
      <c r="B14" s="139">
        <v>38322</v>
      </c>
      <c r="C14" s="475">
        <v>74.7</v>
      </c>
      <c r="D14" s="480">
        <f t="shared" si="18"/>
        <v>32.799999999999997</v>
      </c>
      <c r="E14" s="475">
        <v>107.5</v>
      </c>
      <c r="F14" s="480">
        <v>82</v>
      </c>
      <c r="G14" s="475">
        <f t="shared" si="19"/>
        <v>71.300000000000011</v>
      </c>
      <c r="H14" s="480">
        <v>153.30000000000001</v>
      </c>
      <c r="I14" s="181">
        <f t="shared" si="0"/>
        <v>0.69488372093023254</v>
      </c>
      <c r="J14" s="182">
        <f t="shared" si="20"/>
        <v>0.5348988910632746</v>
      </c>
      <c r="K14" s="183">
        <f t="shared" si="21"/>
        <v>0.47670708359923425</v>
      </c>
      <c r="L14" s="12"/>
      <c r="M14" s="149">
        <f t="shared" si="1"/>
        <v>2021</v>
      </c>
      <c r="N14" s="477">
        <f t="shared" si="2"/>
        <v>780.2</v>
      </c>
      <c r="O14" s="483">
        <f t="shared" si="22"/>
        <v>428.09999999999991</v>
      </c>
      <c r="P14" s="487">
        <f t="shared" si="3"/>
        <v>1208.3</v>
      </c>
      <c r="Q14" s="483">
        <f t="shared" si="4"/>
        <v>1571</v>
      </c>
      <c r="R14" s="487">
        <f t="shared" si="23"/>
        <v>816.80000000000018</v>
      </c>
      <c r="S14" s="483">
        <f t="shared" si="5"/>
        <v>2387.8000000000002</v>
      </c>
      <c r="T14" s="184">
        <f t="shared" si="6"/>
        <v>0.64570057105023593</v>
      </c>
      <c r="U14" s="185">
        <f t="shared" si="7"/>
        <v>0.65792779964821169</v>
      </c>
      <c r="V14" s="186">
        <f t="shared" si="8"/>
        <v>0.33183055461041178</v>
      </c>
      <c r="W14" s="180"/>
      <c r="X14" s="149" t="str">
        <f t="shared" si="24"/>
        <v>2020-21</v>
      </c>
      <c r="Y14" s="477">
        <f t="shared" si="9"/>
        <v>683.30000000000007</v>
      </c>
      <c r="Z14" s="483">
        <f t="shared" si="25"/>
        <v>383.6</v>
      </c>
      <c r="AA14" s="487">
        <f t="shared" si="10"/>
        <v>1066.9000000000001</v>
      </c>
      <c r="AB14" s="483">
        <f t="shared" si="11"/>
        <v>1368.8</v>
      </c>
      <c r="AC14" s="487">
        <f t="shared" si="12"/>
        <v>726.00000000000023</v>
      </c>
      <c r="AD14" s="483">
        <f t="shared" si="13"/>
        <v>2094.8000000000002</v>
      </c>
      <c r="AE14" s="184">
        <f t="shared" si="14"/>
        <v>0.64045365076389538</v>
      </c>
      <c r="AF14" s="185">
        <f t="shared" si="15"/>
        <v>0.65342753484819549</v>
      </c>
      <c r="AG14" s="186">
        <f t="shared" si="16"/>
        <v>0.332975975829638</v>
      </c>
    </row>
    <row r="15" spans="1:33" x14ac:dyDescent="0.25">
      <c r="A15">
        <f t="shared" si="17"/>
        <v>2005</v>
      </c>
      <c r="B15" s="139">
        <v>38412</v>
      </c>
      <c r="C15" s="474">
        <v>60.2</v>
      </c>
      <c r="D15" s="479">
        <f t="shared" si="18"/>
        <v>23.599999999999994</v>
      </c>
      <c r="E15" s="474">
        <v>83.8</v>
      </c>
      <c r="F15" s="479">
        <v>74.2</v>
      </c>
      <c r="G15" s="474">
        <f t="shared" si="19"/>
        <v>67.8</v>
      </c>
      <c r="H15" s="479">
        <v>142</v>
      </c>
      <c r="I15" s="175">
        <f t="shared" si="0"/>
        <v>0.7183770883054893</v>
      </c>
      <c r="J15" s="49">
        <f t="shared" si="20"/>
        <v>0.5225352112676056</v>
      </c>
      <c r="K15" s="176">
        <f t="shared" si="21"/>
        <v>0.44791666666666669</v>
      </c>
      <c r="L15" s="12"/>
      <c r="M15" s="149">
        <f t="shared" si="1"/>
        <v>2022</v>
      </c>
      <c r="N15" s="476">
        <f t="shared" si="2"/>
        <v>794</v>
      </c>
      <c r="O15" s="481">
        <f t="shared" si="22"/>
        <v>475.20000000000005</v>
      </c>
      <c r="P15" s="486">
        <f t="shared" si="3"/>
        <v>1269.2</v>
      </c>
      <c r="Q15" s="481">
        <f t="shared" si="4"/>
        <v>1752.8999999999999</v>
      </c>
      <c r="R15" s="486">
        <f t="shared" si="23"/>
        <v>1037.9999999999998</v>
      </c>
      <c r="S15" s="481">
        <f t="shared" si="5"/>
        <v>2790.8999999999996</v>
      </c>
      <c r="T15" s="114">
        <f t="shared" si="6"/>
        <v>0.62559092341632527</v>
      </c>
      <c r="U15" s="178">
        <f t="shared" si="7"/>
        <v>0.62807696442007954</v>
      </c>
      <c r="V15" s="179">
        <f t="shared" si="8"/>
        <v>0.31175154108916725</v>
      </c>
      <c r="W15" s="180"/>
      <c r="X15" s="149" t="str">
        <f t="shared" si="24"/>
        <v>2021-22</v>
      </c>
      <c r="Y15" s="476">
        <f t="shared" si="9"/>
        <v>758.5</v>
      </c>
      <c r="Z15" s="481">
        <f t="shared" si="25"/>
        <v>461.69999999999982</v>
      </c>
      <c r="AA15" s="486">
        <f t="shared" si="10"/>
        <v>1220.1999999999998</v>
      </c>
      <c r="AB15" s="481">
        <f t="shared" si="11"/>
        <v>1720</v>
      </c>
      <c r="AC15" s="486">
        <f t="shared" si="12"/>
        <v>921.69999999999982</v>
      </c>
      <c r="AD15" s="481">
        <f t="shared" si="13"/>
        <v>2641.7</v>
      </c>
      <c r="AE15" s="114">
        <f t="shared" si="14"/>
        <v>0.62161940665464688</v>
      </c>
      <c r="AF15" s="178">
        <f t="shared" si="15"/>
        <v>0.65109588522542305</v>
      </c>
      <c r="AG15" s="179">
        <f t="shared" si="16"/>
        <v>0.30603187411740973</v>
      </c>
    </row>
    <row r="16" spans="1:33" x14ac:dyDescent="0.25">
      <c r="A16">
        <f t="shared" si="17"/>
        <v>2005</v>
      </c>
      <c r="B16" s="139">
        <v>38504</v>
      </c>
      <c r="C16" s="475">
        <v>80.2</v>
      </c>
      <c r="D16" s="480">
        <f t="shared" si="18"/>
        <v>35</v>
      </c>
      <c r="E16" s="475">
        <v>115.2</v>
      </c>
      <c r="F16" s="480">
        <v>86.8</v>
      </c>
      <c r="G16" s="475">
        <f t="shared" si="19"/>
        <v>88.7</v>
      </c>
      <c r="H16" s="480">
        <v>175.5</v>
      </c>
      <c r="I16" s="181">
        <f t="shared" si="0"/>
        <v>0.69618055555555558</v>
      </c>
      <c r="J16" s="182">
        <f t="shared" si="20"/>
        <v>0.49458689458689459</v>
      </c>
      <c r="K16" s="183">
        <f t="shared" si="21"/>
        <v>0.48023952095808387</v>
      </c>
      <c r="L16" s="12"/>
      <c r="M16" s="149">
        <f t="shared" si="1"/>
        <v>2023</v>
      </c>
      <c r="N16" s="477">
        <f t="shared" si="2"/>
        <v>792.2</v>
      </c>
      <c r="O16" s="483">
        <f t="shared" si="22"/>
        <v>546.09999999999991</v>
      </c>
      <c r="P16" s="487">
        <f t="shared" si="3"/>
        <v>1338.3</v>
      </c>
      <c r="Q16" s="483">
        <f t="shared" si="4"/>
        <v>1809</v>
      </c>
      <c r="R16" s="487">
        <f t="shared" si="23"/>
        <v>1113.4000000000005</v>
      </c>
      <c r="S16" s="483">
        <f t="shared" si="5"/>
        <v>2922.4000000000005</v>
      </c>
      <c r="T16" s="184">
        <f t="shared" si="6"/>
        <v>0.59194500485690804</v>
      </c>
      <c r="U16" s="185">
        <f t="shared" si="7"/>
        <v>0.61901177114700234</v>
      </c>
      <c r="V16" s="186">
        <f t="shared" si="8"/>
        <v>0.30455174534830082</v>
      </c>
      <c r="W16" s="180"/>
      <c r="X16" s="149" t="str">
        <f t="shared" si="24"/>
        <v>2022-23</v>
      </c>
      <c r="Y16" s="477">
        <f t="shared" si="9"/>
        <v>816.40000000000009</v>
      </c>
      <c r="Z16" s="483">
        <f t="shared" si="25"/>
        <v>483.69999999999982</v>
      </c>
      <c r="AA16" s="487">
        <f t="shared" si="10"/>
        <v>1300.0999999999999</v>
      </c>
      <c r="AB16" s="483">
        <f t="shared" si="11"/>
        <v>1738.6</v>
      </c>
      <c r="AC16" s="487">
        <f t="shared" si="12"/>
        <v>1094.8000000000002</v>
      </c>
      <c r="AD16" s="483">
        <f t="shared" si="13"/>
        <v>2833.4</v>
      </c>
      <c r="AE16" s="184">
        <f t="shared" si="14"/>
        <v>0.62795169602338297</v>
      </c>
      <c r="AF16" s="185">
        <f t="shared" si="15"/>
        <v>0.61360909155078702</v>
      </c>
      <c r="AG16" s="186">
        <f t="shared" si="16"/>
        <v>0.31953033268101766</v>
      </c>
    </row>
    <row r="17" spans="1:33" x14ac:dyDescent="0.25">
      <c r="A17">
        <f t="shared" si="17"/>
        <v>2005</v>
      </c>
      <c r="B17" s="139">
        <v>38596</v>
      </c>
      <c r="C17" s="474">
        <v>64.2</v>
      </c>
      <c r="D17" s="479">
        <f t="shared" si="18"/>
        <v>41.3</v>
      </c>
      <c r="E17" s="474">
        <v>105.5</v>
      </c>
      <c r="F17" s="479">
        <v>90.2</v>
      </c>
      <c r="G17" s="474">
        <f t="shared" si="19"/>
        <v>96.399999999999991</v>
      </c>
      <c r="H17" s="479">
        <v>186.6</v>
      </c>
      <c r="I17" s="175">
        <f t="shared" si="0"/>
        <v>0.60853080568720386</v>
      </c>
      <c r="J17" s="49">
        <f t="shared" si="20"/>
        <v>0.48338692390139337</v>
      </c>
      <c r="K17" s="176">
        <f t="shared" si="21"/>
        <v>0.41580310880829013</v>
      </c>
      <c r="L17" s="12"/>
      <c r="M17" s="149">
        <f t="shared" si="1"/>
        <v>2024</v>
      </c>
      <c r="N17" s="476">
        <f t="shared" si="2"/>
        <v>601.79999999999995</v>
      </c>
      <c r="O17" s="481">
        <f t="shared" si="22"/>
        <v>526.70000000000005</v>
      </c>
      <c r="P17" s="486">
        <f t="shared" si="3"/>
        <v>1128.5</v>
      </c>
      <c r="Q17" s="481">
        <f t="shared" si="4"/>
        <v>1912.8</v>
      </c>
      <c r="R17" s="486">
        <f t="shared" si="23"/>
        <v>901.30000000000041</v>
      </c>
      <c r="S17" s="481">
        <f t="shared" si="5"/>
        <v>2814.1000000000004</v>
      </c>
      <c r="T17" s="114">
        <f t="shared" si="6"/>
        <v>0.53327425786442173</v>
      </c>
      <c r="U17" s="178">
        <f t="shared" si="7"/>
        <v>0.67971998152162316</v>
      </c>
      <c r="V17" s="179">
        <f t="shared" si="8"/>
        <v>0.23932235743259364</v>
      </c>
      <c r="W17" s="180"/>
      <c r="X17" s="149" t="str">
        <f t="shared" si="24"/>
        <v>2023-24</v>
      </c>
      <c r="Y17" s="474">
        <f t="shared" si="9"/>
        <v>733.4</v>
      </c>
      <c r="Z17" s="479">
        <f t="shared" si="25"/>
        <v>582.19999999999993</v>
      </c>
      <c r="AA17" s="491">
        <f t="shared" si="10"/>
        <v>1315.6</v>
      </c>
      <c r="AB17" s="491">
        <f t="shared" si="11"/>
        <v>1850</v>
      </c>
      <c r="AC17" s="491">
        <f t="shared" si="12"/>
        <v>1049</v>
      </c>
      <c r="AD17" s="479">
        <f t="shared" si="13"/>
        <v>2899</v>
      </c>
      <c r="AE17" s="187">
        <f t="shared" si="14"/>
        <v>0.55746427485557926</v>
      </c>
      <c r="AF17" s="188">
        <f t="shared" si="15"/>
        <v>0.63815108658157982</v>
      </c>
      <c r="AG17" s="94">
        <f t="shared" si="16"/>
        <v>0.28388944801424476</v>
      </c>
    </row>
    <row r="18" spans="1:33" ht="15.75" thickBot="1" x14ac:dyDescent="0.3">
      <c r="A18">
        <f t="shared" si="17"/>
        <v>2005</v>
      </c>
      <c r="B18" s="139">
        <v>38687</v>
      </c>
      <c r="C18" s="475">
        <v>70.8</v>
      </c>
      <c r="D18" s="480">
        <f t="shared" si="18"/>
        <v>47</v>
      </c>
      <c r="E18" s="475">
        <v>117.8</v>
      </c>
      <c r="F18" s="480">
        <v>87.2</v>
      </c>
      <c r="G18" s="475">
        <f t="shared" si="19"/>
        <v>122.60000000000001</v>
      </c>
      <c r="H18" s="480">
        <v>209.8</v>
      </c>
      <c r="I18" s="181">
        <f t="shared" si="0"/>
        <v>0.60101867572156198</v>
      </c>
      <c r="J18" s="182">
        <f t="shared" si="20"/>
        <v>0.41563393708293611</v>
      </c>
      <c r="K18" s="183">
        <f t="shared" si="21"/>
        <v>0.44810126582278481</v>
      </c>
      <c r="L18" s="12"/>
      <c r="M18" s="155">
        <f>YEAR(LARGE(B:B, 4))</f>
        <v>2025</v>
      </c>
      <c r="N18" s="478">
        <f t="shared" si="2"/>
        <v>589</v>
      </c>
      <c r="O18" s="485">
        <f t="shared" si="22"/>
        <v>431.29999999999995</v>
      </c>
      <c r="P18" s="488">
        <f t="shared" si="3"/>
        <v>1020.3</v>
      </c>
      <c r="Q18" s="489">
        <f t="shared" si="4"/>
        <v>2110</v>
      </c>
      <c r="R18" s="490">
        <f t="shared" si="23"/>
        <v>819</v>
      </c>
      <c r="S18" s="485">
        <f t="shared" si="5"/>
        <v>2929</v>
      </c>
      <c r="T18" s="189">
        <f t="shared" si="6"/>
        <v>0.57728119180633153</v>
      </c>
      <c r="U18" s="190">
        <f t="shared" si="7"/>
        <v>0.72038238306589275</v>
      </c>
      <c r="V18" s="191">
        <f t="shared" si="8"/>
        <v>0.21822897369396071</v>
      </c>
      <c r="W18" s="180"/>
      <c r="X18" s="155" t="str">
        <f>IF(MONTH(LARGE(B:B,4))&gt;=7, YEAR(LARGE(B:B,4)) &amp; "-" &amp; RIGHT(YEAR(LARGE(B:B,4))+1, 2),
                                                               YEAR(LARGE(B:B,4))-1 &amp; "-" &amp; RIGHT(YEAR(LARGE(B:B,4)), 2)
)</f>
        <v>2024-25</v>
      </c>
      <c r="Y18" s="478">
        <f t="shared" si="9"/>
        <v>540.70000000000005</v>
      </c>
      <c r="Z18" s="485">
        <f t="shared" si="25"/>
        <v>470.29999999999995</v>
      </c>
      <c r="AA18" s="490">
        <f t="shared" si="10"/>
        <v>1011</v>
      </c>
      <c r="AB18" s="485">
        <f t="shared" si="11"/>
        <v>2024.3000000000002</v>
      </c>
      <c r="AC18" s="490">
        <f t="shared" si="12"/>
        <v>793.49999999999955</v>
      </c>
      <c r="AD18" s="485">
        <f t="shared" si="13"/>
        <v>2817.7999999999997</v>
      </c>
      <c r="AE18" s="189">
        <f t="shared" si="14"/>
        <v>0.53481701285855598</v>
      </c>
      <c r="AF18" s="190">
        <f t="shared" si="15"/>
        <v>0.71839733125133098</v>
      </c>
      <c r="AG18" s="191">
        <f t="shared" si="16"/>
        <v>0.21079922027290451</v>
      </c>
    </row>
    <row r="19" spans="1:33" x14ac:dyDescent="0.25">
      <c r="A19">
        <f t="shared" si="17"/>
        <v>2006</v>
      </c>
      <c r="B19" s="139">
        <v>38777</v>
      </c>
      <c r="C19" s="474">
        <v>60.4</v>
      </c>
      <c r="D19" s="479">
        <f t="shared" si="18"/>
        <v>44.1</v>
      </c>
      <c r="E19" s="474">
        <v>104.5</v>
      </c>
      <c r="F19" s="479">
        <v>61.1</v>
      </c>
      <c r="G19" s="474">
        <f t="shared" si="19"/>
        <v>98.200000000000017</v>
      </c>
      <c r="H19" s="479">
        <v>159.30000000000001</v>
      </c>
      <c r="I19" s="175">
        <f t="shared" si="0"/>
        <v>0.57799043062200961</v>
      </c>
      <c r="J19" s="49">
        <f t="shared" si="20"/>
        <v>0.38355304456999373</v>
      </c>
      <c r="K19" s="176">
        <f t="shared" si="21"/>
        <v>0.49711934156378601</v>
      </c>
      <c r="L19" s="12"/>
      <c r="V19" s="138"/>
      <c r="W19" s="180"/>
      <c r="AB19" s="12"/>
      <c r="AC19" s="12"/>
      <c r="AD19" s="12"/>
      <c r="AF19" s="12"/>
      <c r="AG19" s="12"/>
    </row>
    <row r="20" spans="1:33" x14ac:dyDescent="0.25">
      <c r="A20">
        <f t="shared" si="17"/>
        <v>2006</v>
      </c>
      <c r="B20" s="139">
        <v>38869</v>
      </c>
      <c r="C20" s="475">
        <v>73.2</v>
      </c>
      <c r="D20" s="480">
        <f t="shared" si="18"/>
        <v>56.499999999999986</v>
      </c>
      <c r="E20" s="475">
        <v>129.69999999999999</v>
      </c>
      <c r="F20" s="480">
        <v>83.1</v>
      </c>
      <c r="G20" s="475">
        <f t="shared" si="19"/>
        <v>144.6</v>
      </c>
      <c r="H20" s="480">
        <v>227.7</v>
      </c>
      <c r="I20" s="181">
        <f t="shared" si="0"/>
        <v>0.5643793369313802</v>
      </c>
      <c r="J20" s="182">
        <f t="shared" si="20"/>
        <v>0.36495388669301715</v>
      </c>
      <c r="K20" s="183">
        <f t="shared" si="21"/>
        <v>0.46833013435700577</v>
      </c>
      <c r="L20" s="12"/>
      <c r="V20" s="138"/>
      <c r="W20" s="138"/>
      <c r="AB20" s="12"/>
      <c r="AC20" s="12"/>
      <c r="AD20" s="12"/>
      <c r="AF20" s="12"/>
      <c r="AG20" s="12"/>
    </row>
    <row r="21" spans="1:33" x14ac:dyDescent="0.25">
      <c r="A21">
        <f t="shared" si="17"/>
        <v>2006</v>
      </c>
      <c r="B21" s="139">
        <v>38961</v>
      </c>
      <c r="C21" s="474">
        <v>77.099999999999994</v>
      </c>
      <c r="D21" s="479">
        <f t="shared" si="18"/>
        <v>61.400000000000006</v>
      </c>
      <c r="E21" s="474">
        <v>138.5</v>
      </c>
      <c r="F21" s="479">
        <v>113.1</v>
      </c>
      <c r="G21" s="474">
        <f t="shared" si="19"/>
        <v>143.00000000000003</v>
      </c>
      <c r="H21" s="479">
        <v>256.10000000000002</v>
      </c>
      <c r="I21" s="175">
        <f t="shared" si="0"/>
        <v>0.55667870036101075</v>
      </c>
      <c r="J21" s="49">
        <f t="shared" si="20"/>
        <v>0.44162436548223344</v>
      </c>
      <c r="K21" s="176">
        <f t="shared" si="21"/>
        <v>0.40536277602523657</v>
      </c>
      <c r="L21" s="12"/>
      <c r="V21" s="138"/>
      <c r="W21" s="138"/>
      <c r="AB21" s="12"/>
      <c r="AC21" s="12"/>
      <c r="AD21" s="12"/>
      <c r="AF21" s="12"/>
      <c r="AG21" s="12"/>
    </row>
    <row r="22" spans="1:33" x14ac:dyDescent="0.25">
      <c r="A22">
        <f t="shared" si="17"/>
        <v>2006</v>
      </c>
      <c r="B22" s="139">
        <v>39052</v>
      </c>
      <c r="C22" s="475">
        <v>86.4</v>
      </c>
      <c r="D22" s="480">
        <f t="shared" si="18"/>
        <v>73.799999999999983</v>
      </c>
      <c r="E22" s="475">
        <v>160.19999999999999</v>
      </c>
      <c r="F22" s="480">
        <v>130.80000000000001</v>
      </c>
      <c r="G22" s="475">
        <f t="shared" si="19"/>
        <v>157.19999999999999</v>
      </c>
      <c r="H22" s="480">
        <v>288</v>
      </c>
      <c r="I22" s="181">
        <f t="shared" si="0"/>
        <v>0.53932584269662931</v>
      </c>
      <c r="J22" s="182">
        <f t="shared" si="20"/>
        <v>0.45416666666666672</v>
      </c>
      <c r="K22" s="183">
        <f t="shared" si="21"/>
        <v>0.39779005524861877</v>
      </c>
      <c r="L22" s="12"/>
      <c r="V22" s="138"/>
      <c r="W22" s="138"/>
      <c r="AB22" s="12"/>
      <c r="AC22" s="12"/>
      <c r="AD22" s="12"/>
      <c r="AF22" s="12"/>
      <c r="AG22" s="12"/>
    </row>
    <row r="23" spans="1:33" x14ac:dyDescent="0.25">
      <c r="A23">
        <f t="shared" si="17"/>
        <v>2007</v>
      </c>
      <c r="B23" s="139">
        <v>39142</v>
      </c>
      <c r="C23" s="474">
        <v>74.099999999999994</v>
      </c>
      <c r="D23" s="479">
        <f t="shared" si="18"/>
        <v>58.400000000000006</v>
      </c>
      <c r="E23" s="474">
        <v>132.5</v>
      </c>
      <c r="F23" s="479">
        <v>105.7</v>
      </c>
      <c r="G23" s="474">
        <f t="shared" si="19"/>
        <v>131.10000000000002</v>
      </c>
      <c r="H23" s="479">
        <v>236.8</v>
      </c>
      <c r="I23" s="175">
        <f t="shared" si="0"/>
        <v>0.55924528301886789</v>
      </c>
      <c r="J23" s="49">
        <f t="shared" si="20"/>
        <v>0.44636824324324326</v>
      </c>
      <c r="K23" s="176">
        <f t="shared" si="21"/>
        <v>0.41212458286985532</v>
      </c>
      <c r="L23" s="12"/>
      <c r="V23" s="138"/>
      <c r="W23" s="138"/>
      <c r="AB23" s="12"/>
      <c r="AC23" s="12"/>
      <c r="AD23" s="12"/>
      <c r="AF23" s="12"/>
      <c r="AG23" s="12"/>
    </row>
    <row r="24" spans="1:33" x14ac:dyDescent="0.25">
      <c r="A24">
        <f t="shared" si="17"/>
        <v>2007</v>
      </c>
      <c r="B24" s="139">
        <v>39234</v>
      </c>
      <c r="C24" s="475">
        <v>94.4</v>
      </c>
      <c r="D24" s="480">
        <f t="shared" si="18"/>
        <v>84.299999999999983</v>
      </c>
      <c r="E24" s="475">
        <v>178.7</v>
      </c>
      <c r="F24" s="480">
        <v>157.4</v>
      </c>
      <c r="G24" s="475">
        <f t="shared" si="19"/>
        <v>166.29999999999998</v>
      </c>
      <c r="H24" s="480">
        <v>323.7</v>
      </c>
      <c r="I24" s="181">
        <f t="shared" si="0"/>
        <v>0.52825965304980416</v>
      </c>
      <c r="J24" s="182">
        <f t="shared" si="20"/>
        <v>0.48625270312017305</v>
      </c>
      <c r="K24" s="183">
        <f t="shared" si="21"/>
        <v>0.37490071485305798</v>
      </c>
      <c r="L24" s="12"/>
      <c r="V24" s="138"/>
      <c r="W24" s="138"/>
      <c r="AB24" s="12"/>
      <c r="AC24" s="12"/>
      <c r="AD24" s="12"/>
      <c r="AF24" s="12"/>
      <c r="AG24" s="12"/>
    </row>
    <row r="25" spans="1:33" x14ac:dyDescent="0.25">
      <c r="A25">
        <f t="shared" si="17"/>
        <v>2007</v>
      </c>
      <c r="B25" s="139">
        <v>39326</v>
      </c>
      <c r="C25" s="474">
        <v>110.9</v>
      </c>
      <c r="D25" s="479">
        <f t="shared" si="18"/>
        <v>98.6</v>
      </c>
      <c r="E25" s="474">
        <v>209.5</v>
      </c>
      <c r="F25" s="479">
        <v>182.5</v>
      </c>
      <c r="G25" s="474">
        <f t="shared" si="19"/>
        <v>171.39999999999998</v>
      </c>
      <c r="H25" s="479">
        <v>353.9</v>
      </c>
      <c r="I25" s="175">
        <f t="shared" si="0"/>
        <v>0.52935560859188546</v>
      </c>
      <c r="J25" s="49">
        <f t="shared" si="20"/>
        <v>0.51568239615710654</v>
      </c>
      <c r="K25" s="176">
        <f t="shared" si="21"/>
        <v>0.37798227675528295</v>
      </c>
      <c r="L25" s="12"/>
      <c r="V25" s="138"/>
      <c r="W25" s="138"/>
      <c r="AB25" s="12"/>
      <c r="AC25" s="12"/>
      <c r="AD25" s="12"/>
      <c r="AF25" s="12"/>
      <c r="AG25" s="12"/>
    </row>
    <row r="26" spans="1:33" x14ac:dyDescent="0.25">
      <c r="A26">
        <f t="shared" si="17"/>
        <v>2007</v>
      </c>
      <c r="B26" s="139">
        <v>39417</v>
      </c>
      <c r="C26" s="475">
        <v>135</v>
      </c>
      <c r="D26" s="480">
        <f t="shared" si="18"/>
        <v>139.19999999999999</v>
      </c>
      <c r="E26" s="475">
        <v>274.2</v>
      </c>
      <c r="F26" s="480">
        <v>178.8</v>
      </c>
      <c r="G26" s="475">
        <f t="shared" si="19"/>
        <v>172.89999999999998</v>
      </c>
      <c r="H26" s="480">
        <v>351.7</v>
      </c>
      <c r="I26" s="181">
        <f t="shared" si="0"/>
        <v>0.49234135667396062</v>
      </c>
      <c r="J26" s="182">
        <f t="shared" si="20"/>
        <v>0.5083878305373899</v>
      </c>
      <c r="K26" s="183">
        <f t="shared" si="21"/>
        <v>0.43021032504780116</v>
      </c>
      <c r="L26" s="12"/>
      <c r="V26" s="138"/>
      <c r="W26" s="138"/>
      <c r="AB26" s="12"/>
      <c r="AC26" s="12"/>
      <c r="AD26" s="12"/>
      <c r="AF26" s="12"/>
      <c r="AG26" s="12"/>
    </row>
    <row r="27" spans="1:33" x14ac:dyDescent="0.25">
      <c r="A27">
        <f t="shared" si="17"/>
        <v>2008</v>
      </c>
      <c r="B27" s="139">
        <v>39508</v>
      </c>
      <c r="C27" s="474">
        <v>117.4</v>
      </c>
      <c r="D27" s="479">
        <f t="shared" si="18"/>
        <v>106.19999999999999</v>
      </c>
      <c r="E27" s="474">
        <v>223.6</v>
      </c>
      <c r="F27" s="479">
        <v>154</v>
      </c>
      <c r="G27" s="474">
        <f t="shared" si="19"/>
        <v>166.3</v>
      </c>
      <c r="H27" s="479">
        <v>320.3</v>
      </c>
      <c r="I27" s="175">
        <f t="shared" si="0"/>
        <v>0.52504472271914138</v>
      </c>
      <c r="J27" s="49">
        <f t="shared" si="20"/>
        <v>0.48079925070246643</v>
      </c>
      <c r="K27" s="176">
        <f t="shared" si="21"/>
        <v>0.43257184966838619</v>
      </c>
      <c r="L27" s="12"/>
      <c r="V27" s="138"/>
      <c r="W27" s="138"/>
      <c r="AB27" s="12"/>
      <c r="AC27" s="12"/>
      <c r="AD27" s="12"/>
      <c r="AF27" s="12"/>
      <c r="AG27" s="12"/>
    </row>
    <row r="28" spans="1:33" x14ac:dyDescent="0.25">
      <c r="A28">
        <f t="shared" si="17"/>
        <v>2008</v>
      </c>
      <c r="B28" s="139">
        <v>39600</v>
      </c>
      <c r="C28" s="475">
        <v>173.6</v>
      </c>
      <c r="D28" s="480">
        <f t="shared" si="18"/>
        <v>131.79999999999998</v>
      </c>
      <c r="E28" s="475">
        <v>305.39999999999998</v>
      </c>
      <c r="F28" s="480">
        <v>207.6</v>
      </c>
      <c r="G28" s="475">
        <f t="shared" si="19"/>
        <v>215.1</v>
      </c>
      <c r="H28" s="480">
        <v>422.7</v>
      </c>
      <c r="I28" s="181">
        <f t="shared" si="0"/>
        <v>0.56843483955468244</v>
      </c>
      <c r="J28" s="182">
        <f t="shared" si="20"/>
        <v>0.49112845990063875</v>
      </c>
      <c r="K28" s="183">
        <f t="shared" si="21"/>
        <v>0.45540398740818466</v>
      </c>
      <c r="L28" s="12"/>
      <c r="N28" s="123"/>
      <c r="O28" s="123"/>
      <c r="P28" s="123"/>
      <c r="Q28" s="46"/>
      <c r="R28" s="46"/>
      <c r="S28" s="123"/>
      <c r="T28" s="123"/>
      <c r="U28" s="123"/>
      <c r="V28" s="138"/>
      <c r="W28" s="138"/>
      <c r="AB28" s="12"/>
      <c r="AC28" s="12"/>
      <c r="AD28" s="12"/>
      <c r="AF28" s="12"/>
      <c r="AG28" s="12"/>
    </row>
    <row r="29" spans="1:33" x14ac:dyDescent="0.25">
      <c r="A29">
        <f t="shared" si="17"/>
        <v>2008</v>
      </c>
      <c r="B29" s="139">
        <v>39692</v>
      </c>
      <c r="C29" s="474">
        <v>157.30000000000001</v>
      </c>
      <c r="D29" s="479">
        <f t="shared" si="18"/>
        <v>113.30000000000001</v>
      </c>
      <c r="E29" s="474">
        <v>270.60000000000002</v>
      </c>
      <c r="F29" s="479">
        <v>226.5</v>
      </c>
      <c r="G29" s="474">
        <f t="shared" si="19"/>
        <v>190.60000000000002</v>
      </c>
      <c r="H29" s="479">
        <v>417.1</v>
      </c>
      <c r="I29" s="175">
        <f t="shared" si="0"/>
        <v>0.58130081300813008</v>
      </c>
      <c r="J29" s="49">
        <f t="shared" si="20"/>
        <v>0.54303524334691922</v>
      </c>
      <c r="K29" s="176">
        <f t="shared" si="21"/>
        <v>0.4098488796248046</v>
      </c>
      <c r="L29" s="12"/>
      <c r="V29" s="138"/>
      <c r="W29" s="138"/>
      <c r="AB29" s="12"/>
      <c r="AC29" s="12"/>
      <c r="AD29" s="12"/>
      <c r="AF29" s="12"/>
      <c r="AG29" s="12"/>
    </row>
    <row r="30" spans="1:33" x14ac:dyDescent="0.25">
      <c r="A30">
        <f t="shared" si="17"/>
        <v>2008</v>
      </c>
      <c r="B30" s="139">
        <v>39783</v>
      </c>
      <c r="C30" s="475">
        <v>128.1</v>
      </c>
      <c r="D30" s="480">
        <f t="shared" si="18"/>
        <v>109.6</v>
      </c>
      <c r="E30" s="475">
        <v>237.7</v>
      </c>
      <c r="F30" s="480">
        <v>235.9</v>
      </c>
      <c r="G30" s="475">
        <f t="shared" si="19"/>
        <v>174.9</v>
      </c>
      <c r="H30" s="480">
        <v>410.8</v>
      </c>
      <c r="I30" s="181">
        <f t="shared" si="0"/>
        <v>0.53891459823306687</v>
      </c>
      <c r="J30" s="182">
        <f t="shared" si="20"/>
        <v>0.57424537487828631</v>
      </c>
      <c r="K30" s="183">
        <f t="shared" si="21"/>
        <v>0.35192307692307689</v>
      </c>
      <c r="L30" s="12"/>
      <c r="V30" s="138"/>
      <c r="W30" s="138"/>
      <c r="AB30" s="12"/>
      <c r="AC30" s="12"/>
      <c r="AD30" s="12"/>
      <c r="AF30" s="12"/>
      <c r="AG30" s="12"/>
    </row>
    <row r="31" spans="1:33" x14ac:dyDescent="0.25">
      <c r="A31">
        <f t="shared" si="17"/>
        <v>2009</v>
      </c>
      <c r="B31" s="139">
        <v>39873</v>
      </c>
      <c r="C31" s="474">
        <v>84.4</v>
      </c>
      <c r="D31" s="479">
        <f t="shared" si="18"/>
        <v>64.400000000000006</v>
      </c>
      <c r="E31" s="474">
        <v>148.80000000000001</v>
      </c>
      <c r="F31" s="479">
        <v>139.9</v>
      </c>
      <c r="G31" s="474">
        <f t="shared" si="19"/>
        <v>114.69999999999999</v>
      </c>
      <c r="H31" s="479">
        <v>254.6</v>
      </c>
      <c r="I31" s="175">
        <f t="shared" si="0"/>
        <v>0.56720430107526876</v>
      </c>
      <c r="J31" s="49">
        <f t="shared" si="20"/>
        <v>0.54948939512961514</v>
      </c>
      <c r="K31" s="176">
        <f t="shared" si="21"/>
        <v>0.3762817654926438</v>
      </c>
      <c r="L31" s="12"/>
      <c r="V31" s="138"/>
      <c r="W31" s="138"/>
      <c r="AB31" s="12"/>
      <c r="AC31" s="12"/>
      <c r="AD31" s="12"/>
      <c r="AF31" s="12"/>
      <c r="AG31" s="12"/>
    </row>
    <row r="32" spans="1:33" x14ac:dyDescent="0.25">
      <c r="A32">
        <f t="shared" si="17"/>
        <v>2009</v>
      </c>
      <c r="B32" s="139">
        <v>39965</v>
      </c>
      <c r="C32" s="475">
        <v>96</v>
      </c>
      <c r="D32" s="480">
        <f t="shared" si="18"/>
        <v>86.1</v>
      </c>
      <c r="E32" s="475">
        <v>182.1</v>
      </c>
      <c r="F32" s="480">
        <v>178.8</v>
      </c>
      <c r="G32" s="475">
        <f t="shared" si="19"/>
        <v>122.59999999999997</v>
      </c>
      <c r="H32" s="480">
        <v>301.39999999999998</v>
      </c>
      <c r="I32" s="181">
        <f t="shared" si="0"/>
        <v>0.52718286655683688</v>
      </c>
      <c r="J32" s="182">
        <f t="shared" si="20"/>
        <v>0.59323158593231595</v>
      </c>
      <c r="K32" s="183">
        <f t="shared" si="21"/>
        <v>0.34934497816593885</v>
      </c>
      <c r="L32" s="12"/>
      <c r="V32" s="138"/>
      <c r="W32" s="138"/>
      <c r="AB32" s="12"/>
      <c r="AC32" s="12"/>
      <c r="AD32" s="12"/>
      <c r="AF32" s="12"/>
      <c r="AG32" s="12"/>
    </row>
    <row r="33" spans="1:33" x14ac:dyDescent="0.25">
      <c r="A33">
        <f t="shared" si="17"/>
        <v>2009</v>
      </c>
      <c r="B33" s="139">
        <v>40057</v>
      </c>
      <c r="C33" s="474">
        <v>97.9</v>
      </c>
      <c r="D33" s="479">
        <f t="shared" si="18"/>
        <v>103.9</v>
      </c>
      <c r="E33" s="474">
        <v>201.8</v>
      </c>
      <c r="F33" s="479">
        <v>201</v>
      </c>
      <c r="G33" s="474">
        <f t="shared" si="19"/>
        <v>154.5</v>
      </c>
      <c r="H33" s="479">
        <v>355.5</v>
      </c>
      <c r="I33" s="175">
        <f t="shared" si="0"/>
        <v>0.48513379583746286</v>
      </c>
      <c r="J33" s="49">
        <f t="shared" si="20"/>
        <v>0.56540084388185652</v>
      </c>
      <c r="K33" s="176">
        <f t="shared" si="21"/>
        <v>0.32753429240548682</v>
      </c>
      <c r="L33" s="12"/>
      <c r="V33" s="138"/>
      <c r="W33" s="138"/>
      <c r="AB33" s="12"/>
      <c r="AC33" s="12"/>
      <c r="AD33" s="12"/>
      <c r="AF33" s="12"/>
      <c r="AG33" s="12"/>
    </row>
    <row r="34" spans="1:33" x14ac:dyDescent="0.25">
      <c r="A34">
        <f t="shared" si="17"/>
        <v>2009</v>
      </c>
      <c r="B34" s="139">
        <v>40148</v>
      </c>
      <c r="C34" s="475">
        <v>135.80000000000001</v>
      </c>
      <c r="D34" s="480">
        <f t="shared" si="18"/>
        <v>93.199999999999989</v>
      </c>
      <c r="E34" s="475">
        <v>229</v>
      </c>
      <c r="F34" s="480">
        <v>185.9</v>
      </c>
      <c r="G34" s="475">
        <f t="shared" si="19"/>
        <v>163.79999999999998</v>
      </c>
      <c r="H34" s="480">
        <v>349.7</v>
      </c>
      <c r="I34" s="181">
        <f t="shared" si="0"/>
        <v>0.59301310043668132</v>
      </c>
      <c r="J34" s="182">
        <f t="shared" si="20"/>
        <v>0.53159851301115246</v>
      </c>
      <c r="K34" s="183">
        <f t="shared" si="21"/>
        <v>0.42213242151072428</v>
      </c>
    </row>
    <row r="35" spans="1:33" x14ac:dyDescent="0.25">
      <c r="A35">
        <f t="shared" si="17"/>
        <v>2010</v>
      </c>
      <c r="B35" s="139">
        <v>40238</v>
      </c>
      <c r="C35" s="474">
        <v>101.8</v>
      </c>
      <c r="D35" s="479">
        <f t="shared" si="18"/>
        <v>71.600000000000009</v>
      </c>
      <c r="E35" s="474">
        <v>173.4</v>
      </c>
      <c r="F35" s="479">
        <v>155.30000000000001</v>
      </c>
      <c r="G35" s="474">
        <f t="shared" si="19"/>
        <v>130.59999999999997</v>
      </c>
      <c r="H35" s="479">
        <v>285.89999999999998</v>
      </c>
      <c r="I35" s="175">
        <f t="shared" si="0"/>
        <v>0.58708189158016144</v>
      </c>
      <c r="J35" s="49">
        <f t="shared" si="20"/>
        <v>0.54319692200069958</v>
      </c>
      <c r="K35" s="176">
        <f t="shared" si="21"/>
        <v>0.39595488136911705</v>
      </c>
    </row>
    <row r="36" spans="1:33" x14ac:dyDescent="0.25">
      <c r="A36">
        <f t="shared" si="17"/>
        <v>2010</v>
      </c>
      <c r="B36" s="139">
        <v>40330</v>
      </c>
      <c r="C36" s="475">
        <v>147.69999999999999</v>
      </c>
      <c r="D36" s="480">
        <f t="shared" si="18"/>
        <v>101.5</v>
      </c>
      <c r="E36" s="475">
        <v>249.2</v>
      </c>
      <c r="F36" s="480">
        <v>218.5</v>
      </c>
      <c r="G36" s="475">
        <f t="shared" si="19"/>
        <v>169.39999999999998</v>
      </c>
      <c r="H36" s="480">
        <v>387.9</v>
      </c>
      <c r="I36" s="181">
        <f t="shared" si="0"/>
        <v>0.59269662921348309</v>
      </c>
      <c r="J36" s="182">
        <f t="shared" si="20"/>
        <v>0.56328950760505292</v>
      </c>
      <c r="K36" s="183">
        <f t="shared" si="21"/>
        <v>0.40333151283451663</v>
      </c>
    </row>
    <row r="37" spans="1:33" x14ac:dyDescent="0.25">
      <c r="A37">
        <f t="shared" si="17"/>
        <v>2010</v>
      </c>
      <c r="B37" s="139">
        <v>40422</v>
      </c>
      <c r="C37" s="474">
        <v>135.4</v>
      </c>
      <c r="D37" s="479">
        <f t="shared" si="18"/>
        <v>105.5</v>
      </c>
      <c r="E37" s="474">
        <v>240.9</v>
      </c>
      <c r="F37" s="479">
        <v>249.2</v>
      </c>
      <c r="G37" s="474">
        <f t="shared" si="19"/>
        <v>179.3</v>
      </c>
      <c r="H37" s="479">
        <v>428.5</v>
      </c>
      <c r="I37" s="175">
        <f t="shared" si="0"/>
        <v>0.56205894562058945</v>
      </c>
      <c r="J37" s="49">
        <f t="shared" si="20"/>
        <v>0.58156359393232204</v>
      </c>
      <c r="K37" s="176">
        <f t="shared" si="21"/>
        <v>0.35205408216328654</v>
      </c>
    </row>
    <row r="38" spans="1:33" x14ac:dyDescent="0.25">
      <c r="A38">
        <f t="shared" si="17"/>
        <v>2010</v>
      </c>
      <c r="B38" s="139">
        <v>40513</v>
      </c>
      <c r="C38" s="475">
        <v>166</v>
      </c>
      <c r="D38" s="480">
        <f t="shared" si="18"/>
        <v>123.5</v>
      </c>
      <c r="E38" s="475">
        <v>289.5</v>
      </c>
      <c r="F38" s="480">
        <v>227.7</v>
      </c>
      <c r="G38" s="475">
        <f t="shared" si="19"/>
        <v>207.2</v>
      </c>
      <c r="H38" s="480">
        <v>434.9</v>
      </c>
      <c r="I38" s="181">
        <f t="shared" si="0"/>
        <v>0.57340241796200342</v>
      </c>
      <c r="J38" s="182">
        <f t="shared" si="20"/>
        <v>0.52356863646815355</v>
      </c>
      <c r="K38" s="183">
        <f t="shared" si="21"/>
        <v>0.42164084328168655</v>
      </c>
    </row>
    <row r="39" spans="1:33" x14ac:dyDescent="0.25">
      <c r="A39">
        <f t="shared" si="17"/>
        <v>2011</v>
      </c>
      <c r="B39" s="139">
        <v>40603</v>
      </c>
      <c r="C39" s="474">
        <v>119</v>
      </c>
      <c r="D39" s="479">
        <f t="shared" si="18"/>
        <v>96</v>
      </c>
      <c r="E39" s="474">
        <v>215</v>
      </c>
      <c r="F39" s="479">
        <v>243.2</v>
      </c>
      <c r="G39" s="474">
        <f t="shared" si="19"/>
        <v>191.90000000000003</v>
      </c>
      <c r="H39" s="479">
        <v>435.1</v>
      </c>
      <c r="I39" s="175">
        <f t="shared" si="0"/>
        <v>0.55348837209302326</v>
      </c>
      <c r="J39" s="49">
        <f t="shared" si="20"/>
        <v>0.55895196506550215</v>
      </c>
      <c r="K39" s="176">
        <f t="shared" si="21"/>
        <v>0.32854776366648264</v>
      </c>
    </row>
    <row r="40" spans="1:33" x14ac:dyDescent="0.25">
      <c r="A40">
        <f t="shared" si="17"/>
        <v>2011</v>
      </c>
      <c r="B40" s="139">
        <v>40695</v>
      </c>
      <c r="C40" s="475">
        <v>146</v>
      </c>
      <c r="D40" s="480">
        <f t="shared" si="18"/>
        <v>146.10000000000002</v>
      </c>
      <c r="E40" s="475">
        <v>292.10000000000002</v>
      </c>
      <c r="F40" s="480">
        <v>303.60000000000002</v>
      </c>
      <c r="G40" s="475">
        <f t="shared" si="19"/>
        <v>311.69999999999993</v>
      </c>
      <c r="H40" s="480">
        <v>615.29999999999995</v>
      </c>
      <c r="I40" s="181">
        <f t="shared" si="0"/>
        <v>0.49982882574460796</v>
      </c>
      <c r="J40" s="182">
        <f t="shared" si="20"/>
        <v>0.49341784495368118</v>
      </c>
      <c r="K40" s="183">
        <f t="shared" si="21"/>
        <v>0.32473309608540923</v>
      </c>
    </row>
    <row r="41" spans="1:33" x14ac:dyDescent="0.25">
      <c r="A41">
        <f t="shared" si="17"/>
        <v>2011</v>
      </c>
      <c r="B41" s="139">
        <v>40787</v>
      </c>
      <c r="C41" s="474">
        <v>144.80000000000001</v>
      </c>
      <c r="D41" s="479">
        <f t="shared" si="18"/>
        <v>168.3</v>
      </c>
      <c r="E41" s="474">
        <v>313.10000000000002</v>
      </c>
      <c r="F41" s="479">
        <v>336.9</v>
      </c>
      <c r="G41" s="474">
        <f t="shared" si="19"/>
        <v>333.4</v>
      </c>
      <c r="H41" s="479">
        <v>670.3</v>
      </c>
      <c r="I41" s="175">
        <f t="shared" si="0"/>
        <v>0.46247205365697858</v>
      </c>
      <c r="J41" s="49">
        <f t="shared" si="20"/>
        <v>0.50261077129643439</v>
      </c>
      <c r="K41" s="176">
        <f t="shared" si="21"/>
        <v>0.30060203446128297</v>
      </c>
    </row>
    <row r="42" spans="1:33" x14ac:dyDescent="0.25">
      <c r="A42">
        <f t="shared" si="17"/>
        <v>2011</v>
      </c>
      <c r="B42" s="139">
        <v>40878</v>
      </c>
      <c r="C42" s="475">
        <v>152.19999999999999</v>
      </c>
      <c r="D42" s="480">
        <f t="shared" si="18"/>
        <v>171.40000000000003</v>
      </c>
      <c r="E42" s="475">
        <v>323.60000000000002</v>
      </c>
      <c r="F42" s="480">
        <v>379.7</v>
      </c>
      <c r="G42" s="475">
        <f t="shared" si="19"/>
        <v>329.09999999999997</v>
      </c>
      <c r="H42" s="480">
        <v>708.8</v>
      </c>
      <c r="I42" s="181">
        <f t="shared" si="0"/>
        <v>0.47033374536464767</v>
      </c>
      <c r="J42" s="182">
        <f t="shared" si="20"/>
        <v>0.53569413092550788</v>
      </c>
      <c r="K42" s="183">
        <f t="shared" si="21"/>
        <v>0.28614401203233691</v>
      </c>
    </row>
    <row r="43" spans="1:33" x14ac:dyDescent="0.25">
      <c r="A43">
        <f t="shared" si="17"/>
        <v>2012</v>
      </c>
      <c r="B43" s="139">
        <v>40969</v>
      </c>
      <c r="C43" s="474">
        <v>126.5</v>
      </c>
      <c r="D43" s="479">
        <f t="shared" si="18"/>
        <v>122.1</v>
      </c>
      <c r="E43" s="474">
        <v>248.6</v>
      </c>
      <c r="F43" s="479">
        <v>363.6</v>
      </c>
      <c r="G43" s="474">
        <f t="shared" si="19"/>
        <v>263.89999999999998</v>
      </c>
      <c r="H43" s="479">
        <v>627.5</v>
      </c>
      <c r="I43" s="175">
        <f t="shared" si="0"/>
        <v>0.50884955752212391</v>
      </c>
      <c r="J43" s="49">
        <f t="shared" si="20"/>
        <v>0.57944223107569726</v>
      </c>
      <c r="K43" s="176">
        <f t="shared" si="21"/>
        <v>0.25811058967557637</v>
      </c>
    </row>
    <row r="44" spans="1:33" x14ac:dyDescent="0.25">
      <c r="A44">
        <f t="shared" si="17"/>
        <v>2012</v>
      </c>
      <c r="B44" s="139">
        <v>41061</v>
      </c>
      <c r="C44" s="475">
        <v>213.5</v>
      </c>
      <c r="D44" s="480">
        <f t="shared" si="18"/>
        <v>144.19999999999999</v>
      </c>
      <c r="E44" s="475">
        <v>357.7</v>
      </c>
      <c r="F44" s="480">
        <v>389.7</v>
      </c>
      <c r="G44" s="475">
        <f t="shared" si="19"/>
        <v>313.7</v>
      </c>
      <c r="H44" s="480">
        <v>703.4</v>
      </c>
      <c r="I44" s="181">
        <f t="shared" si="0"/>
        <v>0.59686888454011744</v>
      </c>
      <c r="J44" s="182">
        <f t="shared" si="20"/>
        <v>0.55402331532556159</v>
      </c>
      <c r="K44" s="183">
        <f t="shared" si="21"/>
        <v>0.35394562334217505</v>
      </c>
    </row>
    <row r="45" spans="1:33" x14ac:dyDescent="0.25">
      <c r="A45">
        <f t="shared" si="17"/>
        <v>2012</v>
      </c>
      <c r="B45" s="139">
        <v>41153</v>
      </c>
      <c r="C45" s="474">
        <v>179.5</v>
      </c>
      <c r="D45" s="479">
        <f t="shared" si="18"/>
        <v>123.5</v>
      </c>
      <c r="E45" s="474">
        <v>303</v>
      </c>
      <c r="F45" s="479">
        <v>309.10000000000002</v>
      </c>
      <c r="G45" s="474">
        <f t="shared" si="19"/>
        <v>282.60000000000002</v>
      </c>
      <c r="H45" s="479">
        <v>591.70000000000005</v>
      </c>
      <c r="I45" s="175">
        <f t="shared" si="0"/>
        <v>0.59240924092409242</v>
      </c>
      <c r="J45" s="49">
        <f t="shared" si="20"/>
        <v>0.5223931046138246</v>
      </c>
      <c r="K45" s="176">
        <f t="shared" si="21"/>
        <v>0.36737617683176421</v>
      </c>
    </row>
    <row r="46" spans="1:33" x14ac:dyDescent="0.25">
      <c r="A46">
        <f t="shared" si="17"/>
        <v>2012</v>
      </c>
      <c r="B46" s="139">
        <v>41244</v>
      </c>
      <c r="C46" s="475">
        <v>144.5</v>
      </c>
      <c r="D46" s="480">
        <f t="shared" si="18"/>
        <v>118.89999999999998</v>
      </c>
      <c r="E46" s="475">
        <v>263.39999999999998</v>
      </c>
      <c r="F46" s="480">
        <v>326.2</v>
      </c>
      <c r="G46" s="475">
        <f t="shared" si="19"/>
        <v>234.40000000000003</v>
      </c>
      <c r="H46" s="480">
        <v>560.6</v>
      </c>
      <c r="I46" s="181">
        <f t="shared" si="0"/>
        <v>0.54859529233105553</v>
      </c>
      <c r="J46" s="182">
        <f t="shared" si="20"/>
        <v>0.58187656082768457</v>
      </c>
      <c r="K46" s="183">
        <f t="shared" si="21"/>
        <v>0.30698958997238157</v>
      </c>
    </row>
    <row r="47" spans="1:33" x14ac:dyDescent="0.25">
      <c r="A47">
        <f t="shared" si="17"/>
        <v>2013</v>
      </c>
      <c r="B47" s="139">
        <v>41334</v>
      </c>
      <c r="C47" s="474">
        <v>91.3</v>
      </c>
      <c r="D47" s="479">
        <f t="shared" si="18"/>
        <v>85.000000000000014</v>
      </c>
      <c r="E47" s="474">
        <v>176.3</v>
      </c>
      <c r="F47" s="479">
        <v>330.5</v>
      </c>
      <c r="G47" s="474">
        <f t="shared" si="19"/>
        <v>165.39999999999998</v>
      </c>
      <c r="H47" s="479">
        <v>495.9</v>
      </c>
      <c r="I47" s="175">
        <f t="shared" si="0"/>
        <v>0.51786727169597269</v>
      </c>
      <c r="J47" s="49">
        <f t="shared" si="20"/>
        <v>0.66646501310748141</v>
      </c>
      <c r="K47" s="176">
        <f t="shared" si="21"/>
        <v>0.2164532954006638</v>
      </c>
    </row>
    <row r="48" spans="1:33" x14ac:dyDescent="0.25">
      <c r="A48">
        <f t="shared" si="17"/>
        <v>2013</v>
      </c>
      <c r="B48" s="139">
        <v>41426</v>
      </c>
      <c r="C48" s="475">
        <v>158.5</v>
      </c>
      <c r="D48" s="480">
        <f t="shared" si="18"/>
        <v>117.19999999999999</v>
      </c>
      <c r="E48" s="475">
        <v>275.7</v>
      </c>
      <c r="F48" s="480">
        <v>223.8</v>
      </c>
      <c r="G48" s="475">
        <f t="shared" si="19"/>
        <v>165.09999999999997</v>
      </c>
      <c r="H48" s="480">
        <v>388.9</v>
      </c>
      <c r="I48" s="181">
        <f t="shared" si="0"/>
        <v>0.57490025389916577</v>
      </c>
      <c r="J48" s="182">
        <f t="shared" si="20"/>
        <v>0.57546927230650557</v>
      </c>
      <c r="K48" s="183">
        <f t="shared" si="21"/>
        <v>0.41459586712006274</v>
      </c>
    </row>
    <row r="49" spans="1:11" x14ac:dyDescent="0.25">
      <c r="A49">
        <f t="shared" si="17"/>
        <v>2013</v>
      </c>
      <c r="B49" s="139">
        <v>41518</v>
      </c>
      <c r="C49" s="474">
        <v>148</v>
      </c>
      <c r="D49" s="479">
        <f t="shared" si="18"/>
        <v>93.9</v>
      </c>
      <c r="E49" s="474">
        <v>241.9</v>
      </c>
      <c r="F49" s="479">
        <v>247.8</v>
      </c>
      <c r="G49" s="474">
        <f t="shared" si="19"/>
        <v>148.69999999999999</v>
      </c>
      <c r="H49" s="479">
        <v>396.5</v>
      </c>
      <c r="I49" s="175">
        <f t="shared" si="0"/>
        <v>0.61182306738321623</v>
      </c>
      <c r="J49" s="49">
        <f t="shared" si="20"/>
        <v>0.62496847414880208</v>
      </c>
      <c r="K49" s="176">
        <f t="shared" si="21"/>
        <v>0.37392622536634662</v>
      </c>
    </row>
    <row r="50" spans="1:11" x14ac:dyDescent="0.25">
      <c r="A50">
        <f t="shared" si="17"/>
        <v>2013</v>
      </c>
      <c r="B50" s="139">
        <v>41609</v>
      </c>
      <c r="C50" s="475">
        <v>86.8</v>
      </c>
      <c r="D50" s="480">
        <f t="shared" si="18"/>
        <v>88.8</v>
      </c>
      <c r="E50" s="475">
        <v>175.6</v>
      </c>
      <c r="F50" s="480">
        <v>221.5</v>
      </c>
      <c r="G50" s="475">
        <f t="shared" si="19"/>
        <v>150.30000000000001</v>
      </c>
      <c r="H50" s="480">
        <v>371.8</v>
      </c>
      <c r="I50" s="181">
        <f t="shared" si="0"/>
        <v>0.49430523917995445</v>
      </c>
      <c r="J50" s="182">
        <f t="shared" si="20"/>
        <v>0.59575040344271113</v>
      </c>
      <c r="K50" s="183">
        <f t="shared" si="21"/>
        <v>0.28154395069737265</v>
      </c>
    </row>
    <row r="51" spans="1:11" x14ac:dyDescent="0.25">
      <c r="A51">
        <f t="shared" si="17"/>
        <v>2014</v>
      </c>
      <c r="B51" s="139">
        <v>41699</v>
      </c>
      <c r="C51" s="474">
        <v>53.3</v>
      </c>
      <c r="D51" s="479">
        <f t="shared" si="18"/>
        <v>67.5</v>
      </c>
      <c r="E51" s="474">
        <v>120.8</v>
      </c>
      <c r="F51" s="479">
        <v>153</v>
      </c>
      <c r="G51" s="474">
        <f t="shared" si="19"/>
        <v>133.80000000000001</v>
      </c>
      <c r="H51" s="479">
        <v>286.8</v>
      </c>
      <c r="I51" s="175">
        <f t="shared" si="0"/>
        <v>0.44122516556291391</v>
      </c>
      <c r="J51" s="49">
        <f t="shared" si="20"/>
        <v>0.53347280334728031</v>
      </c>
      <c r="K51" s="176">
        <f t="shared" si="21"/>
        <v>0.25836160930683466</v>
      </c>
    </row>
    <row r="52" spans="1:11" x14ac:dyDescent="0.25">
      <c r="A52">
        <f t="shared" si="17"/>
        <v>2014</v>
      </c>
      <c r="B52" s="139">
        <v>41791</v>
      </c>
      <c r="C52" s="475">
        <v>92.9</v>
      </c>
      <c r="D52" s="480">
        <f t="shared" si="18"/>
        <v>50.699999999999989</v>
      </c>
      <c r="E52" s="475">
        <v>143.6</v>
      </c>
      <c r="F52" s="480">
        <v>216.8</v>
      </c>
      <c r="G52" s="475">
        <f t="shared" si="19"/>
        <v>154.19999999999999</v>
      </c>
      <c r="H52" s="480">
        <v>371</v>
      </c>
      <c r="I52" s="181">
        <f t="shared" si="0"/>
        <v>0.64693593314763242</v>
      </c>
      <c r="J52" s="182">
        <f t="shared" si="20"/>
        <v>0.58436657681940707</v>
      </c>
      <c r="K52" s="183">
        <f t="shared" si="21"/>
        <v>0.29996771068776235</v>
      </c>
    </row>
    <row r="53" spans="1:11" x14ac:dyDescent="0.25">
      <c r="A53">
        <f t="shared" si="17"/>
        <v>2014</v>
      </c>
      <c r="B53" s="139">
        <v>41883</v>
      </c>
      <c r="C53" s="474">
        <v>69.900000000000006</v>
      </c>
      <c r="D53" s="479">
        <f t="shared" si="18"/>
        <v>59.799999999999983</v>
      </c>
      <c r="E53" s="474">
        <v>129.69999999999999</v>
      </c>
      <c r="F53" s="479">
        <v>197.2</v>
      </c>
      <c r="G53" s="474">
        <f t="shared" si="19"/>
        <v>130.90000000000003</v>
      </c>
      <c r="H53" s="479">
        <v>328.1</v>
      </c>
      <c r="I53" s="175">
        <f t="shared" si="0"/>
        <v>0.53893600616808024</v>
      </c>
      <c r="J53" s="49">
        <f t="shared" si="20"/>
        <v>0.60103626943005173</v>
      </c>
      <c r="K53" s="176">
        <f t="shared" si="21"/>
        <v>0.26169973792587048</v>
      </c>
    </row>
    <row r="54" spans="1:11" x14ac:dyDescent="0.25">
      <c r="A54">
        <f t="shared" si="17"/>
        <v>2014</v>
      </c>
      <c r="B54" s="139">
        <v>41974</v>
      </c>
      <c r="C54" s="475">
        <v>73.900000000000006</v>
      </c>
      <c r="D54" s="480">
        <f t="shared" si="18"/>
        <v>76.900000000000006</v>
      </c>
      <c r="E54" s="475">
        <v>150.80000000000001</v>
      </c>
      <c r="F54" s="480">
        <v>188.4</v>
      </c>
      <c r="G54" s="475">
        <f t="shared" si="19"/>
        <v>120.1</v>
      </c>
      <c r="H54" s="480">
        <v>308.5</v>
      </c>
      <c r="I54" s="181">
        <f t="shared" si="0"/>
        <v>0.490053050397878</v>
      </c>
      <c r="J54" s="182">
        <f t="shared" si="20"/>
        <v>0.61069692058346836</v>
      </c>
      <c r="K54" s="183">
        <f t="shared" si="21"/>
        <v>0.2817384674037362</v>
      </c>
    </row>
    <row r="55" spans="1:11" x14ac:dyDescent="0.25">
      <c r="A55">
        <f t="shared" si="17"/>
        <v>2015</v>
      </c>
      <c r="B55" s="139">
        <v>42064</v>
      </c>
      <c r="C55" s="474">
        <v>43.3</v>
      </c>
      <c r="D55" s="479">
        <f t="shared" si="18"/>
        <v>47.8</v>
      </c>
      <c r="E55" s="474">
        <v>91.1</v>
      </c>
      <c r="F55" s="479">
        <v>139.9</v>
      </c>
      <c r="G55" s="474">
        <f t="shared" si="19"/>
        <v>86.699999999999989</v>
      </c>
      <c r="H55" s="479">
        <v>226.6</v>
      </c>
      <c r="I55" s="175">
        <f t="shared" si="0"/>
        <v>0.47530186608122943</v>
      </c>
      <c r="J55" s="49">
        <f t="shared" si="20"/>
        <v>0.61738746690203006</v>
      </c>
      <c r="K55" s="176">
        <f t="shared" si="21"/>
        <v>0.23635371179039302</v>
      </c>
    </row>
    <row r="56" spans="1:11" x14ac:dyDescent="0.25">
      <c r="A56">
        <f t="shared" si="17"/>
        <v>2015</v>
      </c>
      <c r="B56" s="139">
        <v>42156</v>
      </c>
      <c r="C56" s="475">
        <v>63.7</v>
      </c>
      <c r="D56" s="480">
        <f t="shared" si="18"/>
        <v>50.8</v>
      </c>
      <c r="E56" s="475">
        <v>114.5</v>
      </c>
      <c r="F56" s="480">
        <v>141</v>
      </c>
      <c r="G56" s="475">
        <f t="shared" si="19"/>
        <v>89.1</v>
      </c>
      <c r="H56" s="480">
        <v>230.1</v>
      </c>
      <c r="I56" s="181">
        <f t="shared" si="0"/>
        <v>0.55633187772925763</v>
      </c>
      <c r="J56" s="182">
        <f t="shared" si="20"/>
        <v>0.61277705345501954</v>
      </c>
      <c r="K56" s="183">
        <f t="shared" si="21"/>
        <v>0.31118710307767466</v>
      </c>
    </row>
    <row r="57" spans="1:11" x14ac:dyDescent="0.25">
      <c r="A57">
        <f t="shared" si="17"/>
        <v>2015</v>
      </c>
      <c r="B57" s="139">
        <v>42248</v>
      </c>
      <c r="C57" s="474">
        <v>60.6</v>
      </c>
      <c r="D57" s="479">
        <f t="shared" si="18"/>
        <v>54.300000000000004</v>
      </c>
      <c r="E57" s="474">
        <v>114.9</v>
      </c>
      <c r="F57" s="479">
        <v>172.5</v>
      </c>
      <c r="G57" s="474">
        <f t="shared" si="19"/>
        <v>106.60000000000002</v>
      </c>
      <c r="H57" s="479">
        <v>279.10000000000002</v>
      </c>
      <c r="I57" s="175">
        <f t="shared" si="0"/>
        <v>0.52741514360313313</v>
      </c>
      <c r="J57" s="49">
        <f t="shared" si="20"/>
        <v>0.61805804371193118</v>
      </c>
      <c r="K57" s="176">
        <f t="shared" si="21"/>
        <v>0.25997425997425999</v>
      </c>
    </row>
    <row r="58" spans="1:11" x14ac:dyDescent="0.25">
      <c r="A58">
        <f t="shared" si="17"/>
        <v>2015</v>
      </c>
      <c r="B58" s="139">
        <v>42339</v>
      </c>
      <c r="C58" s="475">
        <v>62.8</v>
      </c>
      <c r="D58" s="480">
        <f t="shared" si="18"/>
        <v>42.8</v>
      </c>
      <c r="E58" s="475">
        <v>105.6</v>
      </c>
      <c r="F58" s="480">
        <v>159.80000000000001</v>
      </c>
      <c r="G58" s="475">
        <f t="shared" si="19"/>
        <v>117.5</v>
      </c>
      <c r="H58" s="480">
        <v>277.3</v>
      </c>
      <c r="I58" s="181">
        <f t="shared" si="0"/>
        <v>0.59469696969696972</v>
      </c>
      <c r="J58" s="182">
        <f t="shared" si="20"/>
        <v>0.57627118644067798</v>
      </c>
      <c r="K58" s="183">
        <f t="shared" si="21"/>
        <v>0.28212039532794247</v>
      </c>
    </row>
    <row r="59" spans="1:11" x14ac:dyDescent="0.25">
      <c r="A59">
        <f t="shared" si="17"/>
        <v>2016</v>
      </c>
      <c r="B59" s="139">
        <v>42430</v>
      </c>
      <c r="C59" s="474">
        <v>52.7</v>
      </c>
      <c r="D59" s="479">
        <f t="shared" si="18"/>
        <v>34.399999999999991</v>
      </c>
      <c r="E59" s="474">
        <v>87.1</v>
      </c>
      <c r="F59" s="479">
        <v>134.4</v>
      </c>
      <c r="G59" s="474">
        <f t="shared" si="19"/>
        <v>68.799999999999983</v>
      </c>
      <c r="H59" s="479">
        <v>203.2</v>
      </c>
      <c r="I59" s="175">
        <f t="shared" si="0"/>
        <v>0.60505166475315741</v>
      </c>
      <c r="J59" s="49">
        <f t="shared" si="20"/>
        <v>0.66141732283464572</v>
      </c>
      <c r="K59" s="176">
        <f t="shared" si="21"/>
        <v>0.28166755745590594</v>
      </c>
    </row>
    <row r="60" spans="1:11" x14ac:dyDescent="0.25">
      <c r="A60">
        <f t="shared" si="17"/>
        <v>2016</v>
      </c>
      <c r="B60" s="139">
        <v>42522</v>
      </c>
      <c r="C60" s="475">
        <v>65.3</v>
      </c>
      <c r="D60" s="480">
        <f t="shared" si="18"/>
        <v>38.799999999999997</v>
      </c>
      <c r="E60" s="475">
        <v>104.1</v>
      </c>
      <c r="F60" s="480">
        <v>162.9</v>
      </c>
      <c r="G60" s="475">
        <f t="shared" si="19"/>
        <v>86.9</v>
      </c>
      <c r="H60" s="480">
        <v>249.8</v>
      </c>
      <c r="I60" s="181">
        <f t="shared" si="0"/>
        <v>0.62728146013448605</v>
      </c>
      <c r="J60" s="182">
        <f t="shared" si="20"/>
        <v>0.65212169735788628</v>
      </c>
      <c r="K60" s="183">
        <f t="shared" si="21"/>
        <v>0.28615249780893953</v>
      </c>
    </row>
    <row r="61" spans="1:11" x14ac:dyDescent="0.25">
      <c r="A61">
        <f t="shared" si="17"/>
        <v>2016</v>
      </c>
      <c r="B61" s="139">
        <v>42614</v>
      </c>
      <c r="C61" s="474">
        <v>71.2</v>
      </c>
      <c r="D61" s="479">
        <f t="shared" si="18"/>
        <v>42.599999999999994</v>
      </c>
      <c r="E61" s="474">
        <v>113.8</v>
      </c>
      <c r="F61" s="479">
        <v>177.6</v>
      </c>
      <c r="G61" s="474">
        <f t="shared" si="19"/>
        <v>88.000000000000028</v>
      </c>
      <c r="H61" s="479">
        <v>265.60000000000002</v>
      </c>
      <c r="I61" s="175">
        <f t="shared" si="0"/>
        <v>0.62565905096660812</v>
      </c>
      <c r="J61" s="49">
        <f t="shared" si="20"/>
        <v>0.6686746987951806</v>
      </c>
      <c r="K61" s="176">
        <f t="shared" si="21"/>
        <v>0.28617363344051444</v>
      </c>
    </row>
    <row r="62" spans="1:11" x14ac:dyDescent="0.25">
      <c r="A62">
        <f t="shared" si="17"/>
        <v>2016</v>
      </c>
      <c r="B62" s="139">
        <v>42705</v>
      </c>
      <c r="C62" s="475">
        <v>78.3</v>
      </c>
      <c r="D62" s="480">
        <f t="shared" si="18"/>
        <v>52.600000000000009</v>
      </c>
      <c r="E62" s="475">
        <v>130.9</v>
      </c>
      <c r="F62" s="480">
        <v>185.2</v>
      </c>
      <c r="G62" s="475">
        <f t="shared" si="19"/>
        <v>87.100000000000023</v>
      </c>
      <c r="H62" s="480">
        <v>272.3</v>
      </c>
      <c r="I62" s="181">
        <f t="shared" si="0"/>
        <v>0.5981665393430099</v>
      </c>
      <c r="J62" s="182">
        <f t="shared" si="20"/>
        <v>0.68013220712449496</v>
      </c>
      <c r="K62" s="183">
        <f t="shared" si="21"/>
        <v>0.29715370018975329</v>
      </c>
    </row>
    <row r="63" spans="1:11" x14ac:dyDescent="0.25">
      <c r="A63">
        <f t="shared" si="17"/>
        <v>2017</v>
      </c>
      <c r="B63" s="139">
        <v>42795</v>
      </c>
      <c r="C63" s="474">
        <v>62.5</v>
      </c>
      <c r="D63" s="479">
        <f t="shared" si="18"/>
        <v>40.400000000000006</v>
      </c>
      <c r="E63" s="474">
        <v>102.9</v>
      </c>
      <c r="F63" s="479">
        <v>162.6</v>
      </c>
      <c r="G63" s="474">
        <f t="shared" si="19"/>
        <v>72.200000000000017</v>
      </c>
      <c r="H63" s="479">
        <v>234.8</v>
      </c>
      <c r="I63" s="175">
        <f t="shared" si="0"/>
        <v>0.60738581146744408</v>
      </c>
      <c r="J63" s="49">
        <f t="shared" si="20"/>
        <v>0.69250425894378187</v>
      </c>
      <c r="K63" s="176">
        <f t="shared" si="21"/>
        <v>0.27765437583296315</v>
      </c>
    </row>
    <row r="64" spans="1:11" x14ac:dyDescent="0.25">
      <c r="A64">
        <f t="shared" si="17"/>
        <v>2017</v>
      </c>
      <c r="B64" s="139">
        <v>42887</v>
      </c>
      <c r="C64" s="475">
        <v>83.3</v>
      </c>
      <c r="D64" s="480">
        <f t="shared" si="18"/>
        <v>52.600000000000009</v>
      </c>
      <c r="E64" s="475">
        <v>135.9</v>
      </c>
      <c r="F64" s="480">
        <v>207.7</v>
      </c>
      <c r="G64" s="475">
        <f t="shared" si="19"/>
        <v>101.19999999999999</v>
      </c>
      <c r="H64" s="480">
        <v>308.89999999999998</v>
      </c>
      <c r="I64" s="181">
        <f t="shared" si="0"/>
        <v>0.61295069904341426</v>
      </c>
      <c r="J64" s="182">
        <f t="shared" si="20"/>
        <v>0.67238588539980582</v>
      </c>
      <c r="K64" s="183">
        <f t="shared" si="21"/>
        <v>0.28625429553264603</v>
      </c>
    </row>
    <row r="65" spans="1:11" x14ac:dyDescent="0.25">
      <c r="A65">
        <f t="shared" si="17"/>
        <v>2017</v>
      </c>
      <c r="B65" s="139">
        <v>42979</v>
      </c>
      <c r="C65" s="474">
        <v>94.8</v>
      </c>
      <c r="D65" s="479">
        <f t="shared" si="18"/>
        <v>64.100000000000009</v>
      </c>
      <c r="E65" s="474">
        <v>158.9</v>
      </c>
      <c r="F65" s="479">
        <v>199.5</v>
      </c>
      <c r="G65" s="474">
        <f t="shared" si="19"/>
        <v>116.80000000000001</v>
      </c>
      <c r="H65" s="479">
        <v>316.3</v>
      </c>
      <c r="I65" s="175">
        <f t="shared" si="0"/>
        <v>0.59660163624921325</v>
      </c>
      <c r="J65" s="49">
        <f t="shared" si="20"/>
        <v>0.63073031931710399</v>
      </c>
      <c r="K65" s="176">
        <f t="shared" si="21"/>
        <v>0.32212028542303772</v>
      </c>
    </row>
    <row r="66" spans="1:11" x14ac:dyDescent="0.25">
      <c r="A66">
        <f t="shared" si="17"/>
        <v>2017</v>
      </c>
      <c r="B66" s="139">
        <v>43070</v>
      </c>
      <c r="C66" s="475">
        <v>98.5</v>
      </c>
      <c r="D66" s="480">
        <f t="shared" si="18"/>
        <v>64.199999999999989</v>
      </c>
      <c r="E66" s="475">
        <v>162.69999999999999</v>
      </c>
      <c r="F66" s="480">
        <v>200.1</v>
      </c>
      <c r="G66" s="475">
        <f t="shared" si="19"/>
        <v>133.29999999999998</v>
      </c>
      <c r="H66" s="480">
        <v>333.4</v>
      </c>
      <c r="I66" s="181">
        <f t="shared" si="0"/>
        <v>0.60540872771972964</v>
      </c>
      <c r="J66" s="182">
        <f t="shared" si="20"/>
        <v>0.60017996400719853</v>
      </c>
      <c r="K66" s="183">
        <f t="shared" si="21"/>
        <v>0.32987273945077022</v>
      </c>
    </row>
    <row r="67" spans="1:11" x14ac:dyDescent="0.25">
      <c r="A67">
        <f t="shared" si="17"/>
        <v>2018</v>
      </c>
      <c r="B67" s="139">
        <v>43160</v>
      </c>
      <c r="C67" s="474">
        <v>88.9</v>
      </c>
      <c r="D67" s="479">
        <f t="shared" si="18"/>
        <v>56.5</v>
      </c>
      <c r="E67" s="474">
        <v>145.4</v>
      </c>
      <c r="F67" s="479">
        <v>172.1</v>
      </c>
      <c r="G67" s="474">
        <f t="shared" si="19"/>
        <v>121.20000000000002</v>
      </c>
      <c r="H67" s="479">
        <v>293.3</v>
      </c>
      <c r="I67" s="175">
        <f t="shared" si="0"/>
        <v>0.61141678129298493</v>
      </c>
      <c r="J67" s="49">
        <f t="shared" si="20"/>
        <v>0.58677122400272752</v>
      </c>
      <c r="K67" s="176">
        <f t="shared" si="21"/>
        <v>0.34061302681992339</v>
      </c>
    </row>
    <row r="68" spans="1:11" x14ac:dyDescent="0.25">
      <c r="A68">
        <f t="shared" si="17"/>
        <v>2018</v>
      </c>
      <c r="B68" s="139">
        <v>43252</v>
      </c>
      <c r="C68" s="475">
        <v>123.7</v>
      </c>
      <c r="D68" s="480">
        <f t="shared" si="18"/>
        <v>74.2</v>
      </c>
      <c r="E68" s="475">
        <v>197.9</v>
      </c>
      <c r="F68" s="480">
        <v>226.1</v>
      </c>
      <c r="G68" s="475">
        <f t="shared" si="19"/>
        <v>143.79999999999998</v>
      </c>
      <c r="H68" s="480">
        <v>369.9</v>
      </c>
      <c r="I68" s="181">
        <f t="shared" si="0"/>
        <v>0.62506316321374433</v>
      </c>
      <c r="J68" s="182">
        <f t="shared" si="20"/>
        <v>0.61124628277912951</v>
      </c>
      <c r="K68" s="183">
        <f t="shared" si="21"/>
        <v>0.35363064608347627</v>
      </c>
    </row>
    <row r="69" spans="1:11" x14ac:dyDescent="0.25">
      <c r="A69">
        <f t="shared" si="17"/>
        <v>2018</v>
      </c>
      <c r="B69" s="139">
        <v>43344</v>
      </c>
      <c r="C69" s="474">
        <v>142</v>
      </c>
      <c r="D69" s="479">
        <f t="shared" si="18"/>
        <v>81.5</v>
      </c>
      <c r="E69" s="474">
        <v>223.5</v>
      </c>
      <c r="F69" s="479">
        <v>219.4</v>
      </c>
      <c r="G69" s="474">
        <f t="shared" si="19"/>
        <v>141.99999999999997</v>
      </c>
      <c r="H69" s="479">
        <v>361.4</v>
      </c>
      <c r="I69" s="175">
        <f t="shared" si="0"/>
        <v>0.63534675615212532</v>
      </c>
      <c r="J69" s="49">
        <f t="shared" si="20"/>
        <v>0.60708356391809637</v>
      </c>
      <c r="K69" s="176">
        <f t="shared" si="21"/>
        <v>0.39291643608190374</v>
      </c>
    </row>
    <row r="70" spans="1:11" x14ac:dyDescent="0.25">
      <c r="A70">
        <f t="shared" si="17"/>
        <v>2018</v>
      </c>
      <c r="B70" s="139">
        <v>43435</v>
      </c>
      <c r="C70" s="475">
        <v>147.1</v>
      </c>
      <c r="D70" s="480">
        <f t="shared" si="18"/>
        <v>86.4</v>
      </c>
      <c r="E70" s="475">
        <v>233.5</v>
      </c>
      <c r="F70" s="480">
        <v>199.1</v>
      </c>
      <c r="G70" s="475">
        <f t="shared" si="19"/>
        <v>160.20000000000002</v>
      </c>
      <c r="H70" s="480">
        <v>359.3</v>
      </c>
      <c r="I70" s="181">
        <f t="shared" si="0"/>
        <v>0.62997858672376872</v>
      </c>
      <c r="J70" s="182">
        <f t="shared" si="20"/>
        <v>0.55413303645978285</v>
      </c>
      <c r="K70" s="183">
        <f t="shared" si="21"/>
        <v>0.42489890236857308</v>
      </c>
    </row>
    <row r="71" spans="1:11" x14ac:dyDescent="0.25">
      <c r="A71">
        <f t="shared" si="17"/>
        <v>2019</v>
      </c>
      <c r="B71" s="139">
        <v>43525</v>
      </c>
      <c r="C71" s="474">
        <v>125.5</v>
      </c>
      <c r="D71" s="479">
        <f t="shared" si="18"/>
        <v>49.800000000000011</v>
      </c>
      <c r="E71" s="474">
        <v>175.3</v>
      </c>
      <c r="F71" s="479">
        <v>193.9</v>
      </c>
      <c r="G71" s="474">
        <f t="shared" si="19"/>
        <v>136.49999999999997</v>
      </c>
      <c r="H71" s="479">
        <v>330.4</v>
      </c>
      <c r="I71" s="175">
        <f t="shared" si="0"/>
        <v>0.71591557330290923</v>
      </c>
      <c r="J71" s="49">
        <f t="shared" si="20"/>
        <v>0.58686440677966112</v>
      </c>
      <c r="K71" s="176">
        <f t="shared" si="21"/>
        <v>0.39292423293675643</v>
      </c>
    </row>
    <row r="72" spans="1:11" x14ac:dyDescent="0.25">
      <c r="A72">
        <f t="shared" si="17"/>
        <v>2019</v>
      </c>
      <c r="B72" s="139">
        <v>43617</v>
      </c>
      <c r="C72" s="475">
        <v>183.9</v>
      </c>
      <c r="D72" s="480">
        <f t="shared" si="18"/>
        <v>91.200000000000017</v>
      </c>
      <c r="E72" s="475">
        <v>275.10000000000002</v>
      </c>
      <c r="F72" s="480">
        <v>231.2</v>
      </c>
      <c r="G72" s="475">
        <f t="shared" si="19"/>
        <v>158.5</v>
      </c>
      <c r="H72" s="480">
        <v>389.7</v>
      </c>
      <c r="I72" s="181">
        <f t="shared" si="0"/>
        <v>0.66848418756815697</v>
      </c>
      <c r="J72" s="182">
        <f t="shared" si="20"/>
        <v>0.59327687965101361</v>
      </c>
      <c r="K72" s="183">
        <f t="shared" si="21"/>
        <v>0.4430257769212238</v>
      </c>
    </row>
    <row r="73" spans="1:11" x14ac:dyDescent="0.25">
      <c r="A73">
        <f t="shared" si="17"/>
        <v>2019</v>
      </c>
      <c r="B73" s="139">
        <v>43709</v>
      </c>
      <c r="C73" s="474">
        <v>207.6</v>
      </c>
      <c r="D73" s="479">
        <f t="shared" si="18"/>
        <v>94.799999999999983</v>
      </c>
      <c r="E73" s="474">
        <v>302.39999999999998</v>
      </c>
      <c r="F73" s="479">
        <v>252.2</v>
      </c>
      <c r="G73" s="474">
        <f t="shared" si="19"/>
        <v>170.2</v>
      </c>
      <c r="H73" s="479">
        <v>422.4</v>
      </c>
      <c r="I73" s="175">
        <f t="shared" ref="I73:I96" si="26">C73/E73</f>
        <v>0.68650793650793651</v>
      </c>
      <c r="J73" s="49">
        <f t="shared" si="20"/>
        <v>0.59706439393939392</v>
      </c>
      <c r="K73" s="176">
        <f t="shared" si="21"/>
        <v>0.4515006524575903</v>
      </c>
    </row>
    <row r="74" spans="1:11" x14ac:dyDescent="0.25">
      <c r="A74">
        <f t="shared" si="17"/>
        <v>2019</v>
      </c>
      <c r="B74" s="139">
        <v>43800</v>
      </c>
      <c r="C74" s="475">
        <v>179</v>
      </c>
      <c r="D74" s="480">
        <f t="shared" ref="D74:G97" si="27">E74-C74</f>
        <v>124.89999999999998</v>
      </c>
      <c r="E74" s="475">
        <v>303.89999999999998</v>
      </c>
      <c r="F74" s="480">
        <v>274.89999999999998</v>
      </c>
      <c r="G74" s="475">
        <f t="shared" ref="G74:G94" si="28">H74-F74</f>
        <v>174.3</v>
      </c>
      <c r="H74" s="480">
        <v>449.2</v>
      </c>
      <c r="I74" s="181">
        <f t="shared" si="26"/>
        <v>0.58900954261270155</v>
      </c>
      <c r="J74" s="182">
        <f t="shared" ref="J74:J96" si="29">F74/H74</f>
        <v>0.6119768477292965</v>
      </c>
      <c r="K74" s="183">
        <f t="shared" ref="K74:K96" si="30">C74/(C74+F74)</f>
        <v>0.39435999118748627</v>
      </c>
    </row>
    <row r="75" spans="1:11" x14ac:dyDescent="0.25">
      <c r="A75">
        <f t="shared" ref="A75:A138" si="31">YEAR(B75)</f>
        <v>2020</v>
      </c>
      <c r="B75" s="139">
        <v>43891</v>
      </c>
      <c r="C75" s="474">
        <v>131.4</v>
      </c>
      <c r="D75" s="479">
        <f t="shared" si="27"/>
        <v>92.299999999999983</v>
      </c>
      <c r="E75" s="474">
        <v>223.7</v>
      </c>
      <c r="F75" s="479">
        <v>235.7</v>
      </c>
      <c r="G75" s="474">
        <f t="shared" si="28"/>
        <v>151.10000000000002</v>
      </c>
      <c r="H75" s="479">
        <v>386.8</v>
      </c>
      <c r="I75" s="175">
        <f t="shared" si="26"/>
        <v>0.58739383102369247</v>
      </c>
      <c r="J75" s="49">
        <f t="shared" si="29"/>
        <v>0.60935884177869692</v>
      </c>
      <c r="K75" s="176">
        <f t="shared" si="30"/>
        <v>0.35794061563606644</v>
      </c>
    </row>
    <row r="76" spans="1:11" x14ac:dyDescent="0.25">
      <c r="A76">
        <f t="shared" si="31"/>
        <v>2020</v>
      </c>
      <c r="B76" s="192">
        <v>43983</v>
      </c>
      <c r="C76" s="475">
        <v>133.4</v>
      </c>
      <c r="D76" s="480">
        <f t="shared" si="27"/>
        <v>95.6</v>
      </c>
      <c r="E76" s="475">
        <v>229</v>
      </c>
      <c r="F76" s="480">
        <v>279</v>
      </c>
      <c r="G76" s="475">
        <f t="shared" si="28"/>
        <v>175.3</v>
      </c>
      <c r="H76" s="480">
        <v>454.3</v>
      </c>
      <c r="I76" s="181">
        <f t="shared" si="26"/>
        <v>0.5825327510917031</v>
      </c>
      <c r="J76" s="182">
        <f t="shared" si="29"/>
        <v>0.61413163108078361</v>
      </c>
      <c r="K76" s="183">
        <f t="shared" si="30"/>
        <v>0.32347235693501458</v>
      </c>
    </row>
    <row r="77" spans="1:11" x14ac:dyDescent="0.25">
      <c r="A77">
        <f t="shared" si="31"/>
        <v>2020</v>
      </c>
      <c r="B77" s="139">
        <v>44075</v>
      </c>
      <c r="C77" s="474">
        <v>163.9</v>
      </c>
      <c r="D77" s="479">
        <f t="shared" si="27"/>
        <v>93.6</v>
      </c>
      <c r="E77" s="474">
        <v>257.5</v>
      </c>
      <c r="F77" s="479">
        <v>319.5</v>
      </c>
      <c r="G77" s="474">
        <f t="shared" si="28"/>
        <v>167.89999999999998</v>
      </c>
      <c r="H77" s="479">
        <v>487.4</v>
      </c>
      <c r="I77" s="175">
        <f t="shared" si="26"/>
        <v>0.63650485436893212</v>
      </c>
      <c r="J77" s="49">
        <f t="shared" si="29"/>
        <v>0.65551908083709487</v>
      </c>
      <c r="K77" s="176">
        <f t="shared" si="30"/>
        <v>0.33905668183698801</v>
      </c>
    </row>
    <row r="78" spans="1:11" x14ac:dyDescent="0.25">
      <c r="A78">
        <f t="shared" si="31"/>
        <v>2020</v>
      </c>
      <c r="B78" s="139">
        <v>44166</v>
      </c>
      <c r="C78" s="475">
        <v>148.69999999999999</v>
      </c>
      <c r="D78" s="480">
        <f t="shared" si="27"/>
        <v>97.9</v>
      </c>
      <c r="E78" s="475">
        <v>246.6</v>
      </c>
      <c r="F78" s="480">
        <v>346</v>
      </c>
      <c r="G78" s="475">
        <f t="shared" si="28"/>
        <v>177.39999999999998</v>
      </c>
      <c r="H78" s="480">
        <v>523.4</v>
      </c>
      <c r="I78" s="181">
        <f t="shared" si="26"/>
        <v>0.60300081103000813</v>
      </c>
      <c r="J78" s="182">
        <f t="shared" si="29"/>
        <v>0.66106228505922815</v>
      </c>
      <c r="K78" s="183">
        <f t="shared" si="30"/>
        <v>0.30058621386699008</v>
      </c>
    </row>
    <row r="79" spans="1:11" x14ac:dyDescent="0.25">
      <c r="A79">
        <f t="shared" si="31"/>
        <v>2021</v>
      </c>
      <c r="B79" s="139">
        <v>44256</v>
      </c>
      <c r="C79" s="474">
        <v>169.3</v>
      </c>
      <c r="D79" s="479">
        <f t="shared" si="27"/>
        <v>83</v>
      </c>
      <c r="E79" s="474">
        <v>252.3</v>
      </c>
      <c r="F79" s="479">
        <v>310.89999999999998</v>
      </c>
      <c r="G79" s="474">
        <f t="shared" si="28"/>
        <v>171.60000000000002</v>
      </c>
      <c r="H79" s="479">
        <v>482.5</v>
      </c>
      <c r="I79" s="175">
        <f t="shared" si="26"/>
        <v>0.67102655568767344</v>
      </c>
      <c r="J79" s="49">
        <f t="shared" si="29"/>
        <v>0.64435233160621752</v>
      </c>
      <c r="K79" s="176">
        <f t="shared" si="30"/>
        <v>0.35256143273635987</v>
      </c>
    </row>
    <row r="80" spans="1:11" x14ac:dyDescent="0.25">
      <c r="A80">
        <f t="shared" si="31"/>
        <v>2021</v>
      </c>
      <c r="B80" s="139">
        <v>44348</v>
      </c>
      <c r="C80" s="475">
        <v>201.4</v>
      </c>
      <c r="D80" s="480">
        <f t="shared" si="27"/>
        <v>109.1</v>
      </c>
      <c r="E80" s="475">
        <v>310.5</v>
      </c>
      <c r="F80" s="480">
        <v>392.4</v>
      </c>
      <c r="G80" s="475">
        <f t="shared" si="28"/>
        <v>209.10000000000002</v>
      </c>
      <c r="H80" s="480">
        <v>601.5</v>
      </c>
      <c r="I80" s="181">
        <f t="shared" si="26"/>
        <v>0.6486312399355878</v>
      </c>
      <c r="J80" s="182">
        <f t="shared" si="29"/>
        <v>0.6523690773067331</v>
      </c>
      <c r="K80" s="183">
        <f t="shared" si="30"/>
        <v>0.33917143819467838</v>
      </c>
    </row>
    <row r="81" spans="1:11" x14ac:dyDescent="0.25">
      <c r="A81">
        <f t="shared" si="31"/>
        <v>2021</v>
      </c>
      <c r="B81" s="139">
        <v>44440</v>
      </c>
      <c r="C81" s="474">
        <v>215.2</v>
      </c>
      <c r="D81" s="479">
        <f t="shared" si="27"/>
        <v>123.10000000000002</v>
      </c>
      <c r="E81" s="474">
        <v>338.3</v>
      </c>
      <c r="F81" s="479">
        <v>455.3</v>
      </c>
      <c r="G81" s="474">
        <f t="shared" si="28"/>
        <v>203.99999999999994</v>
      </c>
      <c r="H81" s="479">
        <v>659.3</v>
      </c>
      <c r="I81" s="175">
        <f t="shared" si="26"/>
        <v>0.63612178539757602</v>
      </c>
      <c r="J81" s="49">
        <f t="shared" si="29"/>
        <v>0.69058091915668141</v>
      </c>
      <c r="K81" s="176">
        <f t="shared" si="30"/>
        <v>0.32095451155853838</v>
      </c>
    </row>
    <row r="82" spans="1:11" x14ac:dyDescent="0.25">
      <c r="A82">
        <f t="shared" si="31"/>
        <v>2021</v>
      </c>
      <c r="B82" s="192">
        <v>44531</v>
      </c>
      <c r="C82" s="475">
        <v>194.3</v>
      </c>
      <c r="D82" s="480">
        <f t="shared" si="27"/>
        <v>112.89999999999998</v>
      </c>
      <c r="E82" s="475">
        <v>307.2</v>
      </c>
      <c r="F82" s="480">
        <v>412.4</v>
      </c>
      <c r="G82" s="475">
        <f t="shared" si="28"/>
        <v>232.10000000000002</v>
      </c>
      <c r="H82" s="480">
        <v>644.5</v>
      </c>
      <c r="I82" s="181">
        <f t="shared" si="26"/>
        <v>0.63248697916666674</v>
      </c>
      <c r="J82" s="182">
        <f t="shared" si="29"/>
        <v>0.63987587276958879</v>
      </c>
      <c r="K82" s="183">
        <f t="shared" si="30"/>
        <v>0.32025712872919071</v>
      </c>
    </row>
    <row r="83" spans="1:11" x14ac:dyDescent="0.25">
      <c r="A83">
        <f t="shared" si="31"/>
        <v>2022</v>
      </c>
      <c r="B83" s="192">
        <v>44621</v>
      </c>
      <c r="C83" s="476">
        <v>150.5</v>
      </c>
      <c r="D83" s="481">
        <f t="shared" si="27"/>
        <v>109.80000000000001</v>
      </c>
      <c r="E83" s="476">
        <v>260.3</v>
      </c>
      <c r="F83" s="481">
        <v>376</v>
      </c>
      <c r="G83" s="476">
        <f t="shared" si="28"/>
        <v>219</v>
      </c>
      <c r="H83" s="481">
        <v>595</v>
      </c>
      <c r="I83" s="193">
        <f t="shared" si="26"/>
        <v>0.57817902420284284</v>
      </c>
      <c r="J83" s="194">
        <f t="shared" si="29"/>
        <v>0.63193277310924367</v>
      </c>
      <c r="K83" s="195">
        <f t="shared" si="30"/>
        <v>0.28584995251661921</v>
      </c>
    </row>
    <row r="84" spans="1:11" x14ac:dyDescent="0.25">
      <c r="A84">
        <f t="shared" si="31"/>
        <v>2022</v>
      </c>
      <c r="B84" s="192">
        <v>44713</v>
      </c>
      <c r="C84" s="477">
        <v>198.5</v>
      </c>
      <c r="D84" s="482">
        <f t="shared" si="27"/>
        <v>115.89999999999998</v>
      </c>
      <c r="E84" s="477">
        <v>314.39999999999998</v>
      </c>
      <c r="F84" s="483">
        <v>476.3</v>
      </c>
      <c r="G84" s="477">
        <f t="shared" si="28"/>
        <v>266.59999999999997</v>
      </c>
      <c r="H84" s="483">
        <v>742.9</v>
      </c>
      <c r="I84" s="196">
        <f t="shared" si="26"/>
        <v>0.63136132315521631</v>
      </c>
      <c r="J84" s="197">
        <f t="shared" si="29"/>
        <v>0.64113608830259794</v>
      </c>
      <c r="K84" s="198">
        <f t="shared" si="30"/>
        <v>0.29416123295791347</v>
      </c>
    </row>
    <row r="85" spans="1:11" x14ac:dyDescent="0.25">
      <c r="A85">
        <f t="shared" si="31"/>
        <v>2022</v>
      </c>
      <c r="B85" s="192">
        <v>44805</v>
      </c>
      <c r="C85" s="476">
        <v>227.7</v>
      </c>
      <c r="D85" s="481">
        <f t="shared" si="27"/>
        <v>113.80000000000001</v>
      </c>
      <c r="E85" s="476">
        <v>341.5</v>
      </c>
      <c r="F85" s="481">
        <v>472.9</v>
      </c>
      <c r="G85" s="476">
        <f t="shared" si="28"/>
        <v>284.89999999999998</v>
      </c>
      <c r="H85" s="481">
        <v>757.8</v>
      </c>
      <c r="I85" s="193">
        <f t="shared" si="26"/>
        <v>0.66676427525622251</v>
      </c>
      <c r="J85" s="194">
        <f t="shared" si="29"/>
        <v>0.62404328318817626</v>
      </c>
      <c r="K85" s="195">
        <f t="shared" si="30"/>
        <v>0.3250071367399372</v>
      </c>
    </row>
    <row r="86" spans="1:11" x14ac:dyDescent="0.25">
      <c r="A86">
        <f t="shared" si="31"/>
        <v>2022</v>
      </c>
      <c r="B86" s="192">
        <v>44896</v>
      </c>
      <c r="C86" s="477">
        <v>217.3</v>
      </c>
      <c r="D86" s="482">
        <f t="shared" si="27"/>
        <v>135.69999999999999</v>
      </c>
      <c r="E86" s="477">
        <v>353</v>
      </c>
      <c r="F86" s="483">
        <v>427.7</v>
      </c>
      <c r="G86" s="477">
        <f t="shared" si="28"/>
        <v>267.50000000000006</v>
      </c>
      <c r="H86" s="483">
        <v>695.2</v>
      </c>
      <c r="I86" s="196">
        <f t="shared" si="26"/>
        <v>0.61558073654390943</v>
      </c>
      <c r="J86" s="197">
        <f t="shared" si="29"/>
        <v>0.6152186421173762</v>
      </c>
      <c r="K86" s="198">
        <f t="shared" si="30"/>
        <v>0.33689922480620155</v>
      </c>
    </row>
    <row r="87" spans="1:11" x14ac:dyDescent="0.25">
      <c r="A87">
        <f t="shared" si="31"/>
        <v>2023</v>
      </c>
      <c r="B87" s="192">
        <v>44986</v>
      </c>
      <c r="C87" s="476">
        <v>172.1</v>
      </c>
      <c r="D87" s="481">
        <f t="shared" si="27"/>
        <v>104.00000000000003</v>
      </c>
      <c r="E87" s="476">
        <v>276.10000000000002</v>
      </c>
      <c r="F87" s="481">
        <v>373.4</v>
      </c>
      <c r="G87" s="476">
        <f t="shared" si="28"/>
        <v>246.39999999999998</v>
      </c>
      <c r="H87" s="481">
        <v>619.79999999999995</v>
      </c>
      <c r="I87" s="193">
        <f t="shared" si="26"/>
        <v>0.62332488228902561</v>
      </c>
      <c r="J87" s="194">
        <f t="shared" si="29"/>
        <v>0.60245240400129074</v>
      </c>
      <c r="K87" s="195">
        <f t="shared" si="30"/>
        <v>0.3154903758020165</v>
      </c>
    </row>
    <row r="88" spans="1:11" x14ac:dyDescent="0.25">
      <c r="A88">
        <f t="shared" si="31"/>
        <v>2023</v>
      </c>
      <c r="B88" s="192">
        <v>45078</v>
      </c>
      <c r="C88" s="477">
        <v>199.3</v>
      </c>
      <c r="D88" s="482">
        <f t="shared" si="27"/>
        <v>130.19999999999999</v>
      </c>
      <c r="E88" s="477">
        <v>329.5</v>
      </c>
      <c r="F88" s="483">
        <v>464.6</v>
      </c>
      <c r="G88" s="477">
        <f t="shared" si="28"/>
        <v>296</v>
      </c>
      <c r="H88" s="483">
        <v>760.6</v>
      </c>
      <c r="I88" s="196">
        <f t="shared" si="26"/>
        <v>0.604855842185129</v>
      </c>
      <c r="J88" s="197">
        <f t="shared" si="29"/>
        <v>0.61083355245858539</v>
      </c>
      <c r="K88" s="198">
        <f t="shared" si="30"/>
        <v>0.30019581262238287</v>
      </c>
    </row>
    <row r="89" spans="1:11" x14ac:dyDescent="0.25">
      <c r="A89">
        <f t="shared" si="31"/>
        <v>2023</v>
      </c>
      <c r="B89" s="192">
        <v>45170</v>
      </c>
      <c r="C89" s="476">
        <v>219.8</v>
      </c>
      <c r="D89" s="481">
        <f t="shared" si="27"/>
        <v>150.39999999999998</v>
      </c>
      <c r="E89" s="476">
        <v>370.2</v>
      </c>
      <c r="F89" s="481">
        <v>495.1</v>
      </c>
      <c r="G89" s="476">
        <f t="shared" si="28"/>
        <v>294.60000000000002</v>
      </c>
      <c r="H89" s="481">
        <v>789.7</v>
      </c>
      <c r="I89" s="193">
        <f t="shared" si="26"/>
        <v>0.59373311723392763</v>
      </c>
      <c r="J89" s="194">
        <f t="shared" si="29"/>
        <v>0.626946941876662</v>
      </c>
      <c r="K89" s="195">
        <f t="shared" si="30"/>
        <v>0.30745558819415303</v>
      </c>
    </row>
    <row r="90" spans="1:11" x14ac:dyDescent="0.25">
      <c r="A90">
        <f t="shared" si="31"/>
        <v>2023</v>
      </c>
      <c r="B90" s="192">
        <v>45261</v>
      </c>
      <c r="C90" s="477">
        <v>201</v>
      </c>
      <c r="D90" s="482">
        <f t="shared" si="27"/>
        <v>161.5</v>
      </c>
      <c r="E90" s="477">
        <v>362.5</v>
      </c>
      <c r="F90" s="483">
        <v>475.9</v>
      </c>
      <c r="G90" s="477">
        <f t="shared" si="28"/>
        <v>276.39999999999998</v>
      </c>
      <c r="H90" s="483">
        <v>752.3</v>
      </c>
      <c r="I90" s="196">
        <f t="shared" si="26"/>
        <v>0.55448275862068963</v>
      </c>
      <c r="J90" s="197">
        <f t="shared" si="29"/>
        <v>0.63259338030041212</v>
      </c>
      <c r="K90" s="198">
        <f t="shared" si="30"/>
        <v>0.29694194120254103</v>
      </c>
    </row>
    <row r="91" spans="1:11" x14ac:dyDescent="0.25">
      <c r="A91">
        <f t="shared" si="31"/>
        <v>2024</v>
      </c>
      <c r="B91" s="192">
        <v>45352</v>
      </c>
      <c r="C91" s="476">
        <v>148.19999999999999</v>
      </c>
      <c r="D91" s="481">
        <f t="shared" si="27"/>
        <v>129.10000000000002</v>
      </c>
      <c r="E91" s="476">
        <v>277.3</v>
      </c>
      <c r="F91" s="481">
        <v>405.3</v>
      </c>
      <c r="G91" s="476">
        <f t="shared" si="28"/>
        <v>226.99999999999994</v>
      </c>
      <c r="H91" s="481">
        <v>632.29999999999995</v>
      </c>
      <c r="I91" s="193">
        <f t="shared" si="26"/>
        <v>0.53443923548503425</v>
      </c>
      <c r="J91" s="194">
        <f t="shared" si="29"/>
        <v>0.64099319943065003</v>
      </c>
      <c r="K91" s="195">
        <f t="shared" si="30"/>
        <v>0.26775067750677506</v>
      </c>
    </row>
    <row r="92" spans="1:11" x14ac:dyDescent="0.25">
      <c r="A92">
        <f t="shared" si="31"/>
        <v>2024</v>
      </c>
      <c r="B92" s="192">
        <v>45444</v>
      </c>
      <c r="C92" s="477">
        <v>164.4</v>
      </c>
      <c r="D92" s="482">
        <f t="shared" si="27"/>
        <v>141.20000000000002</v>
      </c>
      <c r="E92" s="477">
        <v>305.60000000000002</v>
      </c>
      <c r="F92" s="483">
        <v>473.7</v>
      </c>
      <c r="G92" s="477">
        <f t="shared" si="28"/>
        <v>251.00000000000006</v>
      </c>
      <c r="H92" s="483">
        <v>724.7</v>
      </c>
      <c r="I92" s="196">
        <f t="shared" si="26"/>
        <v>0.5379581151832461</v>
      </c>
      <c r="J92" s="197">
        <f t="shared" si="29"/>
        <v>0.65364978611839375</v>
      </c>
      <c r="K92" s="198">
        <f t="shared" si="30"/>
        <v>0.25763986835919134</v>
      </c>
    </row>
    <row r="93" spans="1:11" x14ac:dyDescent="0.25">
      <c r="A93">
        <f t="shared" si="31"/>
        <v>2024</v>
      </c>
      <c r="B93" s="192">
        <v>45536</v>
      </c>
      <c r="C93" s="476">
        <v>149.9</v>
      </c>
      <c r="D93" s="481">
        <f t="shared" si="27"/>
        <v>126.4</v>
      </c>
      <c r="E93" s="476">
        <v>276.3</v>
      </c>
      <c r="F93" s="481">
        <v>514.1</v>
      </c>
      <c r="G93" s="476">
        <f t="shared" si="28"/>
        <v>226.29999999999995</v>
      </c>
      <c r="H93" s="481">
        <v>740.4</v>
      </c>
      <c r="I93" s="193">
        <f t="shared" si="26"/>
        <v>0.54252623959464352</v>
      </c>
      <c r="J93" s="194">
        <f t="shared" si="29"/>
        <v>0.69435440302539175</v>
      </c>
      <c r="K93" s="195">
        <f t="shared" si="30"/>
        <v>0.22575301204819279</v>
      </c>
    </row>
    <row r="94" spans="1:11" x14ac:dyDescent="0.25">
      <c r="A94">
        <f t="shared" si="31"/>
        <v>2024</v>
      </c>
      <c r="B94" s="192">
        <v>45627</v>
      </c>
      <c r="C94" s="477">
        <v>139.30000000000001</v>
      </c>
      <c r="D94" s="482">
        <f t="shared" si="27"/>
        <v>130</v>
      </c>
      <c r="E94" s="477">
        <v>269.3</v>
      </c>
      <c r="F94" s="483">
        <v>519.70000000000005</v>
      </c>
      <c r="G94" s="477">
        <f t="shared" si="28"/>
        <v>197</v>
      </c>
      <c r="H94" s="483">
        <v>716.7</v>
      </c>
      <c r="I94" s="196">
        <f t="shared" si="26"/>
        <v>0.51726698848867436</v>
      </c>
      <c r="J94" s="197">
        <f t="shared" si="29"/>
        <v>0.72512906376447606</v>
      </c>
      <c r="K94" s="198">
        <f t="shared" si="30"/>
        <v>0.21138088012139608</v>
      </c>
    </row>
    <row r="95" spans="1:11" x14ac:dyDescent="0.25">
      <c r="A95">
        <f t="shared" si="31"/>
        <v>2025</v>
      </c>
      <c r="B95" s="192">
        <v>45717</v>
      </c>
      <c r="C95" s="476">
        <v>109.9</v>
      </c>
      <c r="D95" s="481">
        <f t="shared" si="27"/>
        <v>99.699999999999989</v>
      </c>
      <c r="E95" s="476">
        <v>209.6</v>
      </c>
      <c r="F95" s="481">
        <v>433.7</v>
      </c>
      <c r="G95" s="476">
        <f t="shared" si="27"/>
        <v>172.90000000000003</v>
      </c>
      <c r="H95" s="481">
        <v>606.6</v>
      </c>
      <c r="I95" s="193">
        <f t="shared" si="26"/>
        <v>0.52433206106870234</v>
      </c>
      <c r="J95" s="194">
        <f t="shared" si="29"/>
        <v>0.71496867787668972</v>
      </c>
      <c r="K95" s="195">
        <f t="shared" si="30"/>
        <v>0.20217071376011775</v>
      </c>
    </row>
    <row r="96" spans="1:11" x14ac:dyDescent="0.25">
      <c r="A96">
        <f t="shared" si="31"/>
        <v>2025</v>
      </c>
      <c r="B96" s="192">
        <v>45809</v>
      </c>
      <c r="C96" s="477">
        <v>141.6</v>
      </c>
      <c r="D96" s="482">
        <f t="shared" si="27"/>
        <v>114.20000000000002</v>
      </c>
      <c r="E96" s="477">
        <v>255.8</v>
      </c>
      <c r="F96" s="483">
        <v>556.79999999999995</v>
      </c>
      <c r="G96" s="477">
        <f t="shared" si="27"/>
        <v>197.30000000000007</v>
      </c>
      <c r="H96" s="483">
        <v>754.1</v>
      </c>
      <c r="I96" s="196">
        <f t="shared" si="26"/>
        <v>0.55355746677091477</v>
      </c>
      <c r="J96" s="197">
        <f t="shared" si="29"/>
        <v>0.73836361225301672</v>
      </c>
      <c r="K96" s="198">
        <f t="shared" si="30"/>
        <v>0.20274914089347079</v>
      </c>
    </row>
    <row r="97" spans="1:11" x14ac:dyDescent="0.25">
      <c r="A97">
        <f t="shared" si="31"/>
        <v>2025</v>
      </c>
      <c r="B97" s="192">
        <v>45901</v>
      </c>
      <c r="C97" s="476">
        <v>161.9</v>
      </c>
      <c r="D97" s="481">
        <f t="shared" si="27"/>
        <v>106.99999999999997</v>
      </c>
      <c r="E97" s="476">
        <v>268.89999999999998</v>
      </c>
      <c r="F97" s="481">
        <v>571.5</v>
      </c>
      <c r="G97" s="476">
        <f t="shared" si="27"/>
        <v>229</v>
      </c>
      <c r="H97" s="481">
        <v>800.5</v>
      </c>
      <c r="I97" s="193">
        <f t="shared" ref="I97:I98" si="32">C97/E97</f>
        <v>0.60208255857195991</v>
      </c>
      <c r="J97" s="194">
        <f t="shared" ref="J97:J98" si="33">F97/H97</f>
        <v>0.71392879450343538</v>
      </c>
      <c r="K97" s="195">
        <f t="shared" ref="K97:K98" si="34">C97/(C97+F97)</f>
        <v>0.22075265884919554</v>
      </c>
    </row>
    <row r="98" spans="1:11" ht="15.75" thickBot="1" x14ac:dyDescent="0.3">
      <c r="A98">
        <f t="shared" si="31"/>
        <v>2025</v>
      </c>
      <c r="B98" s="199">
        <v>45992</v>
      </c>
      <c r="C98" s="478">
        <v>175.6</v>
      </c>
      <c r="D98" s="484">
        <f t="shared" ref="D98" si="35">E98-C98</f>
        <v>110.4</v>
      </c>
      <c r="E98" s="478">
        <v>286</v>
      </c>
      <c r="F98" s="485">
        <v>548</v>
      </c>
      <c r="G98" s="478">
        <f t="shared" ref="G98" si="36">H98-F98</f>
        <v>219.79999999999995</v>
      </c>
      <c r="H98" s="485">
        <v>767.8</v>
      </c>
      <c r="I98" s="200">
        <f t="shared" si="32"/>
        <v>0.61398601398601393</v>
      </c>
      <c r="J98" s="201">
        <f t="shared" si="33"/>
        <v>0.71372753321177396</v>
      </c>
      <c r="K98" s="202">
        <f t="shared" si="34"/>
        <v>0.24267551133222773</v>
      </c>
    </row>
    <row r="99" spans="1:11" x14ac:dyDescent="0.25">
      <c r="A99">
        <f t="shared" si="31"/>
        <v>1900</v>
      </c>
      <c r="C99" s="50"/>
      <c r="E99" s="50"/>
      <c r="F99" s="50"/>
      <c r="G99" s="50"/>
      <c r="H99" s="50"/>
    </row>
    <row r="100" spans="1:11" x14ac:dyDescent="0.25">
      <c r="A100">
        <f t="shared" si="31"/>
        <v>1900</v>
      </c>
      <c r="C100" s="50"/>
      <c r="E100" s="50"/>
      <c r="F100" s="50"/>
      <c r="G100" s="50"/>
      <c r="H100" s="50"/>
    </row>
    <row r="101" spans="1:11" x14ac:dyDescent="0.25">
      <c r="A101">
        <f t="shared" si="31"/>
        <v>1900</v>
      </c>
      <c r="C101" s="50"/>
      <c r="E101" s="50"/>
      <c r="F101" s="50"/>
      <c r="G101" s="50"/>
      <c r="H101" s="50"/>
    </row>
    <row r="102" spans="1:11" x14ac:dyDescent="0.25">
      <c r="A102">
        <f t="shared" si="31"/>
        <v>1900</v>
      </c>
      <c r="F102" s="50"/>
      <c r="G102" s="50"/>
    </row>
    <row r="103" spans="1:11" ht="15.75" customHeight="1" x14ac:dyDescent="0.25">
      <c r="A103">
        <f t="shared" si="31"/>
        <v>1900</v>
      </c>
      <c r="F103" s="50"/>
      <c r="G103" s="50"/>
    </row>
    <row r="104" spans="1:11" x14ac:dyDescent="0.25">
      <c r="A104">
        <f t="shared" si="31"/>
        <v>1900</v>
      </c>
      <c r="F104" s="50"/>
      <c r="G104" s="50"/>
    </row>
    <row r="105" spans="1:11" x14ac:dyDescent="0.25">
      <c r="A105">
        <f t="shared" si="31"/>
        <v>1900</v>
      </c>
      <c r="F105" s="50"/>
      <c r="G105" s="50"/>
    </row>
    <row r="106" spans="1:11" x14ac:dyDescent="0.25">
      <c r="A106">
        <f t="shared" si="31"/>
        <v>1900</v>
      </c>
      <c r="F106" s="50"/>
      <c r="G106" s="50"/>
    </row>
    <row r="107" spans="1:11" x14ac:dyDescent="0.25">
      <c r="A107">
        <f t="shared" si="31"/>
        <v>1900</v>
      </c>
      <c r="F107" s="50"/>
      <c r="G107" s="50"/>
    </row>
    <row r="108" spans="1:11" x14ac:dyDescent="0.25">
      <c r="A108">
        <f t="shared" si="31"/>
        <v>1900</v>
      </c>
      <c r="F108" s="50"/>
      <c r="G108" s="50"/>
    </row>
    <row r="109" spans="1:11" x14ac:dyDescent="0.25">
      <c r="A109">
        <f t="shared" si="31"/>
        <v>1900</v>
      </c>
      <c r="F109" s="50"/>
      <c r="G109" s="50"/>
    </row>
    <row r="110" spans="1:11" ht="15" customHeight="1" x14ac:dyDescent="0.25">
      <c r="A110">
        <f t="shared" si="31"/>
        <v>1900</v>
      </c>
      <c r="F110" s="50"/>
      <c r="G110" s="50"/>
    </row>
    <row r="111" spans="1:11" x14ac:dyDescent="0.25">
      <c r="A111">
        <f t="shared" si="31"/>
        <v>1900</v>
      </c>
      <c r="F111" s="50"/>
      <c r="G111" s="50"/>
    </row>
    <row r="112" spans="1:11" x14ac:dyDescent="0.25">
      <c r="A112">
        <f t="shared" si="31"/>
        <v>1900</v>
      </c>
      <c r="F112" s="50"/>
      <c r="G112" s="50"/>
    </row>
    <row r="113" spans="1:7" x14ac:dyDescent="0.25">
      <c r="A113">
        <f t="shared" si="31"/>
        <v>1900</v>
      </c>
      <c r="F113" s="50"/>
      <c r="G113" s="50"/>
    </row>
    <row r="114" spans="1:7" x14ac:dyDescent="0.25">
      <c r="A114">
        <f t="shared" si="31"/>
        <v>1900</v>
      </c>
      <c r="F114" s="50"/>
      <c r="G114" s="50"/>
    </row>
    <row r="115" spans="1:7" x14ac:dyDescent="0.25">
      <c r="A115">
        <f t="shared" si="31"/>
        <v>1900</v>
      </c>
      <c r="F115" s="50"/>
      <c r="G115" s="50"/>
    </row>
    <row r="116" spans="1:7" x14ac:dyDescent="0.25">
      <c r="A116">
        <f t="shared" si="31"/>
        <v>1900</v>
      </c>
      <c r="F116" s="50"/>
      <c r="G116" s="50"/>
    </row>
    <row r="117" spans="1:7" x14ac:dyDescent="0.25">
      <c r="A117">
        <f t="shared" si="31"/>
        <v>1900</v>
      </c>
      <c r="F117" s="50"/>
      <c r="G117" s="50"/>
    </row>
    <row r="118" spans="1:7" x14ac:dyDescent="0.25">
      <c r="A118">
        <f t="shared" si="31"/>
        <v>1900</v>
      </c>
      <c r="F118" s="50"/>
      <c r="G118" s="50"/>
    </row>
    <row r="119" spans="1:7" x14ac:dyDescent="0.25">
      <c r="A119">
        <f t="shared" si="31"/>
        <v>1900</v>
      </c>
      <c r="F119" s="50"/>
      <c r="G119" s="50"/>
    </row>
    <row r="120" spans="1:7" x14ac:dyDescent="0.25">
      <c r="A120">
        <f t="shared" si="31"/>
        <v>1900</v>
      </c>
      <c r="F120" s="50"/>
      <c r="G120" s="50"/>
    </row>
    <row r="121" spans="1:7" x14ac:dyDescent="0.25">
      <c r="A121">
        <f t="shared" si="31"/>
        <v>1900</v>
      </c>
      <c r="F121" s="50"/>
      <c r="G121" s="50"/>
    </row>
    <row r="122" spans="1:7" x14ac:dyDescent="0.25">
      <c r="A122">
        <f t="shared" si="31"/>
        <v>1900</v>
      </c>
      <c r="F122" s="50"/>
      <c r="G122" s="50"/>
    </row>
    <row r="123" spans="1:7" x14ac:dyDescent="0.25">
      <c r="A123">
        <f t="shared" si="31"/>
        <v>1900</v>
      </c>
      <c r="F123" s="50"/>
      <c r="G123" s="50"/>
    </row>
    <row r="124" spans="1:7" x14ac:dyDescent="0.25">
      <c r="A124">
        <f t="shared" si="31"/>
        <v>1900</v>
      </c>
      <c r="F124" s="50"/>
      <c r="G124" s="50"/>
    </row>
    <row r="125" spans="1:7" x14ac:dyDescent="0.25">
      <c r="A125">
        <f t="shared" si="31"/>
        <v>1900</v>
      </c>
      <c r="F125" s="50"/>
      <c r="G125" s="50"/>
    </row>
    <row r="126" spans="1:7" x14ac:dyDescent="0.25">
      <c r="A126">
        <f t="shared" si="31"/>
        <v>1900</v>
      </c>
      <c r="F126" s="50"/>
      <c r="G126" s="50"/>
    </row>
    <row r="127" spans="1:7" x14ac:dyDescent="0.25">
      <c r="A127">
        <f t="shared" si="31"/>
        <v>1900</v>
      </c>
      <c r="F127" s="50"/>
      <c r="G127" s="50"/>
    </row>
    <row r="128" spans="1:7" x14ac:dyDescent="0.25">
      <c r="A128">
        <f t="shared" si="31"/>
        <v>1900</v>
      </c>
      <c r="F128" s="50"/>
      <c r="G128" s="50"/>
    </row>
    <row r="129" spans="1:7" x14ac:dyDescent="0.25">
      <c r="A129">
        <f t="shared" si="31"/>
        <v>1900</v>
      </c>
      <c r="F129" s="50"/>
      <c r="G129" s="50"/>
    </row>
    <row r="130" spans="1:7" x14ac:dyDescent="0.25">
      <c r="A130">
        <f t="shared" si="31"/>
        <v>1900</v>
      </c>
      <c r="F130" s="50"/>
      <c r="G130" s="50"/>
    </row>
    <row r="131" spans="1:7" x14ac:dyDescent="0.25">
      <c r="A131">
        <f t="shared" si="31"/>
        <v>1900</v>
      </c>
    </row>
    <row r="132" spans="1:7" x14ac:dyDescent="0.25">
      <c r="A132">
        <f t="shared" si="31"/>
        <v>1900</v>
      </c>
    </row>
    <row r="133" spans="1:7" x14ac:dyDescent="0.25">
      <c r="A133">
        <f t="shared" si="31"/>
        <v>1900</v>
      </c>
    </row>
    <row r="134" spans="1:7" x14ac:dyDescent="0.25">
      <c r="A134">
        <f t="shared" si="31"/>
        <v>1900</v>
      </c>
    </row>
    <row r="135" spans="1:7" x14ac:dyDescent="0.25">
      <c r="A135">
        <f t="shared" si="31"/>
        <v>1900</v>
      </c>
    </row>
    <row r="136" spans="1:7" x14ac:dyDescent="0.25">
      <c r="A136">
        <f t="shared" si="31"/>
        <v>1900</v>
      </c>
    </row>
    <row r="137" spans="1:7" x14ac:dyDescent="0.25">
      <c r="A137">
        <f t="shared" si="31"/>
        <v>1900</v>
      </c>
    </row>
    <row r="138" spans="1:7" x14ac:dyDescent="0.25">
      <c r="A138">
        <f t="shared" si="31"/>
        <v>1900</v>
      </c>
    </row>
    <row r="139" spans="1:7" x14ac:dyDescent="0.25">
      <c r="A139">
        <f t="shared" ref="A139:A202" si="37">YEAR(B139)</f>
        <v>1900</v>
      </c>
    </row>
    <row r="140" spans="1:7" x14ac:dyDescent="0.25">
      <c r="A140">
        <f t="shared" si="37"/>
        <v>1900</v>
      </c>
    </row>
    <row r="141" spans="1:7" x14ac:dyDescent="0.25">
      <c r="A141">
        <f t="shared" si="37"/>
        <v>1900</v>
      </c>
    </row>
    <row r="142" spans="1:7" x14ac:dyDescent="0.25">
      <c r="A142">
        <f t="shared" si="37"/>
        <v>1900</v>
      </c>
    </row>
    <row r="143" spans="1:7" x14ac:dyDescent="0.25">
      <c r="A143">
        <f t="shared" si="37"/>
        <v>1900</v>
      </c>
    </row>
    <row r="144" spans="1:7" x14ac:dyDescent="0.25">
      <c r="A144">
        <f t="shared" si="37"/>
        <v>1900</v>
      </c>
    </row>
    <row r="145" spans="1:1" x14ac:dyDescent="0.25">
      <c r="A145">
        <f t="shared" si="37"/>
        <v>1900</v>
      </c>
    </row>
    <row r="146" spans="1:1" x14ac:dyDescent="0.25">
      <c r="A146">
        <f t="shared" si="37"/>
        <v>1900</v>
      </c>
    </row>
    <row r="147" spans="1:1" x14ac:dyDescent="0.25">
      <c r="A147">
        <f t="shared" si="37"/>
        <v>1900</v>
      </c>
    </row>
    <row r="148" spans="1:1" x14ac:dyDescent="0.25">
      <c r="A148">
        <f t="shared" si="37"/>
        <v>1900</v>
      </c>
    </row>
    <row r="149" spans="1:1" x14ac:dyDescent="0.25">
      <c r="A149">
        <f t="shared" si="37"/>
        <v>1900</v>
      </c>
    </row>
    <row r="150" spans="1:1" x14ac:dyDescent="0.25">
      <c r="A150">
        <f t="shared" si="37"/>
        <v>1900</v>
      </c>
    </row>
    <row r="151" spans="1:1" x14ac:dyDescent="0.25">
      <c r="A151">
        <f t="shared" si="37"/>
        <v>1900</v>
      </c>
    </row>
    <row r="152" spans="1:1" x14ac:dyDescent="0.25">
      <c r="A152">
        <f t="shared" si="37"/>
        <v>1900</v>
      </c>
    </row>
    <row r="153" spans="1:1" x14ac:dyDescent="0.25">
      <c r="A153">
        <f t="shared" si="37"/>
        <v>1900</v>
      </c>
    </row>
    <row r="154" spans="1:1" x14ac:dyDescent="0.25">
      <c r="A154">
        <f t="shared" si="37"/>
        <v>1900</v>
      </c>
    </row>
    <row r="155" spans="1:1" x14ac:dyDescent="0.25">
      <c r="A155">
        <f t="shared" si="37"/>
        <v>1900</v>
      </c>
    </row>
    <row r="156" spans="1:1" x14ac:dyDescent="0.25">
      <c r="A156">
        <f t="shared" si="37"/>
        <v>1900</v>
      </c>
    </row>
    <row r="157" spans="1:1" x14ac:dyDescent="0.25">
      <c r="A157">
        <f t="shared" si="37"/>
        <v>1900</v>
      </c>
    </row>
    <row r="158" spans="1:1" x14ac:dyDescent="0.25">
      <c r="A158">
        <f t="shared" si="37"/>
        <v>1900</v>
      </c>
    </row>
    <row r="159" spans="1:1" x14ac:dyDescent="0.25">
      <c r="A159">
        <f t="shared" si="37"/>
        <v>1900</v>
      </c>
    </row>
    <row r="160" spans="1:1" x14ac:dyDescent="0.25">
      <c r="A160">
        <f t="shared" si="37"/>
        <v>1900</v>
      </c>
    </row>
    <row r="161" spans="1:1" x14ac:dyDescent="0.25">
      <c r="A161">
        <f t="shared" si="37"/>
        <v>1900</v>
      </c>
    </row>
    <row r="162" spans="1:1" x14ac:dyDescent="0.25">
      <c r="A162">
        <f t="shared" si="37"/>
        <v>1900</v>
      </c>
    </row>
    <row r="163" spans="1:1" x14ac:dyDescent="0.25">
      <c r="A163">
        <f t="shared" si="37"/>
        <v>1900</v>
      </c>
    </row>
    <row r="164" spans="1:1" x14ac:dyDescent="0.25">
      <c r="A164">
        <f t="shared" si="37"/>
        <v>1900</v>
      </c>
    </row>
    <row r="165" spans="1:1" x14ac:dyDescent="0.25">
      <c r="A165">
        <f t="shared" si="37"/>
        <v>1900</v>
      </c>
    </row>
    <row r="166" spans="1:1" x14ac:dyDescent="0.25">
      <c r="A166">
        <f t="shared" si="37"/>
        <v>1900</v>
      </c>
    </row>
    <row r="167" spans="1:1" x14ac:dyDescent="0.25">
      <c r="A167">
        <f t="shared" si="37"/>
        <v>1900</v>
      </c>
    </row>
    <row r="168" spans="1:1" x14ac:dyDescent="0.25">
      <c r="A168">
        <f t="shared" si="37"/>
        <v>1900</v>
      </c>
    </row>
    <row r="169" spans="1:1" x14ac:dyDescent="0.25">
      <c r="A169">
        <f t="shared" si="37"/>
        <v>1900</v>
      </c>
    </row>
    <row r="170" spans="1:1" x14ac:dyDescent="0.25">
      <c r="A170">
        <f t="shared" si="37"/>
        <v>1900</v>
      </c>
    </row>
    <row r="171" spans="1:1" x14ac:dyDescent="0.25">
      <c r="A171">
        <f t="shared" si="37"/>
        <v>1900</v>
      </c>
    </row>
    <row r="172" spans="1:1" x14ac:dyDescent="0.25">
      <c r="A172">
        <f t="shared" si="37"/>
        <v>1900</v>
      </c>
    </row>
    <row r="173" spans="1:1" x14ac:dyDescent="0.25">
      <c r="A173">
        <f t="shared" si="37"/>
        <v>1900</v>
      </c>
    </row>
    <row r="174" spans="1:1" x14ac:dyDescent="0.25">
      <c r="A174">
        <f t="shared" si="37"/>
        <v>1900</v>
      </c>
    </row>
    <row r="175" spans="1:1" x14ac:dyDescent="0.25">
      <c r="A175">
        <f t="shared" si="37"/>
        <v>1900</v>
      </c>
    </row>
    <row r="176" spans="1:1" x14ac:dyDescent="0.25">
      <c r="A176">
        <f t="shared" si="37"/>
        <v>1900</v>
      </c>
    </row>
    <row r="177" spans="1:1" x14ac:dyDescent="0.25">
      <c r="A177">
        <f t="shared" si="37"/>
        <v>1900</v>
      </c>
    </row>
    <row r="178" spans="1:1" x14ac:dyDescent="0.25">
      <c r="A178">
        <f t="shared" si="37"/>
        <v>1900</v>
      </c>
    </row>
    <row r="179" spans="1:1" x14ac:dyDescent="0.25">
      <c r="A179">
        <f t="shared" si="37"/>
        <v>1900</v>
      </c>
    </row>
    <row r="180" spans="1:1" x14ac:dyDescent="0.25">
      <c r="A180">
        <f t="shared" si="37"/>
        <v>1900</v>
      </c>
    </row>
    <row r="181" spans="1:1" x14ac:dyDescent="0.25">
      <c r="A181">
        <f t="shared" si="37"/>
        <v>1900</v>
      </c>
    </row>
    <row r="182" spans="1:1" x14ac:dyDescent="0.25">
      <c r="A182">
        <f t="shared" si="37"/>
        <v>1900</v>
      </c>
    </row>
    <row r="183" spans="1:1" x14ac:dyDescent="0.25">
      <c r="A183">
        <f t="shared" si="37"/>
        <v>1900</v>
      </c>
    </row>
    <row r="184" spans="1:1" x14ac:dyDescent="0.25">
      <c r="A184">
        <f t="shared" si="37"/>
        <v>1900</v>
      </c>
    </row>
    <row r="185" spans="1:1" x14ac:dyDescent="0.25">
      <c r="A185">
        <f t="shared" si="37"/>
        <v>1900</v>
      </c>
    </row>
    <row r="186" spans="1:1" x14ac:dyDescent="0.25">
      <c r="A186">
        <f t="shared" si="37"/>
        <v>1900</v>
      </c>
    </row>
    <row r="187" spans="1:1" x14ac:dyDescent="0.25">
      <c r="A187">
        <f t="shared" si="37"/>
        <v>1900</v>
      </c>
    </row>
    <row r="188" spans="1:1" x14ac:dyDescent="0.25">
      <c r="A188">
        <f t="shared" si="37"/>
        <v>1900</v>
      </c>
    </row>
    <row r="189" spans="1:1" x14ac:dyDescent="0.25">
      <c r="A189">
        <f t="shared" si="37"/>
        <v>1900</v>
      </c>
    </row>
    <row r="190" spans="1:1" x14ac:dyDescent="0.25">
      <c r="A190">
        <f t="shared" si="37"/>
        <v>1900</v>
      </c>
    </row>
    <row r="191" spans="1:1" x14ac:dyDescent="0.25">
      <c r="A191">
        <f t="shared" si="37"/>
        <v>1900</v>
      </c>
    </row>
    <row r="192" spans="1:1" x14ac:dyDescent="0.25">
      <c r="A192">
        <f t="shared" si="37"/>
        <v>1900</v>
      </c>
    </row>
    <row r="193" spans="1:1" x14ac:dyDescent="0.25">
      <c r="A193">
        <f t="shared" si="37"/>
        <v>1900</v>
      </c>
    </row>
    <row r="194" spans="1:1" x14ac:dyDescent="0.25">
      <c r="A194">
        <f t="shared" si="37"/>
        <v>1900</v>
      </c>
    </row>
    <row r="195" spans="1:1" x14ac:dyDescent="0.25">
      <c r="A195">
        <f t="shared" si="37"/>
        <v>1900</v>
      </c>
    </row>
    <row r="196" spans="1:1" x14ac:dyDescent="0.25">
      <c r="A196">
        <f t="shared" si="37"/>
        <v>1900</v>
      </c>
    </row>
    <row r="197" spans="1:1" x14ac:dyDescent="0.25">
      <c r="A197">
        <f t="shared" si="37"/>
        <v>1900</v>
      </c>
    </row>
    <row r="198" spans="1:1" x14ac:dyDescent="0.25">
      <c r="A198">
        <f t="shared" si="37"/>
        <v>1900</v>
      </c>
    </row>
    <row r="199" spans="1:1" x14ac:dyDescent="0.25">
      <c r="A199">
        <f t="shared" si="37"/>
        <v>1900</v>
      </c>
    </row>
    <row r="200" spans="1:1" x14ac:dyDescent="0.25">
      <c r="A200">
        <f t="shared" si="37"/>
        <v>1900</v>
      </c>
    </row>
    <row r="201" spans="1:1" x14ac:dyDescent="0.25">
      <c r="A201">
        <f t="shared" si="37"/>
        <v>1900</v>
      </c>
    </row>
    <row r="202" spans="1:1" x14ac:dyDescent="0.25">
      <c r="A202">
        <f t="shared" si="37"/>
        <v>1900</v>
      </c>
    </row>
    <row r="203" spans="1:1" ht="16.5" customHeight="1" x14ac:dyDescent="0.25">
      <c r="A203">
        <f t="shared" ref="A203:A266" si="38">YEAR(B203)</f>
        <v>1900</v>
      </c>
    </row>
    <row r="204" spans="1:1" x14ac:dyDescent="0.25">
      <c r="A204">
        <f t="shared" si="38"/>
        <v>1900</v>
      </c>
    </row>
    <row r="205" spans="1:1" x14ac:dyDescent="0.25">
      <c r="A205">
        <f t="shared" si="38"/>
        <v>1900</v>
      </c>
    </row>
    <row r="206" spans="1:1" x14ac:dyDescent="0.25">
      <c r="A206">
        <f t="shared" si="38"/>
        <v>1900</v>
      </c>
    </row>
    <row r="207" spans="1:1" x14ac:dyDescent="0.25">
      <c r="A207">
        <f t="shared" si="38"/>
        <v>1900</v>
      </c>
    </row>
    <row r="208" spans="1:1" x14ac:dyDescent="0.25">
      <c r="A208">
        <f t="shared" si="38"/>
        <v>1900</v>
      </c>
    </row>
    <row r="209" spans="1:1" x14ac:dyDescent="0.25">
      <c r="A209">
        <f t="shared" si="38"/>
        <v>1900</v>
      </c>
    </row>
    <row r="210" spans="1:1" x14ac:dyDescent="0.25">
      <c r="A210">
        <f t="shared" si="38"/>
        <v>1900</v>
      </c>
    </row>
    <row r="211" spans="1:1" x14ac:dyDescent="0.25">
      <c r="A211">
        <f t="shared" si="38"/>
        <v>1900</v>
      </c>
    </row>
    <row r="212" spans="1:1" x14ac:dyDescent="0.25">
      <c r="A212">
        <f t="shared" si="38"/>
        <v>1900</v>
      </c>
    </row>
    <row r="213" spans="1:1" x14ac:dyDescent="0.25">
      <c r="A213">
        <f t="shared" si="38"/>
        <v>1900</v>
      </c>
    </row>
    <row r="214" spans="1:1" x14ac:dyDescent="0.25">
      <c r="A214">
        <f t="shared" si="38"/>
        <v>1900</v>
      </c>
    </row>
    <row r="215" spans="1:1" x14ac:dyDescent="0.25">
      <c r="A215">
        <f t="shared" si="38"/>
        <v>1900</v>
      </c>
    </row>
    <row r="216" spans="1:1" x14ac:dyDescent="0.25">
      <c r="A216">
        <f t="shared" si="38"/>
        <v>1900</v>
      </c>
    </row>
    <row r="217" spans="1:1" x14ac:dyDescent="0.25">
      <c r="A217">
        <f t="shared" si="38"/>
        <v>1900</v>
      </c>
    </row>
    <row r="218" spans="1:1" x14ac:dyDescent="0.25">
      <c r="A218">
        <f t="shared" si="38"/>
        <v>1900</v>
      </c>
    </row>
    <row r="219" spans="1:1" x14ac:dyDescent="0.25">
      <c r="A219">
        <f t="shared" si="38"/>
        <v>1900</v>
      </c>
    </row>
    <row r="220" spans="1:1" x14ac:dyDescent="0.25">
      <c r="A220">
        <f t="shared" si="38"/>
        <v>1900</v>
      </c>
    </row>
    <row r="221" spans="1:1" x14ac:dyDescent="0.25">
      <c r="A221">
        <f t="shared" si="38"/>
        <v>1900</v>
      </c>
    </row>
    <row r="222" spans="1:1" x14ac:dyDescent="0.25">
      <c r="A222">
        <f t="shared" si="38"/>
        <v>1900</v>
      </c>
    </row>
    <row r="223" spans="1:1" x14ac:dyDescent="0.25">
      <c r="A223">
        <f t="shared" si="38"/>
        <v>1900</v>
      </c>
    </row>
    <row r="224" spans="1:1" x14ac:dyDescent="0.25">
      <c r="A224">
        <f t="shared" si="38"/>
        <v>1900</v>
      </c>
    </row>
    <row r="225" spans="1:1" x14ac:dyDescent="0.25">
      <c r="A225">
        <f t="shared" si="38"/>
        <v>1900</v>
      </c>
    </row>
    <row r="226" spans="1:1" x14ac:dyDescent="0.25">
      <c r="A226">
        <f t="shared" si="38"/>
        <v>1900</v>
      </c>
    </row>
    <row r="227" spans="1:1" x14ac:dyDescent="0.25">
      <c r="A227">
        <f t="shared" si="38"/>
        <v>1900</v>
      </c>
    </row>
    <row r="228" spans="1:1" x14ac:dyDescent="0.25">
      <c r="A228">
        <f t="shared" si="38"/>
        <v>1900</v>
      </c>
    </row>
    <row r="229" spans="1:1" x14ac:dyDescent="0.25">
      <c r="A229">
        <f t="shared" si="38"/>
        <v>1900</v>
      </c>
    </row>
    <row r="230" spans="1:1" x14ac:dyDescent="0.25">
      <c r="A230">
        <f t="shared" si="38"/>
        <v>1900</v>
      </c>
    </row>
    <row r="231" spans="1:1" x14ac:dyDescent="0.25">
      <c r="A231">
        <f t="shared" si="38"/>
        <v>1900</v>
      </c>
    </row>
    <row r="232" spans="1:1" x14ac:dyDescent="0.25">
      <c r="A232">
        <f t="shared" si="38"/>
        <v>1900</v>
      </c>
    </row>
    <row r="233" spans="1:1" x14ac:dyDescent="0.25">
      <c r="A233">
        <f t="shared" si="38"/>
        <v>1900</v>
      </c>
    </row>
    <row r="234" spans="1:1" x14ac:dyDescent="0.25">
      <c r="A234">
        <f t="shared" si="38"/>
        <v>1900</v>
      </c>
    </row>
    <row r="235" spans="1:1" x14ac:dyDescent="0.25">
      <c r="A235">
        <f t="shared" si="38"/>
        <v>1900</v>
      </c>
    </row>
    <row r="236" spans="1:1" x14ac:dyDescent="0.25">
      <c r="A236">
        <f t="shared" si="38"/>
        <v>1900</v>
      </c>
    </row>
    <row r="237" spans="1:1" x14ac:dyDescent="0.25">
      <c r="A237">
        <f t="shared" si="38"/>
        <v>1900</v>
      </c>
    </row>
    <row r="238" spans="1:1" x14ac:dyDescent="0.25">
      <c r="A238">
        <f t="shared" si="38"/>
        <v>1900</v>
      </c>
    </row>
    <row r="239" spans="1:1" x14ac:dyDescent="0.25">
      <c r="A239">
        <f t="shared" si="38"/>
        <v>1900</v>
      </c>
    </row>
    <row r="240" spans="1:1" x14ac:dyDescent="0.25">
      <c r="A240">
        <f t="shared" si="38"/>
        <v>1900</v>
      </c>
    </row>
    <row r="241" spans="1:1" x14ac:dyDescent="0.25">
      <c r="A241">
        <f t="shared" si="38"/>
        <v>1900</v>
      </c>
    </row>
    <row r="242" spans="1:1" x14ac:dyDescent="0.25">
      <c r="A242">
        <f t="shared" si="38"/>
        <v>1900</v>
      </c>
    </row>
    <row r="243" spans="1:1" x14ac:dyDescent="0.25">
      <c r="A243">
        <f t="shared" si="38"/>
        <v>1900</v>
      </c>
    </row>
    <row r="244" spans="1:1" x14ac:dyDescent="0.25">
      <c r="A244">
        <f t="shared" si="38"/>
        <v>1900</v>
      </c>
    </row>
    <row r="245" spans="1:1" x14ac:dyDescent="0.25">
      <c r="A245">
        <f t="shared" si="38"/>
        <v>1900</v>
      </c>
    </row>
    <row r="246" spans="1:1" x14ac:dyDescent="0.25">
      <c r="A246">
        <f t="shared" si="38"/>
        <v>1900</v>
      </c>
    </row>
    <row r="247" spans="1:1" x14ac:dyDescent="0.25">
      <c r="A247">
        <f t="shared" si="38"/>
        <v>1900</v>
      </c>
    </row>
    <row r="248" spans="1:1" x14ac:dyDescent="0.25">
      <c r="A248">
        <f t="shared" si="38"/>
        <v>1900</v>
      </c>
    </row>
    <row r="249" spans="1:1" x14ac:dyDescent="0.25">
      <c r="A249">
        <f t="shared" si="38"/>
        <v>1900</v>
      </c>
    </row>
    <row r="250" spans="1:1" x14ac:dyDescent="0.25">
      <c r="A250">
        <f t="shared" si="38"/>
        <v>1900</v>
      </c>
    </row>
    <row r="251" spans="1:1" x14ac:dyDescent="0.25">
      <c r="A251">
        <f t="shared" si="38"/>
        <v>1900</v>
      </c>
    </row>
    <row r="252" spans="1:1" x14ac:dyDescent="0.25">
      <c r="A252">
        <f t="shared" si="38"/>
        <v>1900</v>
      </c>
    </row>
    <row r="253" spans="1:1" x14ac:dyDescent="0.25">
      <c r="A253">
        <f t="shared" si="38"/>
        <v>1900</v>
      </c>
    </row>
    <row r="254" spans="1:1" x14ac:dyDescent="0.25">
      <c r="A254">
        <f t="shared" si="38"/>
        <v>1900</v>
      </c>
    </row>
    <row r="255" spans="1:1" x14ac:dyDescent="0.25">
      <c r="A255">
        <f t="shared" si="38"/>
        <v>1900</v>
      </c>
    </row>
    <row r="256" spans="1:1" x14ac:dyDescent="0.25">
      <c r="A256">
        <f t="shared" si="38"/>
        <v>1900</v>
      </c>
    </row>
    <row r="257" spans="1:1" x14ac:dyDescent="0.25">
      <c r="A257">
        <f t="shared" si="38"/>
        <v>1900</v>
      </c>
    </row>
    <row r="258" spans="1:1" x14ac:dyDescent="0.25">
      <c r="A258">
        <f t="shared" si="38"/>
        <v>1900</v>
      </c>
    </row>
    <row r="259" spans="1:1" x14ac:dyDescent="0.25">
      <c r="A259">
        <f t="shared" si="38"/>
        <v>1900</v>
      </c>
    </row>
    <row r="260" spans="1:1" x14ac:dyDescent="0.25">
      <c r="A260">
        <f t="shared" si="38"/>
        <v>1900</v>
      </c>
    </row>
    <row r="261" spans="1:1" x14ac:dyDescent="0.25">
      <c r="A261">
        <f t="shared" si="38"/>
        <v>1900</v>
      </c>
    </row>
    <row r="262" spans="1:1" x14ac:dyDescent="0.25">
      <c r="A262">
        <f t="shared" si="38"/>
        <v>1900</v>
      </c>
    </row>
    <row r="263" spans="1:1" x14ac:dyDescent="0.25">
      <c r="A263">
        <f t="shared" si="38"/>
        <v>1900</v>
      </c>
    </row>
    <row r="264" spans="1:1" x14ac:dyDescent="0.25">
      <c r="A264">
        <f t="shared" si="38"/>
        <v>1900</v>
      </c>
    </row>
    <row r="265" spans="1:1" x14ac:dyDescent="0.25">
      <c r="A265">
        <f t="shared" si="38"/>
        <v>1900</v>
      </c>
    </row>
    <row r="266" spans="1:1" x14ac:dyDescent="0.25">
      <c r="A266">
        <f t="shared" si="38"/>
        <v>1900</v>
      </c>
    </row>
    <row r="267" spans="1:1" x14ac:dyDescent="0.25">
      <c r="A267">
        <f t="shared" ref="A267:A330" si="39">YEAR(B267)</f>
        <v>1900</v>
      </c>
    </row>
    <row r="268" spans="1:1" x14ac:dyDescent="0.25">
      <c r="A268">
        <f t="shared" si="39"/>
        <v>1900</v>
      </c>
    </row>
    <row r="269" spans="1:1" x14ac:dyDescent="0.25">
      <c r="A269">
        <f t="shared" si="39"/>
        <v>1900</v>
      </c>
    </row>
    <row r="270" spans="1:1" x14ac:dyDescent="0.25">
      <c r="A270">
        <f t="shared" si="39"/>
        <v>1900</v>
      </c>
    </row>
    <row r="271" spans="1:1" x14ac:dyDescent="0.25">
      <c r="A271">
        <f t="shared" si="39"/>
        <v>1900</v>
      </c>
    </row>
    <row r="272" spans="1:1" x14ac:dyDescent="0.25">
      <c r="A272">
        <f t="shared" si="39"/>
        <v>1900</v>
      </c>
    </row>
    <row r="273" spans="1:1" x14ac:dyDescent="0.25">
      <c r="A273">
        <f t="shared" si="39"/>
        <v>1900</v>
      </c>
    </row>
    <row r="274" spans="1:1" x14ac:dyDescent="0.25">
      <c r="A274">
        <f t="shared" si="39"/>
        <v>1900</v>
      </c>
    </row>
    <row r="275" spans="1:1" x14ac:dyDescent="0.25">
      <c r="A275">
        <f t="shared" si="39"/>
        <v>1900</v>
      </c>
    </row>
    <row r="276" spans="1:1" x14ac:dyDescent="0.25">
      <c r="A276">
        <f t="shared" si="39"/>
        <v>1900</v>
      </c>
    </row>
    <row r="277" spans="1:1" x14ac:dyDescent="0.25">
      <c r="A277">
        <f t="shared" si="39"/>
        <v>1900</v>
      </c>
    </row>
    <row r="278" spans="1:1" x14ac:dyDescent="0.25">
      <c r="A278">
        <f t="shared" si="39"/>
        <v>1900</v>
      </c>
    </row>
    <row r="279" spans="1:1" x14ac:dyDescent="0.25">
      <c r="A279">
        <f t="shared" si="39"/>
        <v>1900</v>
      </c>
    </row>
    <row r="280" spans="1:1" x14ac:dyDescent="0.25">
      <c r="A280">
        <f t="shared" si="39"/>
        <v>1900</v>
      </c>
    </row>
    <row r="281" spans="1:1" x14ac:dyDescent="0.25">
      <c r="A281">
        <f t="shared" si="39"/>
        <v>1900</v>
      </c>
    </row>
    <row r="282" spans="1:1" x14ac:dyDescent="0.25">
      <c r="A282">
        <f t="shared" si="39"/>
        <v>1900</v>
      </c>
    </row>
    <row r="283" spans="1:1" x14ac:dyDescent="0.25">
      <c r="A283">
        <f t="shared" si="39"/>
        <v>1900</v>
      </c>
    </row>
    <row r="284" spans="1:1" x14ac:dyDescent="0.25">
      <c r="A284">
        <f t="shared" si="39"/>
        <v>1900</v>
      </c>
    </row>
    <row r="285" spans="1:1" x14ac:dyDescent="0.25">
      <c r="A285">
        <f t="shared" si="39"/>
        <v>1900</v>
      </c>
    </row>
    <row r="286" spans="1:1" x14ac:dyDescent="0.25">
      <c r="A286">
        <f t="shared" si="39"/>
        <v>1900</v>
      </c>
    </row>
    <row r="287" spans="1:1" x14ac:dyDescent="0.25">
      <c r="A287">
        <f t="shared" si="39"/>
        <v>1900</v>
      </c>
    </row>
    <row r="288" spans="1:1" x14ac:dyDescent="0.25">
      <c r="A288">
        <f t="shared" si="39"/>
        <v>1900</v>
      </c>
    </row>
    <row r="289" spans="1:1" x14ac:dyDescent="0.25">
      <c r="A289">
        <f t="shared" si="39"/>
        <v>1900</v>
      </c>
    </row>
    <row r="290" spans="1:1" x14ac:dyDescent="0.25">
      <c r="A290">
        <f t="shared" si="39"/>
        <v>1900</v>
      </c>
    </row>
    <row r="291" spans="1:1" x14ac:dyDescent="0.25">
      <c r="A291">
        <f t="shared" si="39"/>
        <v>1900</v>
      </c>
    </row>
    <row r="292" spans="1:1" x14ac:dyDescent="0.25">
      <c r="A292">
        <f t="shared" si="39"/>
        <v>1900</v>
      </c>
    </row>
    <row r="293" spans="1:1" x14ac:dyDescent="0.25">
      <c r="A293">
        <f t="shared" si="39"/>
        <v>1900</v>
      </c>
    </row>
    <row r="294" spans="1:1" x14ac:dyDescent="0.25">
      <c r="A294">
        <f t="shared" si="39"/>
        <v>1900</v>
      </c>
    </row>
    <row r="295" spans="1:1" x14ac:dyDescent="0.25">
      <c r="A295">
        <f t="shared" si="39"/>
        <v>1900</v>
      </c>
    </row>
    <row r="296" spans="1:1" x14ac:dyDescent="0.25">
      <c r="A296">
        <f t="shared" si="39"/>
        <v>1900</v>
      </c>
    </row>
    <row r="297" spans="1:1" x14ac:dyDescent="0.25">
      <c r="A297">
        <f t="shared" si="39"/>
        <v>1900</v>
      </c>
    </row>
    <row r="298" spans="1:1" x14ac:dyDescent="0.25">
      <c r="A298">
        <f t="shared" si="39"/>
        <v>1900</v>
      </c>
    </row>
    <row r="299" spans="1:1" x14ac:dyDescent="0.25">
      <c r="A299">
        <f t="shared" si="39"/>
        <v>1900</v>
      </c>
    </row>
    <row r="300" spans="1:1" x14ac:dyDescent="0.25">
      <c r="A300">
        <f t="shared" si="39"/>
        <v>1900</v>
      </c>
    </row>
    <row r="301" spans="1:1" x14ac:dyDescent="0.25">
      <c r="A301">
        <f t="shared" si="39"/>
        <v>1900</v>
      </c>
    </row>
    <row r="302" spans="1:1" x14ac:dyDescent="0.25">
      <c r="A302">
        <f t="shared" si="39"/>
        <v>1900</v>
      </c>
    </row>
    <row r="303" spans="1:1" x14ac:dyDescent="0.25">
      <c r="A303">
        <f t="shared" si="39"/>
        <v>1900</v>
      </c>
    </row>
    <row r="304" spans="1:1" x14ac:dyDescent="0.25">
      <c r="A304">
        <f t="shared" si="39"/>
        <v>1900</v>
      </c>
    </row>
    <row r="305" spans="1:1" x14ac:dyDescent="0.25">
      <c r="A305">
        <f t="shared" si="39"/>
        <v>1900</v>
      </c>
    </row>
    <row r="306" spans="1:1" x14ac:dyDescent="0.25">
      <c r="A306">
        <f t="shared" si="39"/>
        <v>1900</v>
      </c>
    </row>
    <row r="307" spans="1:1" x14ac:dyDescent="0.25">
      <c r="A307">
        <f t="shared" si="39"/>
        <v>1900</v>
      </c>
    </row>
    <row r="308" spans="1:1" x14ac:dyDescent="0.25">
      <c r="A308">
        <f t="shared" si="39"/>
        <v>1900</v>
      </c>
    </row>
    <row r="309" spans="1:1" x14ac:dyDescent="0.25">
      <c r="A309">
        <f t="shared" si="39"/>
        <v>1900</v>
      </c>
    </row>
    <row r="310" spans="1:1" x14ac:dyDescent="0.25">
      <c r="A310">
        <f t="shared" si="39"/>
        <v>1900</v>
      </c>
    </row>
    <row r="311" spans="1:1" x14ac:dyDescent="0.25">
      <c r="A311">
        <f t="shared" si="39"/>
        <v>1900</v>
      </c>
    </row>
    <row r="312" spans="1:1" x14ac:dyDescent="0.25">
      <c r="A312">
        <f t="shared" si="39"/>
        <v>1900</v>
      </c>
    </row>
    <row r="313" spans="1:1" x14ac:dyDescent="0.25">
      <c r="A313">
        <f t="shared" si="39"/>
        <v>1900</v>
      </c>
    </row>
    <row r="314" spans="1:1" x14ac:dyDescent="0.25">
      <c r="A314">
        <f t="shared" si="39"/>
        <v>1900</v>
      </c>
    </row>
    <row r="315" spans="1:1" x14ac:dyDescent="0.25">
      <c r="A315">
        <f t="shared" si="39"/>
        <v>1900</v>
      </c>
    </row>
    <row r="316" spans="1:1" x14ac:dyDescent="0.25">
      <c r="A316">
        <f t="shared" si="39"/>
        <v>1900</v>
      </c>
    </row>
    <row r="317" spans="1:1" x14ac:dyDescent="0.25">
      <c r="A317">
        <f t="shared" si="39"/>
        <v>1900</v>
      </c>
    </row>
    <row r="318" spans="1:1" x14ac:dyDescent="0.25">
      <c r="A318">
        <f t="shared" si="39"/>
        <v>1900</v>
      </c>
    </row>
    <row r="319" spans="1:1" x14ac:dyDescent="0.25">
      <c r="A319">
        <f t="shared" si="39"/>
        <v>1900</v>
      </c>
    </row>
    <row r="320" spans="1:1" x14ac:dyDescent="0.25">
      <c r="A320">
        <f t="shared" si="39"/>
        <v>1900</v>
      </c>
    </row>
    <row r="321" spans="1:1" x14ac:dyDescent="0.25">
      <c r="A321">
        <f t="shared" si="39"/>
        <v>1900</v>
      </c>
    </row>
    <row r="322" spans="1:1" x14ac:dyDescent="0.25">
      <c r="A322">
        <f t="shared" si="39"/>
        <v>1900</v>
      </c>
    </row>
    <row r="323" spans="1:1" x14ac:dyDescent="0.25">
      <c r="A323">
        <f t="shared" si="39"/>
        <v>1900</v>
      </c>
    </row>
    <row r="324" spans="1:1" x14ac:dyDescent="0.25">
      <c r="A324">
        <f t="shared" si="39"/>
        <v>1900</v>
      </c>
    </row>
    <row r="325" spans="1:1" x14ac:dyDescent="0.25">
      <c r="A325">
        <f t="shared" si="39"/>
        <v>1900</v>
      </c>
    </row>
    <row r="326" spans="1:1" x14ac:dyDescent="0.25">
      <c r="A326">
        <f t="shared" si="39"/>
        <v>1900</v>
      </c>
    </row>
    <row r="327" spans="1:1" x14ac:dyDescent="0.25">
      <c r="A327">
        <f t="shared" si="39"/>
        <v>1900</v>
      </c>
    </row>
    <row r="328" spans="1:1" x14ac:dyDescent="0.25">
      <c r="A328">
        <f t="shared" si="39"/>
        <v>1900</v>
      </c>
    </row>
    <row r="329" spans="1:1" x14ac:dyDescent="0.25">
      <c r="A329">
        <f t="shared" si="39"/>
        <v>1900</v>
      </c>
    </row>
    <row r="330" spans="1:1" x14ac:dyDescent="0.25">
      <c r="A330">
        <f t="shared" si="39"/>
        <v>1900</v>
      </c>
    </row>
    <row r="331" spans="1:1" x14ac:dyDescent="0.25">
      <c r="A331">
        <f t="shared" ref="A331:A394" si="40">YEAR(B331)</f>
        <v>1900</v>
      </c>
    </row>
    <row r="332" spans="1:1" x14ac:dyDescent="0.25">
      <c r="A332">
        <f t="shared" si="40"/>
        <v>1900</v>
      </c>
    </row>
    <row r="333" spans="1:1" x14ac:dyDescent="0.25">
      <c r="A333">
        <f t="shared" si="40"/>
        <v>1900</v>
      </c>
    </row>
    <row r="334" spans="1:1" x14ac:dyDescent="0.25">
      <c r="A334">
        <f t="shared" si="40"/>
        <v>1900</v>
      </c>
    </row>
    <row r="335" spans="1:1" x14ac:dyDescent="0.25">
      <c r="A335">
        <f t="shared" si="40"/>
        <v>1900</v>
      </c>
    </row>
    <row r="336" spans="1:1" x14ac:dyDescent="0.25">
      <c r="A336">
        <f t="shared" si="40"/>
        <v>1900</v>
      </c>
    </row>
    <row r="337" spans="1:1" x14ac:dyDescent="0.25">
      <c r="A337">
        <f t="shared" si="40"/>
        <v>1900</v>
      </c>
    </row>
    <row r="338" spans="1:1" x14ac:dyDescent="0.25">
      <c r="A338">
        <f t="shared" si="40"/>
        <v>1900</v>
      </c>
    </row>
    <row r="339" spans="1:1" x14ac:dyDescent="0.25">
      <c r="A339">
        <f t="shared" si="40"/>
        <v>1900</v>
      </c>
    </row>
    <row r="340" spans="1:1" x14ac:dyDescent="0.25">
      <c r="A340">
        <f t="shared" si="40"/>
        <v>1900</v>
      </c>
    </row>
    <row r="341" spans="1:1" x14ac:dyDescent="0.25">
      <c r="A341">
        <f t="shared" si="40"/>
        <v>1900</v>
      </c>
    </row>
    <row r="342" spans="1:1" x14ac:dyDescent="0.25">
      <c r="A342">
        <f t="shared" si="40"/>
        <v>1900</v>
      </c>
    </row>
    <row r="343" spans="1:1" x14ac:dyDescent="0.25">
      <c r="A343">
        <f t="shared" si="40"/>
        <v>1900</v>
      </c>
    </row>
    <row r="344" spans="1:1" x14ac:dyDescent="0.25">
      <c r="A344">
        <f t="shared" si="40"/>
        <v>1900</v>
      </c>
    </row>
    <row r="345" spans="1:1" x14ac:dyDescent="0.25">
      <c r="A345">
        <f t="shared" si="40"/>
        <v>1900</v>
      </c>
    </row>
    <row r="346" spans="1:1" x14ac:dyDescent="0.25">
      <c r="A346">
        <f t="shared" si="40"/>
        <v>1900</v>
      </c>
    </row>
    <row r="347" spans="1:1" x14ac:dyDescent="0.25">
      <c r="A347">
        <f t="shared" si="40"/>
        <v>1900</v>
      </c>
    </row>
    <row r="348" spans="1:1" x14ac:dyDescent="0.25">
      <c r="A348">
        <f t="shared" si="40"/>
        <v>1900</v>
      </c>
    </row>
    <row r="349" spans="1:1" x14ac:dyDescent="0.25">
      <c r="A349">
        <f t="shared" si="40"/>
        <v>1900</v>
      </c>
    </row>
    <row r="350" spans="1:1" x14ac:dyDescent="0.25">
      <c r="A350">
        <f t="shared" si="40"/>
        <v>1900</v>
      </c>
    </row>
    <row r="351" spans="1:1" x14ac:dyDescent="0.25">
      <c r="A351">
        <f t="shared" si="40"/>
        <v>1900</v>
      </c>
    </row>
    <row r="352" spans="1:1" x14ac:dyDescent="0.25">
      <c r="A352">
        <f t="shared" si="40"/>
        <v>1900</v>
      </c>
    </row>
    <row r="353" spans="1:1" x14ac:dyDescent="0.25">
      <c r="A353">
        <f t="shared" si="40"/>
        <v>1900</v>
      </c>
    </row>
    <row r="354" spans="1:1" x14ac:dyDescent="0.25">
      <c r="A354">
        <f t="shared" si="40"/>
        <v>1900</v>
      </c>
    </row>
    <row r="355" spans="1:1" x14ac:dyDescent="0.25">
      <c r="A355">
        <f t="shared" si="40"/>
        <v>1900</v>
      </c>
    </row>
    <row r="356" spans="1:1" x14ac:dyDescent="0.25">
      <c r="A356">
        <f t="shared" si="40"/>
        <v>1900</v>
      </c>
    </row>
    <row r="357" spans="1:1" x14ac:dyDescent="0.25">
      <c r="A357">
        <f t="shared" si="40"/>
        <v>1900</v>
      </c>
    </row>
    <row r="358" spans="1:1" x14ac:dyDescent="0.25">
      <c r="A358">
        <f t="shared" si="40"/>
        <v>1900</v>
      </c>
    </row>
    <row r="359" spans="1:1" x14ac:dyDescent="0.25">
      <c r="A359">
        <f t="shared" si="40"/>
        <v>1900</v>
      </c>
    </row>
    <row r="360" spans="1:1" x14ac:dyDescent="0.25">
      <c r="A360">
        <f t="shared" si="40"/>
        <v>1900</v>
      </c>
    </row>
    <row r="361" spans="1:1" x14ac:dyDescent="0.25">
      <c r="A361">
        <f t="shared" si="40"/>
        <v>1900</v>
      </c>
    </row>
    <row r="362" spans="1:1" x14ac:dyDescent="0.25">
      <c r="A362">
        <f t="shared" si="40"/>
        <v>1900</v>
      </c>
    </row>
    <row r="363" spans="1:1" x14ac:dyDescent="0.25">
      <c r="A363">
        <f t="shared" si="40"/>
        <v>1900</v>
      </c>
    </row>
    <row r="364" spans="1:1" x14ac:dyDescent="0.25">
      <c r="A364">
        <f t="shared" si="40"/>
        <v>1900</v>
      </c>
    </row>
    <row r="365" spans="1:1" x14ac:dyDescent="0.25">
      <c r="A365">
        <f t="shared" si="40"/>
        <v>1900</v>
      </c>
    </row>
    <row r="366" spans="1:1" x14ac:dyDescent="0.25">
      <c r="A366">
        <f t="shared" si="40"/>
        <v>1900</v>
      </c>
    </row>
    <row r="367" spans="1:1" x14ac:dyDescent="0.25">
      <c r="A367">
        <f t="shared" si="40"/>
        <v>1900</v>
      </c>
    </row>
    <row r="368" spans="1:1" x14ac:dyDescent="0.25">
      <c r="A368">
        <f t="shared" si="40"/>
        <v>1900</v>
      </c>
    </row>
    <row r="369" spans="1:1" x14ac:dyDescent="0.25">
      <c r="A369">
        <f t="shared" si="40"/>
        <v>1900</v>
      </c>
    </row>
    <row r="370" spans="1:1" x14ac:dyDescent="0.25">
      <c r="A370">
        <f t="shared" si="40"/>
        <v>1900</v>
      </c>
    </row>
    <row r="371" spans="1:1" x14ac:dyDescent="0.25">
      <c r="A371">
        <f t="shared" si="40"/>
        <v>1900</v>
      </c>
    </row>
    <row r="372" spans="1:1" x14ac:dyDescent="0.25">
      <c r="A372">
        <f t="shared" si="40"/>
        <v>1900</v>
      </c>
    </row>
    <row r="373" spans="1:1" x14ac:dyDescent="0.25">
      <c r="A373">
        <f t="shared" si="40"/>
        <v>1900</v>
      </c>
    </row>
    <row r="374" spans="1:1" x14ac:dyDescent="0.25">
      <c r="A374">
        <f t="shared" si="40"/>
        <v>1900</v>
      </c>
    </row>
    <row r="375" spans="1:1" x14ac:dyDescent="0.25">
      <c r="A375">
        <f t="shared" si="40"/>
        <v>1900</v>
      </c>
    </row>
    <row r="376" spans="1:1" x14ac:dyDescent="0.25">
      <c r="A376">
        <f t="shared" si="40"/>
        <v>1900</v>
      </c>
    </row>
    <row r="377" spans="1:1" x14ac:dyDescent="0.25">
      <c r="A377">
        <f t="shared" si="40"/>
        <v>1900</v>
      </c>
    </row>
    <row r="378" spans="1:1" x14ac:dyDescent="0.25">
      <c r="A378">
        <f t="shared" si="40"/>
        <v>1900</v>
      </c>
    </row>
    <row r="379" spans="1:1" x14ac:dyDescent="0.25">
      <c r="A379">
        <f t="shared" si="40"/>
        <v>1900</v>
      </c>
    </row>
    <row r="380" spans="1:1" x14ac:dyDescent="0.25">
      <c r="A380">
        <f t="shared" si="40"/>
        <v>1900</v>
      </c>
    </row>
    <row r="381" spans="1:1" x14ac:dyDescent="0.25">
      <c r="A381">
        <f t="shared" si="40"/>
        <v>1900</v>
      </c>
    </row>
    <row r="382" spans="1:1" x14ac:dyDescent="0.25">
      <c r="A382">
        <f t="shared" si="40"/>
        <v>1900</v>
      </c>
    </row>
    <row r="383" spans="1:1" x14ac:dyDescent="0.25">
      <c r="A383">
        <f t="shared" si="40"/>
        <v>1900</v>
      </c>
    </row>
    <row r="384" spans="1:1" x14ac:dyDescent="0.25">
      <c r="A384">
        <f t="shared" si="40"/>
        <v>1900</v>
      </c>
    </row>
    <row r="385" spans="1:1" x14ac:dyDescent="0.25">
      <c r="A385">
        <f t="shared" si="40"/>
        <v>1900</v>
      </c>
    </row>
    <row r="386" spans="1:1" x14ac:dyDescent="0.25">
      <c r="A386">
        <f t="shared" si="40"/>
        <v>1900</v>
      </c>
    </row>
    <row r="387" spans="1:1" x14ac:dyDescent="0.25">
      <c r="A387">
        <f t="shared" si="40"/>
        <v>1900</v>
      </c>
    </row>
    <row r="388" spans="1:1" x14ac:dyDescent="0.25">
      <c r="A388">
        <f t="shared" si="40"/>
        <v>1900</v>
      </c>
    </row>
    <row r="389" spans="1:1" x14ac:dyDescent="0.25">
      <c r="A389">
        <f t="shared" si="40"/>
        <v>1900</v>
      </c>
    </row>
    <row r="390" spans="1:1" x14ac:dyDescent="0.25">
      <c r="A390">
        <f t="shared" si="40"/>
        <v>1900</v>
      </c>
    </row>
    <row r="391" spans="1:1" x14ac:dyDescent="0.25">
      <c r="A391">
        <f t="shared" si="40"/>
        <v>1900</v>
      </c>
    </row>
    <row r="392" spans="1:1" x14ac:dyDescent="0.25">
      <c r="A392">
        <f t="shared" si="40"/>
        <v>1900</v>
      </c>
    </row>
    <row r="393" spans="1:1" x14ac:dyDescent="0.25">
      <c r="A393">
        <f t="shared" si="40"/>
        <v>1900</v>
      </c>
    </row>
    <row r="394" spans="1:1" x14ac:dyDescent="0.25">
      <c r="A394">
        <f t="shared" si="40"/>
        <v>1900</v>
      </c>
    </row>
    <row r="395" spans="1:1" x14ac:dyDescent="0.25">
      <c r="A395">
        <f t="shared" ref="A395:A458" si="41">YEAR(B395)</f>
        <v>1900</v>
      </c>
    </row>
    <row r="396" spans="1:1" x14ac:dyDescent="0.25">
      <c r="A396">
        <f t="shared" si="41"/>
        <v>1900</v>
      </c>
    </row>
    <row r="397" spans="1:1" x14ac:dyDescent="0.25">
      <c r="A397">
        <f t="shared" si="41"/>
        <v>1900</v>
      </c>
    </row>
    <row r="398" spans="1:1" x14ac:dyDescent="0.25">
      <c r="A398">
        <f t="shared" si="41"/>
        <v>1900</v>
      </c>
    </row>
    <row r="399" spans="1:1" x14ac:dyDescent="0.25">
      <c r="A399">
        <f t="shared" si="41"/>
        <v>1900</v>
      </c>
    </row>
    <row r="400" spans="1:1" x14ac:dyDescent="0.25">
      <c r="A400">
        <f t="shared" si="41"/>
        <v>1900</v>
      </c>
    </row>
    <row r="401" spans="1:1" x14ac:dyDescent="0.25">
      <c r="A401">
        <f t="shared" si="41"/>
        <v>1900</v>
      </c>
    </row>
    <row r="402" spans="1:1" x14ac:dyDescent="0.25">
      <c r="A402">
        <f t="shared" si="41"/>
        <v>1900</v>
      </c>
    </row>
    <row r="403" spans="1:1" x14ac:dyDescent="0.25">
      <c r="A403">
        <f t="shared" si="41"/>
        <v>1900</v>
      </c>
    </row>
    <row r="404" spans="1:1" x14ac:dyDescent="0.25">
      <c r="A404">
        <f t="shared" si="41"/>
        <v>1900</v>
      </c>
    </row>
    <row r="405" spans="1:1" x14ac:dyDescent="0.25">
      <c r="A405">
        <f t="shared" si="41"/>
        <v>1900</v>
      </c>
    </row>
    <row r="406" spans="1:1" x14ac:dyDescent="0.25">
      <c r="A406">
        <f t="shared" si="41"/>
        <v>1900</v>
      </c>
    </row>
    <row r="407" spans="1:1" x14ac:dyDescent="0.25">
      <c r="A407">
        <f t="shared" si="41"/>
        <v>1900</v>
      </c>
    </row>
    <row r="408" spans="1:1" x14ac:dyDescent="0.25">
      <c r="A408">
        <f t="shared" si="41"/>
        <v>1900</v>
      </c>
    </row>
    <row r="409" spans="1:1" x14ac:dyDescent="0.25">
      <c r="A409">
        <f t="shared" si="41"/>
        <v>1900</v>
      </c>
    </row>
    <row r="410" spans="1:1" x14ac:dyDescent="0.25">
      <c r="A410">
        <f t="shared" si="41"/>
        <v>1900</v>
      </c>
    </row>
    <row r="411" spans="1:1" x14ac:dyDescent="0.25">
      <c r="A411">
        <f t="shared" si="41"/>
        <v>1900</v>
      </c>
    </row>
    <row r="412" spans="1:1" x14ac:dyDescent="0.25">
      <c r="A412">
        <f t="shared" si="41"/>
        <v>1900</v>
      </c>
    </row>
    <row r="413" spans="1:1" x14ac:dyDescent="0.25">
      <c r="A413">
        <f t="shared" si="41"/>
        <v>1900</v>
      </c>
    </row>
    <row r="414" spans="1:1" x14ac:dyDescent="0.25">
      <c r="A414">
        <f t="shared" si="41"/>
        <v>1900</v>
      </c>
    </row>
    <row r="415" spans="1:1" x14ac:dyDescent="0.25">
      <c r="A415">
        <f t="shared" si="41"/>
        <v>1900</v>
      </c>
    </row>
    <row r="416" spans="1:1" x14ac:dyDescent="0.25">
      <c r="A416">
        <f t="shared" si="41"/>
        <v>1900</v>
      </c>
    </row>
    <row r="417" spans="1:1" x14ac:dyDescent="0.25">
      <c r="A417">
        <f t="shared" si="41"/>
        <v>1900</v>
      </c>
    </row>
    <row r="418" spans="1:1" x14ac:dyDescent="0.25">
      <c r="A418">
        <f t="shared" si="41"/>
        <v>1900</v>
      </c>
    </row>
    <row r="419" spans="1:1" x14ac:dyDescent="0.25">
      <c r="A419">
        <f t="shared" si="41"/>
        <v>1900</v>
      </c>
    </row>
    <row r="420" spans="1:1" x14ac:dyDescent="0.25">
      <c r="A420">
        <f t="shared" si="41"/>
        <v>1900</v>
      </c>
    </row>
    <row r="421" spans="1:1" x14ac:dyDescent="0.25">
      <c r="A421">
        <f t="shared" si="41"/>
        <v>1900</v>
      </c>
    </row>
    <row r="422" spans="1:1" x14ac:dyDescent="0.25">
      <c r="A422">
        <f t="shared" si="41"/>
        <v>1900</v>
      </c>
    </row>
    <row r="423" spans="1:1" x14ac:dyDescent="0.25">
      <c r="A423">
        <f t="shared" si="41"/>
        <v>1900</v>
      </c>
    </row>
    <row r="424" spans="1:1" x14ac:dyDescent="0.25">
      <c r="A424">
        <f t="shared" si="41"/>
        <v>1900</v>
      </c>
    </row>
    <row r="425" spans="1:1" x14ac:dyDescent="0.25">
      <c r="A425">
        <f t="shared" si="41"/>
        <v>1900</v>
      </c>
    </row>
    <row r="426" spans="1:1" x14ac:dyDescent="0.25">
      <c r="A426">
        <f t="shared" si="41"/>
        <v>1900</v>
      </c>
    </row>
    <row r="427" spans="1:1" x14ac:dyDescent="0.25">
      <c r="A427">
        <f t="shared" si="41"/>
        <v>1900</v>
      </c>
    </row>
    <row r="428" spans="1:1" x14ac:dyDescent="0.25">
      <c r="A428">
        <f t="shared" si="41"/>
        <v>1900</v>
      </c>
    </row>
    <row r="429" spans="1:1" x14ac:dyDescent="0.25">
      <c r="A429">
        <f t="shared" si="41"/>
        <v>1900</v>
      </c>
    </row>
    <row r="430" spans="1:1" x14ac:dyDescent="0.25">
      <c r="A430">
        <f t="shared" si="41"/>
        <v>1900</v>
      </c>
    </row>
    <row r="431" spans="1:1" x14ac:dyDescent="0.25">
      <c r="A431">
        <f t="shared" si="41"/>
        <v>1900</v>
      </c>
    </row>
    <row r="432" spans="1:1" x14ac:dyDescent="0.25">
      <c r="A432">
        <f t="shared" si="41"/>
        <v>1900</v>
      </c>
    </row>
    <row r="433" spans="1:1" x14ac:dyDescent="0.25">
      <c r="A433">
        <f t="shared" si="41"/>
        <v>1900</v>
      </c>
    </row>
    <row r="434" spans="1:1" x14ac:dyDescent="0.25">
      <c r="A434">
        <f t="shared" si="41"/>
        <v>1900</v>
      </c>
    </row>
    <row r="435" spans="1:1" x14ac:dyDescent="0.25">
      <c r="A435">
        <f t="shared" si="41"/>
        <v>1900</v>
      </c>
    </row>
    <row r="436" spans="1:1" x14ac:dyDescent="0.25">
      <c r="A436">
        <f t="shared" si="41"/>
        <v>1900</v>
      </c>
    </row>
    <row r="437" spans="1:1" x14ac:dyDescent="0.25">
      <c r="A437">
        <f t="shared" si="41"/>
        <v>1900</v>
      </c>
    </row>
    <row r="438" spans="1:1" x14ac:dyDescent="0.25">
      <c r="A438">
        <f t="shared" si="41"/>
        <v>1900</v>
      </c>
    </row>
    <row r="439" spans="1:1" x14ac:dyDescent="0.25">
      <c r="A439">
        <f t="shared" si="41"/>
        <v>1900</v>
      </c>
    </row>
    <row r="440" spans="1:1" x14ac:dyDescent="0.25">
      <c r="A440">
        <f t="shared" si="41"/>
        <v>1900</v>
      </c>
    </row>
    <row r="441" spans="1:1" x14ac:dyDescent="0.25">
      <c r="A441">
        <f t="shared" si="41"/>
        <v>1900</v>
      </c>
    </row>
    <row r="442" spans="1:1" x14ac:dyDescent="0.25">
      <c r="A442">
        <f t="shared" si="41"/>
        <v>1900</v>
      </c>
    </row>
    <row r="443" spans="1:1" x14ac:dyDescent="0.25">
      <c r="A443">
        <f t="shared" si="41"/>
        <v>1900</v>
      </c>
    </row>
    <row r="444" spans="1:1" x14ac:dyDescent="0.25">
      <c r="A444">
        <f t="shared" si="41"/>
        <v>1900</v>
      </c>
    </row>
    <row r="445" spans="1:1" x14ac:dyDescent="0.25">
      <c r="A445">
        <f t="shared" si="41"/>
        <v>1900</v>
      </c>
    </row>
    <row r="446" spans="1:1" x14ac:dyDescent="0.25">
      <c r="A446">
        <f t="shared" si="41"/>
        <v>1900</v>
      </c>
    </row>
    <row r="447" spans="1:1" x14ac:dyDescent="0.25">
      <c r="A447">
        <f t="shared" si="41"/>
        <v>1900</v>
      </c>
    </row>
    <row r="448" spans="1:1" x14ac:dyDescent="0.25">
      <c r="A448">
        <f t="shared" si="41"/>
        <v>1900</v>
      </c>
    </row>
    <row r="449" spans="1:1" x14ac:dyDescent="0.25">
      <c r="A449">
        <f t="shared" si="41"/>
        <v>1900</v>
      </c>
    </row>
    <row r="450" spans="1:1" x14ac:dyDescent="0.25">
      <c r="A450">
        <f t="shared" si="41"/>
        <v>1900</v>
      </c>
    </row>
    <row r="451" spans="1:1" x14ac:dyDescent="0.25">
      <c r="A451">
        <f t="shared" si="41"/>
        <v>1900</v>
      </c>
    </row>
    <row r="452" spans="1:1" x14ac:dyDescent="0.25">
      <c r="A452">
        <f t="shared" si="41"/>
        <v>1900</v>
      </c>
    </row>
    <row r="453" spans="1:1" x14ac:dyDescent="0.25">
      <c r="A453">
        <f t="shared" si="41"/>
        <v>1900</v>
      </c>
    </row>
    <row r="454" spans="1:1" x14ac:dyDescent="0.25">
      <c r="A454">
        <f t="shared" si="41"/>
        <v>1900</v>
      </c>
    </row>
    <row r="455" spans="1:1" x14ac:dyDescent="0.25">
      <c r="A455">
        <f t="shared" si="41"/>
        <v>1900</v>
      </c>
    </row>
    <row r="456" spans="1:1" x14ac:dyDescent="0.25">
      <c r="A456">
        <f t="shared" si="41"/>
        <v>1900</v>
      </c>
    </row>
    <row r="457" spans="1:1" x14ac:dyDescent="0.25">
      <c r="A457">
        <f t="shared" si="41"/>
        <v>1900</v>
      </c>
    </row>
    <row r="458" spans="1:1" x14ac:dyDescent="0.25">
      <c r="A458">
        <f t="shared" si="41"/>
        <v>1900</v>
      </c>
    </row>
    <row r="459" spans="1:1" x14ac:dyDescent="0.25">
      <c r="A459">
        <f t="shared" ref="A459:A522" si="42">YEAR(B459)</f>
        <v>1900</v>
      </c>
    </row>
    <row r="460" spans="1:1" x14ac:dyDescent="0.25">
      <c r="A460">
        <f t="shared" si="42"/>
        <v>1900</v>
      </c>
    </row>
    <row r="461" spans="1:1" x14ac:dyDescent="0.25">
      <c r="A461">
        <f t="shared" si="42"/>
        <v>1900</v>
      </c>
    </row>
    <row r="462" spans="1:1" x14ac:dyDescent="0.25">
      <c r="A462">
        <f t="shared" si="42"/>
        <v>1900</v>
      </c>
    </row>
    <row r="463" spans="1:1" x14ac:dyDescent="0.25">
      <c r="A463">
        <f t="shared" si="42"/>
        <v>1900</v>
      </c>
    </row>
    <row r="464" spans="1:1" x14ac:dyDescent="0.25">
      <c r="A464">
        <f t="shared" si="42"/>
        <v>1900</v>
      </c>
    </row>
    <row r="465" spans="1:1" x14ac:dyDescent="0.25">
      <c r="A465">
        <f t="shared" si="42"/>
        <v>1900</v>
      </c>
    </row>
    <row r="466" spans="1:1" x14ac:dyDescent="0.25">
      <c r="A466">
        <f t="shared" si="42"/>
        <v>1900</v>
      </c>
    </row>
    <row r="467" spans="1:1" x14ac:dyDescent="0.25">
      <c r="A467">
        <f t="shared" si="42"/>
        <v>1900</v>
      </c>
    </row>
    <row r="468" spans="1:1" x14ac:dyDescent="0.25">
      <c r="A468">
        <f t="shared" si="42"/>
        <v>1900</v>
      </c>
    </row>
    <row r="469" spans="1:1" x14ac:dyDescent="0.25">
      <c r="A469">
        <f t="shared" si="42"/>
        <v>1900</v>
      </c>
    </row>
    <row r="470" spans="1:1" x14ac:dyDescent="0.25">
      <c r="A470">
        <f t="shared" si="42"/>
        <v>1900</v>
      </c>
    </row>
    <row r="471" spans="1:1" x14ac:dyDescent="0.25">
      <c r="A471">
        <f t="shared" si="42"/>
        <v>1900</v>
      </c>
    </row>
    <row r="472" spans="1:1" x14ac:dyDescent="0.25">
      <c r="A472">
        <f t="shared" si="42"/>
        <v>1900</v>
      </c>
    </row>
    <row r="473" spans="1:1" x14ac:dyDescent="0.25">
      <c r="A473">
        <f t="shared" si="42"/>
        <v>1900</v>
      </c>
    </row>
    <row r="474" spans="1:1" x14ac:dyDescent="0.25">
      <c r="A474">
        <f t="shared" si="42"/>
        <v>1900</v>
      </c>
    </row>
    <row r="475" spans="1:1" x14ac:dyDescent="0.25">
      <c r="A475">
        <f t="shared" si="42"/>
        <v>1900</v>
      </c>
    </row>
    <row r="476" spans="1:1" x14ac:dyDescent="0.25">
      <c r="A476">
        <f t="shared" si="42"/>
        <v>1900</v>
      </c>
    </row>
    <row r="477" spans="1:1" x14ac:dyDescent="0.25">
      <c r="A477">
        <f t="shared" si="42"/>
        <v>1900</v>
      </c>
    </row>
    <row r="478" spans="1:1" x14ac:dyDescent="0.25">
      <c r="A478">
        <f t="shared" si="42"/>
        <v>1900</v>
      </c>
    </row>
    <row r="479" spans="1:1" x14ac:dyDescent="0.25">
      <c r="A479">
        <f t="shared" si="42"/>
        <v>1900</v>
      </c>
    </row>
    <row r="480" spans="1:1" x14ac:dyDescent="0.25">
      <c r="A480">
        <f t="shared" si="42"/>
        <v>1900</v>
      </c>
    </row>
    <row r="481" spans="1:1" x14ac:dyDescent="0.25">
      <c r="A481">
        <f t="shared" si="42"/>
        <v>1900</v>
      </c>
    </row>
    <row r="482" spans="1:1" x14ac:dyDescent="0.25">
      <c r="A482">
        <f t="shared" si="42"/>
        <v>1900</v>
      </c>
    </row>
    <row r="483" spans="1:1" x14ac:dyDescent="0.25">
      <c r="A483">
        <f t="shared" si="42"/>
        <v>1900</v>
      </c>
    </row>
    <row r="484" spans="1:1" x14ac:dyDescent="0.25">
      <c r="A484">
        <f t="shared" si="42"/>
        <v>1900</v>
      </c>
    </row>
    <row r="485" spans="1:1" x14ac:dyDescent="0.25">
      <c r="A485">
        <f t="shared" si="42"/>
        <v>1900</v>
      </c>
    </row>
    <row r="486" spans="1:1" x14ac:dyDescent="0.25">
      <c r="A486">
        <f t="shared" si="42"/>
        <v>1900</v>
      </c>
    </row>
    <row r="487" spans="1:1" x14ac:dyDescent="0.25">
      <c r="A487">
        <f t="shared" si="42"/>
        <v>1900</v>
      </c>
    </row>
    <row r="488" spans="1:1" x14ac:dyDescent="0.25">
      <c r="A488">
        <f t="shared" si="42"/>
        <v>1900</v>
      </c>
    </row>
    <row r="489" spans="1:1" x14ac:dyDescent="0.25">
      <c r="A489">
        <f t="shared" si="42"/>
        <v>1900</v>
      </c>
    </row>
    <row r="490" spans="1:1" x14ac:dyDescent="0.25">
      <c r="A490">
        <f t="shared" si="42"/>
        <v>1900</v>
      </c>
    </row>
    <row r="491" spans="1:1" x14ac:dyDescent="0.25">
      <c r="A491">
        <f t="shared" si="42"/>
        <v>1900</v>
      </c>
    </row>
    <row r="492" spans="1:1" x14ac:dyDescent="0.25">
      <c r="A492">
        <f t="shared" si="42"/>
        <v>1900</v>
      </c>
    </row>
    <row r="493" spans="1:1" x14ac:dyDescent="0.25">
      <c r="A493">
        <f t="shared" si="42"/>
        <v>1900</v>
      </c>
    </row>
    <row r="494" spans="1:1" x14ac:dyDescent="0.25">
      <c r="A494">
        <f t="shared" si="42"/>
        <v>1900</v>
      </c>
    </row>
    <row r="495" spans="1:1" x14ac:dyDescent="0.25">
      <c r="A495">
        <f t="shared" si="42"/>
        <v>1900</v>
      </c>
    </row>
    <row r="496" spans="1:1" x14ac:dyDescent="0.25">
      <c r="A496">
        <f t="shared" si="42"/>
        <v>1900</v>
      </c>
    </row>
    <row r="497" spans="1:1" x14ac:dyDescent="0.25">
      <c r="A497">
        <f t="shared" si="42"/>
        <v>1900</v>
      </c>
    </row>
    <row r="498" spans="1:1" x14ac:dyDescent="0.25">
      <c r="A498">
        <f t="shared" si="42"/>
        <v>1900</v>
      </c>
    </row>
    <row r="499" spans="1:1" x14ac:dyDescent="0.25">
      <c r="A499">
        <f t="shared" si="42"/>
        <v>1900</v>
      </c>
    </row>
    <row r="500" spans="1:1" x14ac:dyDescent="0.25">
      <c r="A500">
        <f t="shared" si="42"/>
        <v>1900</v>
      </c>
    </row>
    <row r="501" spans="1:1" x14ac:dyDescent="0.25">
      <c r="A501">
        <f t="shared" si="42"/>
        <v>1900</v>
      </c>
    </row>
    <row r="502" spans="1:1" x14ac:dyDescent="0.25">
      <c r="A502">
        <f t="shared" si="42"/>
        <v>1900</v>
      </c>
    </row>
    <row r="503" spans="1:1" x14ac:dyDescent="0.25">
      <c r="A503">
        <f t="shared" si="42"/>
        <v>1900</v>
      </c>
    </row>
    <row r="504" spans="1:1" x14ac:dyDescent="0.25">
      <c r="A504">
        <f t="shared" si="42"/>
        <v>1900</v>
      </c>
    </row>
    <row r="505" spans="1:1" x14ac:dyDescent="0.25">
      <c r="A505">
        <f t="shared" si="42"/>
        <v>1900</v>
      </c>
    </row>
    <row r="506" spans="1:1" x14ac:dyDescent="0.25">
      <c r="A506">
        <f t="shared" si="42"/>
        <v>1900</v>
      </c>
    </row>
    <row r="507" spans="1:1" x14ac:dyDescent="0.25">
      <c r="A507">
        <f t="shared" si="42"/>
        <v>1900</v>
      </c>
    </row>
    <row r="508" spans="1:1" x14ac:dyDescent="0.25">
      <c r="A508">
        <f t="shared" si="42"/>
        <v>1900</v>
      </c>
    </row>
    <row r="509" spans="1:1" x14ac:dyDescent="0.25">
      <c r="A509">
        <f t="shared" si="42"/>
        <v>1900</v>
      </c>
    </row>
    <row r="510" spans="1:1" x14ac:dyDescent="0.25">
      <c r="A510">
        <f t="shared" si="42"/>
        <v>1900</v>
      </c>
    </row>
    <row r="511" spans="1:1" x14ac:dyDescent="0.25">
      <c r="A511">
        <f t="shared" si="42"/>
        <v>1900</v>
      </c>
    </row>
    <row r="512" spans="1:1" x14ac:dyDescent="0.25">
      <c r="A512">
        <f t="shared" si="42"/>
        <v>1900</v>
      </c>
    </row>
    <row r="513" spans="1:1" x14ac:dyDescent="0.25">
      <c r="A513">
        <f t="shared" si="42"/>
        <v>1900</v>
      </c>
    </row>
    <row r="514" spans="1:1" x14ac:dyDescent="0.25">
      <c r="A514">
        <f t="shared" si="42"/>
        <v>1900</v>
      </c>
    </row>
    <row r="515" spans="1:1" x14ac:dyDescent="0.25">
      <c r="A515">
        <f t="shared" si="42"/>
        <v>1900</v>
      </c>
    </row>
    <row r="516" spans="1:1" x14ac:dyDescent="0.25">
      <c r="A516">
        <f t="shared" si="42"/>
        <v>1900</v>
      </c>
    </row>
    <row r="517" spans="1:1" x14ac:dyDescent="0.25">
      <c r="A517">
        <f t="shared" si="42"/>
        <v>1900</v>
      </c>
    </row>
    <row r="518" spans="1:1" x14ac:dyDescent="0.25">
      <c r="A518">
        <f t="shared" si="42"/>
        <v>1900</v>
      </c>
    </row>
    <row r="519" spans="1:1" x14ac:dyDescent="0.25">
      <c r="A519">
        <f t="shared" si="42"/>
        <v>1900</v>
      </c>
    </row>
    <row r="520" spans="1:1" x14ac:dyDescent="0.25">
      <c r="A520">
        <f t="shared" si="42"/>
        <v>1900</v>
      </c>
    </row>
    <row r="521" spans="1:1" x14ac:dyDescent="0.25">
      <c r="A521">
        <f t="shared" si="42"/>
        <v>1900</v>
      </c>
    </row>
    <row r="522" spans="1:1" x14ac:dyDescent="0.25">
      <c r="A522">
        <f t="shared" si="42"/>
        <v>1900</v>
      </c>
    </row>
    <row r="523" spans="1:1" x14ac:dyDescent="0.25">
      <c r="A523">
        <f t="shared" ref="A523:A572" si="43">YEAR(B523)</f>
        <v>1900</v>
      </c>
    </row>
    <row r="524" spans="1:1" x14ac:dyDescent="0.25">
      <c r="A524">
        <f t="shared" si="43"/>
        <v>1900</v>
      </c>
    </row>
    <row r="525" spans="1:1" x14ac:dyDescent="0.25">
      <c r="A525">
        <f t="shared" si="43"/>
        <v>1900</v>
      </c>
    </row>
    <row r="526" spans="1:1" x14ac:dyDescent="0.25">
      <c r="A526">
        <f t="shared" si="43"/>
        <v>1900</v>
      </c>
    </row>
    <row r="527" spans="1:1" x14ac:dyDescent="0.25">
      <c r="A527">
        <f t="shared" si="43"/>
        <v>1900</v>
      </c>
    </row>
    <row r="528" spans="1:1" x14ac:dyDescent="0.25">
      <c r="A528">
        <f t="shared" si="43"/>
        <v>1900</v>
      </c>
    </row>
    <row r="529" spans="1:1" x14ac:dyDescent="0.25">
      <c r="A529">
        <f t="shared" si="43"/>
        <v>1900</v>
      </c>
    </row>
    <row r="530" spans="1:1" x14ac:dyDescent="0.25">
      <c r="A530">
        <f t="shared" si="43"/>
        <v>1900</v>
      </c>
    </row>
    <row r="531" spans="1:1" x14ac:dyDescent="0.25">
      <c r="A531">
        <f t="shared" si="43"/>
        <v>1900</v>
      </c>
    </row>
    <row r="532" spans="1:1" x14ac:dyDescent="0.25">
      <c r="A532">
        <f t="shared" si="43"/>
        <v>1900</v>
      </c>
    </row>
    <row r="533" spans="1:1" x14ac:dyDescent="0.25">
      <c r="A533">
        <f t="shared" si="43"/>
        <v>1900</v>
      </c>
    </row>
    <row r="534" spans="1:1" x14ac:dyDescent="0.25">
      <c r="A534">
        <f t="shared" si="43"/>
        <v>1900</v>
      </c>
    </row>
    <row r="535" spans="1:1" x14ac:dyDescent="0.25">
      <c r="A535">
        <f t="shared" si="43"/>
        <v>1900</v>
      </c>
    </row>
    <row r="536" spans="1:1" x14ac:dyDescent="0.25">
      <c r="A536">
        <f t="shared" si="43"/>
        <v>1900</v>
      </c>
    </row>
    <row r="537" spans="1:1" x14ac:dyDescent="0.25">
      <c r="A537">
        <f t="shared" si="43"/>
        <v>1900</v>
      </c>
    </row>
    <row r="538" spans="1:1" x14ac:dyDescent="0.25">
      <c r="A538">
        <f t="shared" si="43"/>
        <v>1900</v>
      </c>
    </row>
    <row r="539" spans="1:1" x14ac:dyDescent="0.25">
      <c r="A539">
        <f t="shared" si="43"/>
        <v>1900</v>
      </c>
    </row>
    <row r="540" spans="1:1" x14ac:dyDescent="0.25">
      <c r="A540">
        <f t="shared" si="43"/>
        <v>1900</v>
      </c>
    </row>
    <row r="541" spans="1:1" x14ac:dyDescent="0.25">
      <c r="A541">
        <f t="shared" si="43"/>
        <v>1900</v>
      </c>
    </row>
    <row r="542" spans="1:1" x14ac:dyDescent="0.25">
      <c r="A542">
        <f t="shared" si="43"/>
        <v>1900</v>
      </c>
    </row>
    <row r="543" spans="1:1" x14ac:dyDescent="0.25">
      <c r="A543">
        <f t="shared" si="43"/>
        <v>1900</v>
      </c>
    </row>
    <row r="544" spans="1:1" x14ac:dyDescent="0.25">
      <c r="A544">
        <f t="shared" si="43"/>
        <v>1900</v>
      </c>
    </row>
    <row r="545" spans="1:1" x14ac:dyDescent="0.25">
      <c r="A545">
        <f t="shared" si="43"/>
        <v>1900</v>
      </c>
    </row>
    <row r="546" spans="1:1" x14ac:dyDescent="0.25">
      <c r="A546">
        <f t="shared" si="43"/>
        <v>1900</v>
      </c>
    </row>
    <row r="547" spans="1:1" x14ac:dyDescent="0.25">
      <c r="A547">
        <f t="shared" si="43"/>
        <v>1900</v>
      </c>
    </row>
    <row r="548" spans="1:1" x14ac:dyDescent="0.25">
      <c r="A548">
        <f t="shared" si="43"/>
        <v>1900</v>
      </c>
    </row>
    <row r="549" spans="1:1" x14ac:dyDescent="0.25">
      <c r="A549">
        <f t="shared" si="43"/>
        <v>1900</v>
      </c>
    </row>
    <row r="550" spans="1:1" x14ac:dyDescent="0.25">
      <c r="A550">
        <f t="shared" si="43"/>
        <v>1900</v>
      </c>
    </row>
    <row r="551" spans="1:1" x14ac:dyDescent="0.25">
      <c r="A551">
        <f t="shared" si="43"/>
        <v>1900</v>
      </c>
    </row>
    <row r="552" spans="1:1" x14ac:dyDescent="0.25">
      <c r="A552">
        <f t="shared" si="43"/>
        <v>1900</v>
      </c>
    </row>
    <row r="553" spans="1:1" x14ac:dyDescent="0.25">
      <c r="A553">
        <f t="shared" si="43"/>
        <v>1900</v>
      </c>
    </row>
    <row r="554" spans="1:1" x14ac:dyDescent="0.25">
      <c r="A554">
        <f t="shared" si="43"/>
        <v>1900</v>
      </c>
    </row>
    <row r="555" spans="1:1" x14ac:dyDescent="0.25">
      <c r="A555">
        <f t="shared" si="43"/>
        <v>1900</v>
      </c>
    </row>
    <row r="556" spans="1:1" x14ac:dyDescent="0.25">
      <c r="A556">
        <f t="shared" si="43"/>
        <v>1900</v>
      </c>
    </row>
    <row r="557" spans="1:1" x14ac:dyDescent="0.25">
      <c r="A557">
        <f t="shared" si="43"/>
        <v>1900</v>
      </c>
    </row>
    <row r="558" spans="1:1" x14ac:dyDescent="0.25">
      <c r="A558">
        <f t="shared" si="43"/>
        <v>1900</v>
      </c>
    </row>
    <row r="559" spans="1:1" x14ac:dyDescent="0.25">
      <c r="A559">
        <f t="shared" si="43"/>
        <v>1900</v>
      </c>
    </row>
    <row r="560" spans="1:1" x14ac:dyDescent="0.25">
      <c r="A560">
        <f t="shared" si="43"/>
        <v>1900</v>
      </c>
    </row>
    <row r="561" spans="1:1" x14ac:dyDescent="0.25">
      <c r="A561">
        <f t="shared" si="43"/>
        <v>1900</v>
      </c>
    </row>
    <row r="562" spans="1:1" x14ac:dyDescent="0.25">
      <c r="A562">
        <f t="shared" si="43"/>
        <v>1900</v>
      </c>
    </row>
    <row r="563" spans="1:1" x14ac:dyDescent="0.25">
      <c r="A563">
        <f t="shared" si="43"/>
        <v>1900</v>
      </c>
    </row>
    <row r="564" spans="1:1" x14ac:dyDescent="0.25">
      <c r="A564">
        <f t="shared" si="43"/>
        <v>1900</v>
      </c>
    </row>
    <row r="565" spans="1:1" x14ac:dyDescent="0.25">
      <c r="A565">
        <f t="shared" si="43"/>
        <v>1900</v>
      </c>
    </row>
    <row r="566" spans="1:1" x14ac:dyDescent="0.25">
      <c r="A566">
        <f t="shared" si="43"/>
        <v>1900</v>
      </c>
    </row>
    <row r="567" spans="1:1" x14ac:dyDescent="0.25">
      <c r="A567">
        <f t="shared" si="43"/>
        <v>1900</v>
      </c>
    </row>
    <row r="568" spans="1:1" x14ac:dyDescent="0.25">
      <c r="A568">
        <f t="shared" si="43"/>
        <v>1900</v>
      </c>
    </row>
    <row r="569" spans="1:1" x14ac:dyDescent="0.25">
      <c r="A569">
        <f t="shared" si="43"/>
        <v>1900</v>
      </c>
    </row>
    <row r="570" spans="1:1" x14ac:dyDescent="0.25">
      <c r="A570">
        <f t="shared" si="43"/>
        <v>1900</v>
      </c>
    </row>
    <row r="571" spans="1:1" x14ac:dyDescent="0.25">
      <c r="A571">
        <f t="shared" si="43"/>
        <v>1900</v>
      </c>
    </row>
    <row r="572" spans="1:1" x14ac:dyDescent="0.25">
      <c r="A572">
        <f t="shared" si="43"/>
        <v>1900</v>
      </c>
    </row>
  </sheetData>
  <mergeCells count="3">
    <mergeCell ref="B7:K7"/>
    <mergeCell ref="M7:U7"/>
    <mergeCell ref="X7:AG7"/>
  </mergeCells>
  <pageMargins left="0.7" right="0.7" top="0.75" bottom="0.75" header="0.3" footer="0.3"/>
  <pageSetup paperSize="9" orientation="portrait" r:id="rId1"/>
  <ignoredErrors>
    <ignoredError sqref="O9:O18 R9:R18 Z9:Z18 AC9:AC18"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037C0-8703-437C-ACE8-EA1504B4114E}">
  <sheetPr codeName="Sheet11"/>
  <dimension ref="A1:R247"/>
  <sheetViews>
    <sheetView showGridLines="0" topLeftCell="C1" zoomScale="85" zoomScaleNormal="85" workbookViewId="0">
      <pane ySplit="8" topLeftCell="A9" activePane="bottomLeft" state="frozen"/>
      <selection activeCell="C1" sqref="C1"/>
      <selection pane="bottomLeft" activeCell="C1" sqref="C1"/>
    </sheetView>
  </sheetViews>
  <sheetFormatPr defaultColWidth="14.7109375" defaultRowHeight="11.25" x14ac:dyDescent="0.2"/>
  <cols>
    <col min="1" max="2" width="14.7109375" style="204" hidden="1" customWidth="1"/>
    <col min="3" max="3" width="12.7109375" style="204" customWidth="1"/>
    <col min="4" max="6" width="15.7109375" style="204" customWidth="1"/>
    <col min="7" max="9" width="14.85546875" style="206" bestFit="1" customWidth="1"/>
    <col min="10" max="10" width="4.28515625" style="205" customWidth="1"/>
    <col min="11" max="18" width="14.7109375" style="204"/>
    <col min="19" max="19" width="30.7109375" style="204" customWidth="1"/>
    <col min="20" max="16384" width="14.7109375" style="204"/>
  </cols>
  <sheetData>
    <row r="1" spans="1:18" ht="15" customHeight="1" x14ac:dyDescent="0.2"/>
    <row r="2" spans="1:18" ht="15" customHeight="1" x14ac:dyDescent="0.2"/>
    <row r="3" spans="1:18" ht="15" customHeight="1" x14ac:dyDescent="0.2"/>
    <row r="4" spans="1:18" ht="15" customHeight="1" x14ac:dyDescent="0.2"/>
    <row r="5" spans="1:18" ht="15" customHeight="1" x14ac:dyDescent="0.2"/>
    <row r="6" spans="1:18" ht="15" customHeight="1" x14ac:dyDescent="0.2"/>
    <row r="7" spans="1:18" ht="15.75" thickBot="1" x14ac:dyDescent="0.3">
      <c r="C7" s="586" t="s">
        <v>9</v>
      </c>
      <c r="D7" s="586"/>
      <c r="E7" s="586"/>
      <c r="F7" s="586"/>
      <c r="G7" s="205" t="s">
        <v>98</v>
      </c>
      <c r="H7" s="206" t="s">
        <v>104</v>
      </c>
      <c r="I7" s="205" t="s">
        <v>105</v>
      </c>
      <c r="R7" s="207"/>
    </row>
    <row r="8" spans="1:18" ht="60" customHeight="1" x14ac:dyDescent="0.25">
      <c r="A8" s="208"/>
      <c r="B8" s="208"/>
      <c r="C8" s="170" t="s">
        <v>93</v>
      </c>
      <c r="D8" s="134" t="s">
        <v>106</v>
      </c>
      <c r="E8" s="134" t="s">
        <v>107</v>
      </c>
      <c r="F8" s="136" t="s">
        <v>108</v>
      </c>
      <c r="G8" s="209"/>
      <c r="H8" s="209"/>
      <c r="I8" s="209"/>
      <c r="R8" s="207"/>
    </row>
    <row r="9" spans="1:18" ht="15" x14ac:dyDescent="0.25">
      <c r="A9" s="210">
        <f t="shared" ref="A9:A72" si="0">YEAR(C9)</f>
        <v>2003</v>
      </c>
      <c r="B9" s="211" t="str">
        <f t="shared" ref="B9:B72" si="1">IF(MONTH(C9)&lt;4,"1",IF(MONTH(C9)&lt;7,"2",IF(MONTH(C9)&lt;10,"3","4")))</f>
        <v>3</v>
      </c>
      <c r="C9" s="139">
        <v>37865</v>
      </c>
      <c r="D9" s="492">
        <v>646</v>
      </c>
      <c r="E9" s="493">
        <v>758</v>
      </c>
      <c r="F9" s="494">
        <v>1404</v>
      </c>
      <c r="G9" s="212"/>
      <c r="H9" s="212"/>
      <c r="I9" s="212"/>
      <c r="R9" s="207"/>
    </row>
    <row r="10" spans="1:18" ht="15" x14ac:dyDescent="0.25">
      <c r="A10" s="210">
        <f t="shared" si="0"/>
        <v>2003</v>
      </c>
      <c r="B10" s="211" t="str">
        <f t="shared" si="1"/>
        <v>4</v>
      </c>
      <c r="C10" s="139">
        <v>37956</v>
      </c>
      <c r="D10" s="495">
        <v>636</v>
      </c>
      <c r="E10" s="496">
        <v>690</v>
      </c>
      <c r="F10" s="497">
        <v>1326</v>
      </c>
      <c r="G10" s="212"/>
      <c r="H10" s="212"/>
      <c r="I10" s="212"/>
      <c r="R10" s="207"/>
    </row>
    <row r="11" spans="1:18" ht="15" x14ac:dyDescent="0.25">
      <c r="A11" s="210">
        <f t="shared" si="0"/>
        <v>2004</v>
      </c>
      <c r="B11" s="211" t="str">
        <f t="shared" si="1"/>
        <v>1</v>
      </c>
      <c r="C11" s="139">
        <v>38047</v>
      </c>
      <c r="D11" s="492">
        <v>508</v>
      </c>
      <c r="E11" s="493">
        <v>596</v>
      </c>
      <c r="F11" s="494">
        <v>1104</v>
      </c>
      <c r="G11" s="212"/>
      <c r="H11" s="212"/>
      <c r="I11" s="212"/>
      <c r="R11" s="213"/>
    </row>
    <row r="12" spans="1:18" ht="15" x14ac:dyDescent="0.25">
      <c r="A12" s="210">
        <f t="shared" si="0"/>
        <v>2004</v>
      </c>
      <c r="B12" s="211" t="str">
        <f t="shared" si="1"/>
        <v>2</v>
      </c>
      <c r="C12" s="139">
        <v>38139</v>
      </c>
      <c r="D12" s="495">
        <v>891</v>
      </c>
      <c r="E12" s="496">
        <v>956.6</v>
      </c>
      <c r="F12" s="497">
        <v>1847.1</v>
      </c>
      <c r="G12" s="212"/>
      <c r="H12" s="212"/>
      <c r="I12" s="212"/>
      <c r="R12" s="213" t="s">
        <v>109</v>
      </c>
    </row>
    <row r="13" spans="1:18" ht="15" x14ac:dyDescent="0.25">
      <c r="A13" s="210">
        <f t="shared" si="0"/>
        <v>2004</v>
      </c>
      <c r="B13" s="211" t="str">
        <f t="shared" si="1"/>
        <v>3</v>
      </c>
      <c r="C13" s="139">
        <v>38231</v>
      </c>
      <c r="D13" s="492">
        <v>897.7</v>
      </c>
      <c r="E13" s="493">
        <v>1023.9</v>
      </c>
      <c r="F13" s="494">
        <v>1921.6</v>
      </c>
      <c r="G13" s="212"/>
      <c r="H13" s="212"/>
      <c r="I13" s="212"/>
      <c r="R13" s="213" t="s">
        <v>110</v>
      </c>
    </row>
    <row r="14" spans="1:18" ht="15" x14ac:dyDescent="0.25">
      <c r="A14" s="210">
        <f t="shared" si="0"/>
        <v>2004</v>
      </c>
      <c r="B14" s="211" t="str">
        <f t="shared" si="1"/>
        <v>4</v>
      </c>
      <c r="C14" s="139">
        <v>38322</v>
      </c>
      <c r="D14" s="495">
        <v>602.79999999999995</v>
      </c>
      <c r="E14" s="496">
        <v>1045.5999999999999</v>
      </c>
      <c r="F14" s="497">
        <v>1648.5</v>
      </c>
      <c r="G14" s="212"/>
      <c r="H14" s="212"/>
      <c r="I14" s="212"/>
      <c r="R14" s="207"/>
    </row>
    <row r="15" spans="1:18" ht="15" x14ac:dyDescent="0.25">
      <c r="A15" s="210">
        <f t="shared" si="0"/>
        <v>2005</v>
      </c>
      <c r="B15" s="211" t="str">
        <f t="shared" si="1"/>
        <v>1</v>
      </c>
      <c r="C15" s="139">
        <v>38412</v>
      </c>
      <c r="D15" s="492">
        <v>532.79999999999995</v>
      </c>
      <c r="E15" s="493">
        <v>898.7</v>
      </c>
      <c r="F15" s="494">
        <v>1431.4</v>
      </c>
      <c r="G15" s="212"/>
      <c r="H15" s="212"/>
      <c r="I15" s="212"/>
      <c r="R15" s="207"/>
    </row>
    <row r="16" spans="1:18" ht="15" x14ac:dyDescent="0.25">
      <c r="A16" s="210">
        <f t="shared" si="0"/>
        <v>2005</v>
      </c>
      <c r="B16" s="211" t="str">
        <f t="shared" si="1"/>
        <v>2</v>
      </c>
      <c r="C16" s="139">
        <v>38504</v>
      </c>
      <c r="D16" s="495">
        <v>750.1</v>
      </c>
      <c r="E16" s="496">
        <v>1032.8</v>
      </c>
      <c r="F16" s="497">
        <v>1782.9</v>
      </c>
      <c r="G16" s="212"/>
      <c r="H16" s="212"/>
      <c r="I16" s="212"/>
      <c r="R16" s="207"/>
    </row>
    <row r="17" spans="1:18" ht="15" x14ac:dyDescent="0.25">
      <c r="A17" s="210">
        <f t="shared" si="0"/>
        <v>2005</v>
      </c>
      <c r="B17" s="211" t="str">
        <f t="shared" si="1"/>
        <v>3</v>
      </c>
      <c r="C17" s="139">
        <v>38596</v>
      </c>
      <c r="D17" s="492">
        <v>735.1</v>
      </c>
      <c r="E17" s="493">
        <v>1099.9000000000001</v>
      </c>
      <c r="F17" s="494">
        <v>1835</v>
      </c>
      <c r="G17" s="212"/>
      <c r="H17" s="212"/>
      <c r="I17" s="212"/>
      <c r="R17" s="207"/>
    </row>
    <row r="18" spans="1:18" ht="15" x14ac:dyDescent="0.25">
      <c r="A18" s="210">
        <f t="shared" si="0"/>
        <v>2005</v>
      </c>
      <c r="B18" s="211" t="str">
        <f t="shared" si="1"/>
        <v>4</v>
      </c>
      <c r="C18" s="139">
        <v>38687</v>
      </c>
      <c r="D18" s="495">
        <v>581.79999999999995</v>
      </c>
      <c r="E18" s="496">
        <v>1036.7</v>
      </c>
      <c r="F18" s="497">
        <v>1618.6</v>
      </c>
      <c r="G18" s="212"/>
      <c r="H18" s="212"/>
      <c r="I18" s="212"/>
    </row>
    <row r="19" spans="1:18" ht="15" x14ac:dyDescent="0.25">
      <c r="A19" s="210">
        <f t="shared" si="0"/>
        <v>2006</v>
      </c>
      <c r="B19" s="211" t="str">
        <f t="shared" si="1"/>
        <v>1</v>
      </c>
      <c r="C19" s="139">
        <v>38777</v>
      </c>
      <c r="D19" s="492">
        <v>522.79999999999995</v>
      </c>
      <c r="E19" s="493">
        <v>944.4</v>
      </c>
      <c r="F19" s="494">
        <v>1467.1</v>
      </c>
      <c r="G19" s="212"/>
      <c r="H19" s="212"/>
      <c r="I19" s="212"/>
    </row>
    <row r="20" spans="1:18" ht="15" x14ac:dyDescent="0.25">
      <c r="A20" s="210">
        <f t="shared" si="0"/>
        <v>2006</v>
      </c>
      <c r="B20" s="211" t="str">
        <f t="shared" si="1"/>
        <v>2</v>
      </c>
      <c r="C20" s="139">
        <v>38869</v>
      </c>
      <c r="D20" s="495">
        <v>778</v>
      </c>
      <c r="E20" s="496">
        <v>1138.0999999999999</v>
      </c>
      <c r="F20" s="497">
        <v>1916.1</v>
      </c>
      <c r="G20" s="212"/>
      <c r="H20" s="212"/>
      <c r="I20" s="212"/>
    </row>
    <row r="21" spans="1:18" ht="15" x14ac:dyDescent="0.25">
      <c r="A21" s="210">
        <f t="shared" si="0"/>
        <v>2006</v>
      </c>
      <c r="B21" s="211" t="str">
        <f t="shared" si="1"/>
        <v>3</v>
      </c>
      <c r="C21" s="139">
        <v>38961</v>
      </c>
      <c r="D21" s="492">
        <v>812.4</v>
      </c>
      <c r="E21" s="493">
        <v>1438.6</v>
      </c>
      <c r="F21" s="494">
        <v>2251</v>
      </c>
      <c r="G21" s="212"/>
      <c r="H21" s="212"/>
      <c r="I21" s="212"/>
    </row>
    <row r="22" spans="1:18" ht="15" x14ac:dyDescent="0.25">
      <c r="A22" s="210">
        <f t="shared" si="0"/>
        <v>2006</v>
      </c>
      <c r="B22" s="211" t="str">
        <f t="shared" si="1"/>
        <v>4</v>
      </c>
      <c r="C22" s="139">
        <v>39052</v>
      </c>
      <c r="D22" s="495">
        <v>900.4</v>
      </c>
      <c r="E22" s="496">
        <v>1199.3</v>
      </c>
      <c r="F22" s="497">
        <v>2099.6999999999998</v>
      </c>
      <c r="G22" s="212"/>
      <c r="H22" s="212"/>
      <c r="I22" s="212"/>
    </row>
    <row r="23" spans="1:18" ht="15" x14ac:dyDescent="0.25">
      <c r="A23" s="210">
        <f t="shared" si="0"/>
        <v>2007</v>
      </c>
      <c r="B23" s="211" t="str">
        <f t="shared" si="1"/>
        <v>1</v>
      </c>
      <c r="C23" s="139">
        <v>39142</v>
      </c>
      <c r="D23" s="492">
        <v>713.2</v>
      </c>
      <c r="E23" s="493">
        <v>1071</v>
      </c>
      <c r="F23" s="494">
        <v>1784.2</v>
      </c>
      <c r="G23" s="212"/>
      <c r="H23" s="212"/>
      <c r="I23" s="212"/>
    </row>
    <row r="24" spans="1:18" ht="15" x14ac:dyDescent="0.25">
      <c r="A24" s="210">
        <f t="shared" si="0"/>
        <v>2007</v>
      </c>
      <c r="B24" s="211" t="str">
        <f t="shared" si="1"/>
        <v>2</v>
      </c>
      <c r="C24" s="139">
        <v>39234</v>
      </c>
      <c r="D24" s="495">
        <v>814.1</v>
      </c>
      <c r="E24" s="496">
        <v>1505.6</v>
      </c>
      <c r="F24" s="497">
        <v>2319.6999999999998</v>
      </c>
      <c r="G24" s="212"/>
      <c r="H24" s="212"/>
      <c r="I24" s="212"/>
    </row>
    <row r="25" spans="1:18" ht="15" x14ac:dyDescent="0.25">
      <c r="A25" s="210">
        <f t="shared" si="0"/>
        <v>2007</v>
      </c>
      <c r="B25" s="211" t="str">
        <f t="shared" si="1"/>
        <v>3</v>
      </c>
      <c r="C25" s="139">
        <v>39326</v>
      </c>
      <c r="D25" s="492">
        <v>1055.8</v>
      </c>
      <c r="E25" s="493">
        <v>1500.8</v>
      </c>
      <c r="F25" s="494">
        <v>2556.6999999999998</v>
      </c>
      <c r="G25" s="212"/>
      <c r="H25" s="212"/>
      <c r="I25" s="212"/>
    </row>
    <row r="26" spans="1:18" ht="15" x14ac:dyDescent="0.25">
      <c r="A26" s="210">
        <f t="shared" si="0"/>
        <v>2007</v>
      </c>
      <c r="B26" s="211" t="str">
        <f t="shared" si="1"/>
        <v>4</v>
      </c>
      <c r="C26" s="139">
        <v>39417</v>
      </c>
      <c r="D26" s="495">
        <v>970.1</v>
      </c>
      <c r="E26" s="496">
        <v>1476</v>
      </c>
      <c r="F26" s="497">
        <v>2446.1</v>
      </c>
      <c r="G26" s="212"/>
      <c r="H26" s="212"/>
      <c r="I26" s="212"/>
    </row>
    <row r="27" spans="1:18" ht="15" x14ac:dyDescent="0.25">
      <c r="A27" s="210">
        <f t="shared" si="0"/>
        <v>2008</v>
      </c>
      <c r="B27" s="211" t="str">
        <f t="shared" si="1"/>
        <v>1</v>
      </c>
      <c r="C27" s="139">
        <v>39508</v>
      </c>
      <c r="D27" s="492">
        <v>737.1</v>
      </c>
      <c r="E27" s="493">
        <v>1275.4000000000001</v>
      </c>
      <c r="F27" s="494">
        <v>2012.5</v>
      </c>
      <c r="G27" s="212"/>
      <c r="H27" s="212"/>
      <c r="I27" s="212"/>
    </row>
    <row r="28" spans="1:18" ht="15" x14ac:dyDescent="0.25">
      <c r="A28" s="210">
        <f t="shared" si="0"/>
        <v>2008</v>
      </c>
      <c r="B28" s="211" t="str">
        <f t="shared" si="1"/>
        <v>2</v>
      </c>
      <c r="C28" s="139">
        <v>39600</v>
      </c>
      <c r="D28" s="495">
        <v>1157</v>
      </c>
      <c r="E28" s="496">
        <v>1583.2</v>
      </c>
      <c r="F28" s="497">
        <v>2740.3</v>
      </c>
      <c r="G28" s="212"/>
      <c r="H28" s="212"/>
      <c r="I28" s="212"/>
    </row>
    <row r="29" spans="1:18" ht="15" x14ac:dyDescent="0.25">
      <c r="A29" s="210">
        <f t="shared" si="0"/>
        <v>2008</v>
      </c>
      <c r="B29" s="211" t="str">
        <f t="shared" si="1"/>
        <v>3</v>
      </c>
      <c r="C29" s="139">
        <v>39692</v>
      </c>
      <c r="D29" s="492">
        <v>1068.9000000000001</v>
      </c>
      <c r="E29" s="493">
        <v>1636</v>
      </c>
      <c r="F29" s="494">
        <v>2704.8</v>
      </c>
      <c r="G29" s="212"/>
      <c r="H29" s="212"/>
      <c r="I29" s="212"/>
    </row>
    <row r="30" spans="1:18" ht="15" x14ac:dyDescent="0.25">
      <c r="A30" s="210">
        <f t="shared" si="0"/>
        <v>2008</v>
      </c>
      <c r="B30" s="211" t="str">
        <f t="shared" si="1"/>
        <v>4</v>
      </c>
      <c r="C30" s="139">
        <v>39783</v>
      </c>
      <c r="D30" s="495">
        <v>792.1</v>
      </c>
      <c r="E30" s="496">
        <v>1444.4</v>
      </c>
      <c r="F30" s="497">
        <v>2236.5</v>
      </c>
      <c r="G30" s="212"/>
      <c r="H30" s="212"/>
      <c r="I30" s="212"/>
    </row>
    <row r="31" spans="1:18" ht="15" x14ac:dyDescent="0.25">
      <c r="A31" s="210">
        <f t="shared" si="0"/>
        <v>2009</v>
      </c>
      <c r="B31" s="211" t="str">
        <f t="shared" si="1"/>
        <v>1</v>
      </c>
      <c r="C31" s="139">
        <v>39873</v>
      </c>
      <c r="D31" s="492">
        <v>338.2</v>
      </c>
      <c r="E31" s="493">
        <v>888.3</v>
      </c>
      <c r="F31" s="494">
        <v>1226.5</v>
      </c>
      <c r="G31" s="212"/>
      <c r="H31" s="212"/>
      <c r="I31" s="212"/>
    </row>
    <row r="32" spans="1:18" ht="15" x14ac:dyDescent="0.25">
      <c r="A32" s="210">
        <f t="shared" si="0"/>
        <v>2009</v>
      </c>
      <c r="B32" s="211" t="str">
        <f t="shared" si="1"/>
        <v>2</v>
      </c>
      <c r="C32" s="139">
        <v>39965</v>
      </c>
      <c r="D32" s="495">
        <v>521.20000000000005</v>
      </c>
      <c r="E32" s="496">
        <v>1198.7</v>
      </c>
      <c r="F32" s="497">
        <v>1719.9</v>
      </c>
      <c r="G32" s="212"/>
      <c r="H32" s="212"/>
      <c r="I32" s="212"/>
    </row>
    <row r="33" spans="1:15" ht="15" x14ac:dyDescent="0.25">
      <c r="A33" s="210">
        <f t="shared" si="0"/>
        <v>2009</v>
      </c>
      <c r="B33" s="211" t="str">
        <f t="shared" si="1"/>
        <v>3</v>
      </c>
      <c r="C33" s="139">
        <v>40057</v>
      </c>
      <c r="D33" s="492">
        <v>719</v>
      </c>
      <c r="E33" s="493">
        <v>1422</v>
      </c>
      <c r="F33" s="494">
        <v>2141</v>
      </c>
      <c r="G33" s="212"/>
      <c r="H33" s="212"/>
      <c r="I33" s="212"/>
    </row>
    <row r="34" spans="1:15" ht="15" x14ac:dyDescent="0.25">
      <c r="A34" s="210">
        <f t="shared" si="0"/>
        <v>2009</v>
      </c>
      <c r="B34" s="211" t="str">
        <f t="shared" si="1"/>
        <v>4</v>
      </c>
      <c r="C34" s="139">
        <v>40148</v>
      </c>
      <c r="D34" s="495">
        <v>857.6</v>
      </c>
      <c r="E34" s="496">
        <v>1436.6</v>
      </c>
      <c r="F34" s="497">
        <v>2294.1</v>
      </c>
      <c r="G34" s="212"/>
      <c r="H34" s="212"/>
      <c r="I34" s="212"/>
    </row>
    <row r="35" spans="1:15" ht="15" x14ac:dyDescent="0.25">
      <c r="A35" s="210">
        <f t="shared" si="0"/>
        <v>2010</v>
      </c>
      <c r="B35" s="211" t="str">
        <f t="shared" si="1"/>
        <v>1</v>
      </c>
      <c r="C35" s="139">
        <v>40238</v>
      </c>
      <c r="D35" s="492">
        <v>547.5</v>
      </c>
      <c r="E35" s="493">
        <v>995.8</v>
      </c>
      <c r="F35" s="494">
        <v>1543.3</v>
      </c>
      <c r="G35" s="212"/>
      <c r="H35" s="212"/>
      <c r="I35" s="212"/>
    </row>
    <row r="36" spans="1:15" ht="15" x14ac:dyDescent="0.25">
      <c r="A36" s="210">
        <f t="shared" si="0"/>
        <v>2010</v>
      </c>
      <c r="B36" s="211" t="str">
        <f t="shared" si="1"/>
        <v>2</v>
      </c>
      <c r="C36" s="139">
        <v>40330</v>
      </c>
      <c r="D36" s="495">
        <v>930.4</v>
      </c>
      <c r="E36" s="496">
        <v>1390.1</v>
      </c>
      <c r="F36" s="497">
        <v>2320.5</v>
      </c>
      <c r="G36" s="212"/>
      <c r="H36" s="212"/>
      <c r="I36" s="212"/>
    </row>
    <row r="37" spans="1:15" ht="15" x14ac:dyDescent="0.25">
      <c r="A37" s="210">
        <f t="shared" si="0"/>
        <v>2010</v>
      </c>
      <c r="B37" s="211" t="str">
        <f t="shared" si="1"/>
        <v>3</v>
      </c>
      <c r="C37" s="139">
        <v>40422</v>
      </c>
      <c r="D37" s="492">
        <v>907.4</v>
      </c>
      <c r="E37" s="493">
        <v>1555.8</v>
      </c>
      <c r="F37" s="494">
        <v>2463.1999999999998</v>
      </c>
      <c r="G37" s="212"/>
      <c r="H37" s="212"/>
      <c r="I37" s="212"/>
    </row>
    <row r="38" spans="1:15" ht="15" x14ac:dyDescent="0.25">
      <c r="A38" s="210">
        <f t="shared" si="0"/>
        <v>2010</v>
      </c>
      <c r="B38" s="211" t="str">
        <f t="shared" si="1"/>
        <v>4</v>
      </c>
      <c r="C38" s="139">
        <v>40513</v>
      </c>
      <c r="D38" s="495">
        <v>932.7</v>
      </c>
      <c r="E38" s="496">
        <v>1449.3</v>
      </c>
      <c r="F38" s="497">
        <v>2382</v>
      </c>
      <c r="G38" s="212"/>
      <c r="H38" s="212"/>
      <c r="I38" s="212"/>
      <c r="M38" s="587"/>
      <c r="N38" s="587"/>
      <c r="O38" s="587"/>
    </row>
    <row r="39" spans="1:15" ht="15" x14ac:dyDescent="0.25">
      <c r="A39" s="210">
        <f t="shared" si="0"/>
        <v>2011</v>
      </c>
      <c r="B39" s="211" t="str">
        <f t="shared" si="1"/>
        <v>1</v>
      </c>
      <c r="C39" s="139">
        <v>40603</v>
      </c>
      <c r="D39" s="492">
        <v>617.20000000000005</v>
      </c>
      <c r="E39" s="493">
        <v>1361.7</v>
      </c>
      <c r="F39" s="494">
        <v>1978.9</v>
      </c>
      <c r="G39" s="212"/>
      <c r="H39" s="212"/>
      <c r="I39" s="212"/>
    </row>
    <row r="40" spans="1:15" ht="15" x14ac:dyDescent="0.25">
      <c r="A40" s="210">
        <f t="shared" si="0"/>
        <v>2011</v>
      </c>
      <c r="B40" s="211" t="str">
        <f t="shared" si="1"/>
        <v>2</v>
      </c>
      <c r="C40" s="139">
        <v>40695</v>
      </c>
      <c r="D40" s="495">
        <v>979</v>
      </c>
      <c r="E40" s="496">
        <v>1896.3</v>
      </c>
      <c r="F40" s="497">
        <v>2875.2</v>
      </c>
      <c r="G40" s="212"/>
      <c r="H40" s="212"/>
      <c r="I40" s="212"/>
    </row>
    <row r="41" spans="1:15" ht="15" x14ac:dyDescent="0.25">
      <c r="A41" s="210">
        <f t="shared" si="0"/>
        <v>2011</v>
      </c>
      <c r="B41" s="211" t="str">
        <f t="shared" si="1"/>
        <v>3</v>
      </c>
      <c r="C41" s="139">
        <v>40787</v>
      </c>
      <c r="D41" s="492">
        <v>1037.7</v>
      </c>
      <c r="E41" s="493">
        <v>2120.3000000000002</v>
      </c>
      <c r="F41" s="494">
        <v>3157.9</v>
      </c>
      <c r="G41" s="212"/>
      <c r="H41" s="212"/>
      <c r="I41" s="212"/>
    </row>
    <row r="42" spans="1:15" ht="15" x14ac:dyDescent="0.25">
      <c r="A42" s="210">
        <f t="shared" si="0"/>
        <v>2011</v>
      </c>
      <c r="B42" s="211" t="str">
        <f t="shared" si="1"/>
        <v>4</v>
      </c>
      <c r="C42" s="139">
        <v>40878</v>
      </c>
      <c r="D42" s="495">
        <v>1008.4</v>
      </c>
      <c r="E42" s="496">
        <v>1947.2</v>
      </c>
      <c r="F42" s="497">
        <v>2955.6</v>
      </c>
      <c r="G42" s="212"/>
      <c r="H42" s="212"/>
      <c r="I42" s="212"/>
    </row>
    <row r="43" spans="1:15" ht="15" x14ac:dyDescent="0.25">
      <c r="A43" s="210">
        <f t="shared" si="0"/>
        <v>2012</v>
      </c>
      <c r="B43" s="211" t="str">
        <f t="shared" si="1"/>
        <v>1</v>
      </c>
      <c r="C43" s="139">
        <v>40969</v>
      </c>
      <c r="D43" s="492">
        <v>582.79999999999995</v>
      </c>
      <c r="E43" s="493">
        <v>1688.8</v>
      </c>
      <c r="F43" s="494">
        <v>2271.6</v>
      </c>
      <c r="G43" s="212"/>
      <c r="H43" s="212"/>
      <c r="I43" s="212"/>
    </row>
    <row r="44" spans="1:15" ht="15" x14ac:dyDescent="0.25">
      <c r="A44" s="210">
        <f t="shared" si="0"/>
        <v>2012</v>
      </c>
      <c r="B44" s="211" t="str">
        <f t="shared" si="1"/>
        <v>2</v>
      </c>
      <c r="C44" s="139">
        <v>41061</v>
      </c>
      <c r="D44" s="495">
        <v>1071.2</v>
      </c>
      <c r="E44" s="496">
        <v>1952.4</v>
      </c>
      <c r="F44" s="497">
        <v>3023.5</v>
      </c>
      <c r="G44" s="212"/>
      <c r="H44" s="212"/>
      <c r="I44" s="212"/>
    </row>
    <row r="45" spans="1:15" ht="15" x14ac:dyDescent="0.25">
      <c r="A45" s="210">
        <f t="shared" si="0"/>
        <v>2012</v>
      </c>
      <c r="B45" s="211" t="str">
        <f t="shared" si="1"/>
        <v>3</v>
      </c>
      <c r="C45" s="139">
        <v>41153</v>
      </c>
      <c r="D45" s="492">
        <v>943.1</v>
      </c>
      <c r="E45" s="493">
        <v>1771.1</v>
      </c>
      <c r="F45" s="494">
        <v>2714.2</v>
      </c>
      <c r="G45" s="212"/>
      <c r="H45" s="212"/>
      <c r="I45" s="212"/>
    </row>
    <row r="46" spans="1:15" ht="15" x14ac:dyDescent="0.25">
      <c r="A46" s="210">
        <f t="shared" si="0"/>
        <v>2012</v>
      </c>
      <c r="B46" s="211" t="str">
        <f t="shared" si="1"/>
        <v>4</v>
      </c>
      <c r="C46" s="139">
        <v>41244</v>
      </c>
      <c r="D46" s="495">
        <v>677.4</v>
      </c>
      <c r="E46" s="496">
        <v>1501.6</v>
      </c>
      <c r="F46" s="497">
        <v>2179</v>
      </c>
      <c r="G46" s="212"/>
      <c r="H46" s="212"/>
      <c r="I46" s="212"/>
    </row>
    <row r="47" spans="1:15" ht="15" x14ac:dyDescent="0.25">
      <c r="A47" s="210">
        <f t="shared" si="0"/>
        <v>2013</v>
      </c>
      <c r="B47" s="211" t="str">
        <f t="shared" si="1"/>
        <v>1</v>
      </c>
      <c r="C47" s="139">
        <v>41334</v>
      </c>
      <c r="D47" s="492">
        <v>416.7</v>
      </c>
      <c r="E47" s="493">
        <v>1117.5999999999999</v>
      </c>
      <c r="F47" s="494">
        <v>1534.3</v>
      </c>
      <c r="G47" s="212"/>
      <c r="H47" s="212"/>
      <c r="I47" s="212"/>
    </row>
    <row r="48" spans="1:15" ht="15" x14ac:dyDescent="0.25">
      <c r="A48" s="210">
        <f t="shared" si="0"/>
        <v>2013</v>
      </c>
      <c r="B48" s="211" t="str">
        <f t="shared" si="1"/>
        <v>2</v>
      </c>
      <c r="C48" s="139">
        <v>41426</v>
      </c>
      <c r="D48" s="495">
        <v>692.5</v>
      </c>
      <c r="E48" s="496">
        <v>1300</v>
      </c>
      <c r="F48" s="497">
        <v>1992.5</v>
      </c>
      <c r="G48" s="212"/>
      <c r="H48" s="212"/>
      <c r="I48" s="212"/>
      <c r="M48" s="213" t="s">
        <v>111</v>
      </c>
      <c r="N48" s="213"/>
    </row>
    <row r="49" spans="1:14" ht="15" x14ac:dyDescent="0.25">
      <c r="A49" s="210">
        <f t="shared" si="0"/>
        <v>2013</v>
      </c>
      <c r="B49" s="211" t="str">
        <f t="shared" si="1"/>
        <v>3</v>
      </c>
      <c r="C49" s="139">
        <v>41518</v>
      </c>
      <c r="D49" s="492">
        <v>592.70000000000005</v>
      </c>
      <c r="E49" s="493">
        <v>1253.5999999999999</v>
      </c>
      <c r="F49" s="494">
        <v>1846.3</v>
      </c>
      <c r="G49" s="212"/>
      <c r="H49" s="212"/>
      <c r="I49" s="212"/>
      <c r="M49" s="213" t="s">
        <v>112</v>
      </c>
      <c r="N49" s="213"/>
    </row>
    <row r="50" spans="1:14" ht="15" x14ac:dyDescent="0.25">
      <c r="A50" s="210">
        <f t="shared" si="0"/>
        <v>2013</v>
      </c>
      <c r="B50" s="211" t="str">
        <f t="shared" si="1"/>
        <v>4</v>
      </c>
      <c r="C50" s="139">
        <v>41609</v>
      </c>
      <c r="D50" s="495">
        <v>396.1</v>
      </c>
      <c r="E50" s="496">
        <v>1368.1</v>
      </c>
      <c r="F50" s="497">
        <v>1764.1</v>
      </c>
      <c r="G50" s="212"/>
      <c r="H50" s="212"/>
      <c r="I50" s="212"/>
      <c r="M50" s="213" t="s">
        <v>113</v>
      </c>
    </row>
    <row r="51" spans="1:14" ht="15" x14ac:dyDescent="0.25">
      <c r="A51" s="210">
        <f t="shared" si="0"/>
        <v>2014</v>
      </c>
      <c r="B51" s="211" t="str">
        <f t="shared" si="1"/>
        <v>1</v>
      </c>
      <c r="C51" s="139">
        <v>41699</v>
      </c>
      <c r="D51" s="492">
        <v>300</v>
      </c>
      <c r="E51" s="493">
        <v>848.1</v>
      </c>
      <c r="F51" s="494">
        <v>1148.0999999999999</v>
      </c>
      <c r="G51" s="212"/>
      <c r="H51" s="212"/>
      <c r="I51" s="212"/>
    </row>
    <row r="52" spans="1:14" ht="15" x14ac:dyDescent="0.25">
      <c r="A52" s="210">
        <f t="shared" si="0"/>
        <v>2014</v>
      </c>
      <c r="B52" s="211" t="str">
        <f t="shared" si="1"/>
        <v>2</v>
      </c>
      <c r="C52" s="139">
        <v>41791</v>
      </c>
      <c r="D52" s="495">
        <v>308.8</v>
      </c>
      <c r="E52" s="496">
        <v>1386</v>
      </c>
      <c r="F52" s="497">
        <v>1694.8</v>
      </c>
      <c r="G52" s="212"/>
      <c r="H52" s="212"/>
      <c r="I52" s="212"/>
    </row>
    <row r="53" spans="1:14" ht="15" x14ac:dyDescent="0.25">
      <c r="A53" s="210">
        <f t="shared" si="0"/>
        <v>2014</v>
      </c>
      <c r="B53" s="211" t="str">
        <f t="shared" si="1"/>
        <v>3</v>
      </c>
      <c r="C53" s="139">
        <v>41883</v>
      </c>
      <c r="D53" s="492">
        <v>397.2</v>
      </c>
      <c r="E53" s="493">
        <v>1271.8</v>
      </c>
      <c r="F53" s="494">
        <v>1669</v>
      </c>
      <c r="G53" s="212"/>
      <c r="H53" s="212"/>
      <c r="I53" s="212"/>
    </row>
    <row r="54" spans="1:14" ht="15" x14ac:dyDescent="0.25">
      <c r="A54" s="210">
        <f t="shared" si="0"/>
        <v>2014</v>
      </c>
      <c r="B54" s="211" t="str">
        <f t="shared" si="1"/>
        <v>4</v>
      </c>
      <c r="C54" s="139">
        <v>41974</v>
      </c>
      <c r="D54" s="495">
        <v>491.9</v>
      </c>
      <c r="E54" s="496">
        <v>1121.2</v>
      </c>
      <c r="F54" s="497">
        <v>1613.1</v>
      </c>
      <c r="G54" s="212"/>
      <c r="H54" s="212"/>
      <c r="I54" s="212"/>
    </row>
    <row r="55" spans="1:14" ht="15" x14ac:dyDescent="0.25">
      <c r="A55" s="210">
        <f t="shared" si="0"/>
        <v>2015</v>
      </c>
      <c r="B55" s="211" t="str">
        <f t="shared" si="1"/>
        <v>1</v>
      </c>
      <c r="C55" s="139">
        <v>42064</v>
      </c>
      <c r="D55" s="492">
        <v>242.1</v>
      </c>
      <c r="E55" s="493">
        <v>898.6</v>
      </c>
      <c r="F55" s="494">
        <v>1140.7</v>
      </c>
      <c r="G55" s="212"/>
      <c r="H55" s="212"/>
      <c r="I55" s="212"/>
    </row>
    <row r="56" spans="1:14" ht="15" x14ac:dyDescent="0.25">
      <c r="A56" s="210">
        <f t="shared" si="0"/>
        <v>2015</v>
      </c>
      <c r="B56" s="211" t="str">
        <f t="shared" si="1"/>
        <v>2</v>
      </c>
      <c r="C56" s="139">
        <v>42156</v>
      </c>
      <c r="D56" s="495">
        <v>438.1</v>
      </c>
      <c r="E56" s="496">
        <v>1103.3</v>
      </c>
      <c r="F56" s="497">
        <v>1540.2</v>
      </c>
      <c r="G56" s="212"/>
      <c r="H56" s="212"/>
      <c r="I56" s="212"/>
    </row>
    <row r="57" spans="1:14" ht="15" x14ac:dyDescent="0.25">
      <c r="A57" s="210">
        <f t="shared" si="0"/>
        <v>2015</v>
      </c>
      <c r="B57" s="211" t="str">
        <f t="shared" si="1"/>
        <v>3</v>
      </c>
      <c r="C57" s="139">
        <v>42248</v>
      </c>
      <c r="D57" s="492">
        <v>341.1</v>
      </c>
      <c r="E57" s="493">
        <v>1232.7</v>
      </c>
      <c r="F57" s="494">
        <v>1573.5</v>
      </c>
      <c r="G57" s="212"/>
      <c r="H57" s="212"/>
      <c r="I57" s="212"/>
    </row>
    <row r="58" spans="1:14" ht="15" x14ac:dyDescent="0.25">
      <c r="A58" s="210">
        <f t="shared" si="0"/>
        <v>2015</v>
      </c>
      <c r="B58" s="211" t="str">
        <f t="shared" si="1"/>
        <v>4</v>
      </c>
      <c r="C58" s="139">
        <v>42339</v>
      </c>
      <c r="D58" s="495">
        <v>442.4</v>
      </c>
      <c r="E58" s="496">
        <v>1240.2</v>
      </c>
      <c r="F58" s="497">
        <v>1682.3</v>
      </c>
      <c r="G58" s="212"/>
      <c r="H58" s="212"/>
      <c r="I58" s="212"/>
    </row>
    <row r="59" spans="1:14" ht="15" x14ac:dyDescent="0.25">
      <c r="A59" s="210">
        <f t="shared" si="0"/>
        <v>2016</v>
      </c>
      <c r="B59" s="211" t="str">
        <f t="shared" si="1"/>
        <v>1</v>
      </c>
      <c r="C59" s="139">
        <v>42430</v>
      </c>
      <c r="D59" s="492">
        <v>306.60000000000002</v>
      </c>
      <c r="E59" s="493">
        <v>994.8</v>
      </c>
      <c r="F59" s="494">
        <v>1301.3</v>
      </c>
      <c r="G59" s="212"/>
      <c r="H59" s="212"/>
      <c r="I59" s="212"/>
    </row>
    <row r="60" spans="1:14" ht="15" x14ac:dyDescent="0.25">
      <c r="A60" s="210">
        <f t="shared" si="0"/>
        <v>2016</v>
      </c>
      <c r="B60" s="211" t="str">
        <f t="shared" si="1"/>
        <v>2</v>
      </c>
      <c r="C60" s="139">
        <v>42522</v>
      </c>
      <c r="D60" s="495">
        <v>418.2</v>
      </c>
      <c r="E60" s="496">
        <v>1376.4</v>
      </c>
      <c r="F60" s="497">
        <v>1794.6</v>
      </c>
      <c r="G60" s="212"/>
      <c r="H60" s="212"/>
      <c r="I60" s="212"/>
    </row>
    <row r="61" spans="1:14" ht="15" x14ac:dyDescent="0.25">
      <c r="A61" s="210">
        <f t="shared" si="0"/>
        <v>2016</v>
      </c>
      <c r="B61" s="211" t="str">
        <f t="shared" si="1"/>
        <v>3</v>
      </c>
      <c r="C61" s="139">
        <v>42614</v>
      </c>
      <c r="D61" s="492">
        <v>539.1</v>
      </c>
      <c r="E61" s="493">
        <v>1257.9000000000001</v>
      </c>
      <c r="F61" s="494">
        <v>1796.9</v>
      </c>
      <c r="G61" s="212"/>
      <c r="H61" s="212"/>
      <c r="I61" s="212"/>
    </row>
    <row r="62" spans="1:14" ht="15" x14ac:dyDescent="0.25">
      <c r="A62" s="210">
        <f t="shared" si="0"/>
        <v>2016</v>
      </c>
      <c r="B62" s="211" t="str">
        <f t="shared" si="1"/>
        <v>4</v>
      </c>
      <c r="C62" s="139">
        <v>42705</v>
      </c>
      <c r="D62" s="495">
        <v>658.7</v>
      </c>
      <c r="E62" s="496">
        <v>1183.9000000000001</v>
      </c>
      <c r="F62" s="497">
        <v>1842.6</v>
      </c>
      <c r="G62" s="212"/>
      <c r="H62" s="212"/>
      <c r="I62" s="212"/>
    </row>
    <row r="63" spans="1:14" ht="15" x14ac:dyDescent="0.25">
      <c r="A63" s="210">
        <f t="shared" si="0"/>
        <v>2017</v>
      </c>
      <c r="B63" s="211" t="str">
        <f t="shared" si="1"/>
        <v>1</v>
      </c>
      <c r="C63" s="139">
        <v>42795</v>
      </c>
      <c r="D63" s="492">
        <v>484</v>
      </c>
      <c r="E63" s="493">
        <v>1117.5</v>
      </c>
      <c r="F63" s="494">
        <v>1591.2</v>
      </c>
      <c r="G63" s="212"/>
      <c r="H63" s="212"/>
      <c r="I63" s="212"/>
    </row>
    <row r="64" spans="1:14" ht="15" x14ac:dyDescent="0.25">
      <c r="A64" s="210">
        <f t="shared" si="0"/>
        <v>2017</v>
      </c>
      <c r="B64" s="211" t="str">
        <f t="shared" si="1"/>
        <v>2</v>
      </c>
      <c r="C64" s="139">
        <v>42887</v>
      </c>
      <c r="D64" s="495">
        <v>682.6</v>
      </c>
      <c r="E64" s="496">
        <v>1616.2</v>
      </c>
      <c r="F64" s="497">
        <v>2298.6999999999998</v>
      </c>
      <c r="G64" s="212"/>
      <c r="H64" s="212"/>
      <c r="I64" s="212"/>
    </row>
    <row r="65" spans="1:9" ht="15" x14ac:dyDescent="0.25">
      <c r="A65" s="210">
        <f t="shared" si="0"/>
        <v>2017</v>
      </c>
      <c r="B65" s="211" t="str">
        <f t="shared" si="1"/>
        <v>3</v>
      </c>
      <c r="C65" s="139">
        <v>42979</v>
      </c>
      <c r="D65" s="492">
        <v>841.6</v>
      </c>
      <c r="E65" s="493">
        <v>1452.4</v>
      </c>
      <c r="F65" s="494">
        <v>2294</v>
      </c>
      <c r="G65" s="212"/>
      <c r="H65" s="212"/>
      <c r="I65" s="212"/>
    </row>
    <row r="66" spans="1:9" ht="15" x14ac:dyDescent="0.25">
      <c r="A66" s="210">
        <f t="shared" si="0"/>
        <v>2017</v>
      </c>
      <c r="B66" s="211" t="str">
        <f t="shared" si="1"/>
        <v>4</v>
      </c>
      <c r="C66" s="139">
        <v>43070</v>
      </c>
      <c r="D66" s="495">
        <v>766.1</v>
      </c>
      <c r="E66" s="496">
        <v>1409.8</v>
      </c>
      <c r="F66" s="497">
        <v>2175.9</v>
      </c>
      <c r="G66" s="212"/>
      <c r="H66" s="212"/>
      <c r="I66" s="212"/>
    </row>
    <row r="67" spans="1:9" ht="15" x14ac:dyDescent="0.25">
      <c r="A67" s="210">
        <f t="shared" si="0"/>
        <v>2018</v>
      </c>
      <c r="B67" s="211" t="str">
        <f t="shared" si="1"/>
        <v>1</v>
      </c>
      <c r="C67" s="139">
        <v>43160</v>
      </c>
      <c r="D67" s="492">
        <v>631.70000000000005</v>
      </c>
      <c r="E67" s="493">
        <v>1221.9000000000001</v>
      </c>
      <c r="F67" s="494">
        <v>1853.6</v>
      </c>
      <c r="G67" s="212"/>
      <c r="H67" s="212"/>
      <c r="I67" s="212"/>
    </row>
    <row r="68" spans="1:9" ht="15" x14ac:dyDescent="0.25">
      <c r="A68" s="210">
        <f t="shared" si="0"/>
        <v>2018</v>
      </c>
      <c r="B68" s="211" t="str">
        <f t="shared" si="1"/>
        <v>2</v>
      </c>
      <c r="C68" s="139">
        <v>43252</v>
      </c>
      <c r="D68" s="495">
        <v>971.8</v>
      </c>
      <c r="E68" s="496">
        <v>1701</v>
      </c>
      <c r="F68" s="497">
        <v>2672.8</v>
      </c>
      <c r="G68" s="212"/>
      <c r="H68" s="212"/>
      <c r="I68" s="212"/>
    </row>
    <row r="69" spans="1:9" ht="15" x14ac:dyDescent="0.25">
      <c r="A69" s="210">
        <f t="shared" si="0"/>
        <v>2018</v>
      </c>
      <c r="B69" s="211" t="str">
        <f t="shared" si="1"/>
        <v>3</v>
      </c>
      <c r="C69" s="139">
        <v>43344</v>
      </c>
      <c r="D69" s="492">
        <v>1041.7</v>
      </c>
      <c r="E69" s="493">
        <v>1778.6</v>
      </c>
      <c r="F69" s="494">
        <v>2811.6</v>
      </c>
      <c r="G69" s="212"/>
      <c r="H69" s="212"/>
      <c r="I69" s="212"/>
    </row>
    <row r="70" spans="1:9" ht="15" x14ac:dyDescent="0.25">
      <c r="A70" s="210">
        <f t="shared" si="0"/>
        <v>2018</v>
      </c>
      <c r="B70" s="211" t="str">
        <f t="shared" si="1"/>
        <v>4</v>
      </c>
      <c r="C70" s="139">
        <v>43435</v>
      </c>
      <c r="D70" s="495">
        <v>949.3</v>
      </c>
      <c r="E70" s="496">
        <v>1545.2</v>
      </c>
      <c r="F70" s="497">
        <v>2494.5</v>
      </c>
      <c r="G70" s="212"/>
      <c r="H70" s="212"/>
      <c r="I70" s="212"/>
    </row>
    <row r="71" spans="1:9" ht="15" x14ac:dyDescent="0.25">
      <c r="A71" s="210">
        <f t="shared" si="0"/>
        <v>2019</v>
      </c>
      <c r="B71" s="211" t="str">
        <f t="shared" si="1"/>
        <v>1</v>
      </c>
      <c r="C71" s="139">
        <v>43525</v>
      </c>
      <c r="D71" s="492">
        <v>755.4</v>
      </c>
      <c r="E71" s="493">
        <v>1460.4</v>
      </c>
      <c r="F71" s="494">
        <v>2215.8000000000002</v>
      </c>
      <c r="G71" s="212"/>
      <c r="H71" s="212"/>
      <c r="I71" s="212"/>
    </row>
    <row r="72" spans="1:9" ht="15" x14ac:dyDescent="0.25">
      <c r="A72" s="210">
        <f t="shared" si="0"/>
        <v>2019</v>
      </c>
      <c r="B72" s="211" t="str">
        <f t="shared" si="1"/>
        <v>2</v>
      </c>
      <c r="C72" s="139">
        <v>43617</v>
      </c>
      <c r="D72" s="495">
        <v>923.8</v>
      </c>
      <c r="E72" s="496">
        <v>1755.9</v>
      </c>
      <c r="F72" s="497">
        <v>2679.7</v>
      </c>
      <c r="G72" s="212"/>
      <c r="H72" s="212"/>
      <c r="I72" s="212"/>
    </row>
    <row r="73" spans="1:9" ht="15" x14ac:dyDescent="0.25">
      <c r="A73" s="210">
        <f t="shared" ref="A73:A86" si="2">YEAR(C73)</f>
        <v>2019</v>
      </c>
      <c r="B73" s="211" t="str">
        <f t="shared" ref="B73:B86" si="3">IF(MONTH(C73)&lt;4,"1",IF(MONTH(C73)&lt;7,"2",IF(MONTH(C73)&lt;10,"3","4")))</f>
        <v>3</v>
      </c>
      <c r="C73" s="139">
        <v>43709</v>
      </c>
      <c r="D73" s="492">
        <v>1115.8</v>
      </c>
      <c r="E73" s="493">
        <v>1664.5</v>
      </c>
      <c r="F73" s="494">
        <v>2780.3</v>
      </c>
      <c r="G73" s="212"/>
      <c r="H73" s="212"/>
      <c r="I73" s="212"/>
    </row>
    <row r="74" spans="1:9" ht="15" x14ac:dyDescent="0.25">
      <c r="A74" s="210">
        <f t="shared" si="2"/>
        <v>2019</v>
      </c>
      <c r="B74" s="211" t="str">
        <f t="shared" si="3"/>
        <v>4</v>
      </c>
      <c r="C74" s="139">
        <v>43800</v>
      </c>
      <c r="D74" s="495">
        <v>917.2</v>
      </c>
      <c r="E74" s="496">
        <v>1798</v>
      </c>
      <c r="F74" s="497">
        <v>2715.2</v>
      </c>
      <c r="G74" s="212"/>
      <c r="H74" s="212"/>
      <c r="I74" s="212"/>
    </row>
    <row r="75" spans="1:9" ht="15" x14ac:dyDescent="0.25">
      <c r="A75" s="210">
        <f t="shared" si="2"/>
        <v>2020</v>
      </c>
      <c r="B75" s="211" t="str">
        <f t="shared" si="3"/>
        <v>1</v>
      </c>
      <c r="C75" s="139">
        <v>43891</v>
      </c>
      <c r="D75" s="492">
        <v>805.7</v>
      </c>
      <c r="E75" s="493">
        <v>1447</v>
      </c>
      <c r="F75" s="494">
        <v>2252.6999999999998</v>
      </c>
      <c r="G75" s="212"/>
      <c r="H75" s="212"/>
      <c r="I75" s="212"/>
    </row>
    <row r="76" spans="1:9" ht="15" x14ac:dyDescent="0.25">
      <c r="A76" s="210">
        <f t="shared" si="2"/>
        <v>2020</v>
      </c>
      <c r="B76" s="211" t="str">
        <f t="shared" si="3"/>
        <v>2</v>
      </c>
      <c r="C76" s="139">
        <v>43983</v>
      </c>
      <c r="D76" s="495">
        <v>850.6</v>
      </c>
      <c r="E76" s="496">
        <v>1644.8</v>
      </c>
      <c r="F76" s="497">
        <v>2495.4</v>
      </c>
      <c r="G76" s="212"/>
      <c r="H76" s="212"/>
      <c r="I76" s="212"/>
    </row>
    <row r="77" spans="1:9" ht="15" x14ac:dyDescent="0.25">
      <c r="A77" s="210">
        <f t="shared" si="2"/>
        <v>2020</v>
      </c>
      <c r="B77" s="211" t="str">
        <f t="shared" si="3"/>
        <v>3</v>
      </c>
      <c r="C77" s="139">
        <v>44075</v>
      </c>
      <c r="D77" s="498">
        <v>1048.5</v>
      </c>
      <c r="E77" s="499">
        <v>1916.3</v>
      </c>
      <c r="F77" s="500">
        <v>2964.8</v>
      </c>
      <c r="G77" s="212"/>
      <c r="H77" s="212"/>
      <c r="I77" s="212"/>
    </row>
    <row r="78" spans="1:9" ht="15" x14ac:dyDescent="0.25">
      <c r="A78" s="210">
        <f t="shared" si="2"/>
        <v>2020</v>
      </c>
      <c r="B78" s="211" t="str">
        <f t="shared" si="3"/>
        <v>4</v>
      </c>
      <c r="C78" s="139">
        <v>44166</v>
      </c>
      <c r="D78" s="495">
        <v>1031.7</v>
      </c>
      <c r="E78" s="496">
        <v>1958.4</v>
      </c>
      <c r="F78" s="497">
        <v>2990.2</v>
      </c>
      <c r="G78" s="212"/>
      <c r="H78" s="212"/>
      <c r="I78" s="212"/>
    </row>
    <row r="79" spans="1:9" ht="15" x14ac:dyDescent="0.25">
      <c r="A79" s="210">
        <f t="shared" si="2"/>
        <v>2021</v>
      </c>
      <c r="B79" s="211" t="str">
        <f t="shared" si="3"/>
        <v>1</v>
      </c>
      <c r="C79" s="139">
        <v>44256</v>
      </c>
      <c r="D79" s="492">
        <v>878.4</v>
      </c>
      <c r="E79" s="492">
        <v>1915.4</v>
      </c>
      <c r="F79" s="501">
        <v>2793.8</v>
      </c>
      <c r="G79" s="212"/>
      <c r="H79" s="212"/>
      <c r="I79" s="212"/>
    </row>
    <row r="80" spans="1:9" ht="15" x14ac:dyDescent="0.25">
      <c r="A80" s="210">
        <f t="shared" si="2"/>
        <v>2021</v>
      </c>
      <c r="B80" s="211" t="str">
        <f t="shared" si="3"/>
        <v>2</v>
      </c>
      <c r="C80" s="139">
        <v>44348</v>
      </c>
      <c r="D80" s="495">
        <v>1107.4000000000001</v>
      </c>
      <c r="E80" s="495">
        <v>2536.5</v>
      </c>
      <c r="F80" s="502">
        <v>3644</v>
      </c>
      <c r="G80" s="212"/>
      <c r="H80" s="212"/>
      <c r="I80" s="212"/>
    </row>
    <row r="81" spans="1:9" ht="15" x14ac:dyDescent="0.25">
      <c r="A81" s="210">
        <f t="shared" si="2"/>
        <v>2021</v>
      </c>
      <c r="B81" s="211" t="str">
        <f t="shared" si="3"/>
        <v>3</v>
      </c>
      <c r="C81" s="139">
        <v>44440</v>
      </c>
      <c r="D81" s="492">
        <v>1160.3</v>
      </c>
      <c r="E81" s="492">
        <v>2462.3000000000002</v>
      </c>
      <c r="F81" s="501">
        <v>3622.6</v>
      </c>
      <c r="G81" s="212"/>
      <c r="H81" s="212"/>
      <c r="I81" s="212"/>
    </row>
    <row r="82" spans="1:9" ht="15" x14ac:dyDescent="0.25">
      <c r="A82" s="210">
        <f t="shared" si="2"/>
        <v>2021</v>
      </c>
      <c r="B82" s="211" t="str">
        <f t="shared" si="3"/>
        <v>4</v>
      </c>
      <c r="C82" s="139">
        <v>44531</v>
      </c>
      <c r="D82" s="495">
        <v>974.4</v>
      </c>
      <c r="E82" s="495">
        <v>2175.9</v>
      </c>
      <c r="F82" s="502">
        <v>3150.3</v>
      </c>
      <c r="G82" s="212"/>
      <c r="H82" s="212"/>
      <c r="I82" s="212"/>
    </row>
    <row r="83" spans="1:9" ht="15" x14ac:dyDescent="0.25">
      <c r="A83" s="210">
        <f t="shared" si="2"/>
        <v>2022</v>
      </c>
      <c r="B83" s="211" t="str">
        <f t="shared" si="3"/>
        <v>1</v>
      </c>
      <c r="C83" s="139">
        <v>44621</v>
      </c>
      <c r="D83" s="492">
        <v>830.2</v>
      </c>
      <c r="E83" s="492">
        <v>1824.6</v>
      </c>
      <c r="F83" s="501">
        <v>2654.8</v>
      </c>
      <c r="G83" s="212"/>
      <c r="H83" s="212"/>
      <c r="I83" s="212"/>
    </row>
    <row r="84" spans="1:9" ht="15" x14ac:dyDescent="0.25">
      <c r="A84" s="210">
        <f t="shared" si="2"/>
        <v>2022</v>
      </c>
      <c r="B84" s="211" t="str">
        <f t="shared" si="3"/>
        <v>2</v>
      </c>
      <c r="C84" s="139">
        <v>44713</v>
      </c>
      <c r="D84" s="495">
        <v>869.1</v>
      </c>
      <c r="E84" s="495">
        <v>2232.6999999999998</v>
      </c>
      <c r="F84" s="502">
        <v>3101.8</v>
      </c>
      <c r="G84" s="212"/>
      <c r="H84" s="212"/>
      <c r="I84" s="212"/>
    </row>
    <row r="85" spans="1:9" ht="15" x14ac:dyDescent="0.25">
      <c r="A85" s="210">
        <f t="shared" si="2"/>
        <v>2022</v>
      </c>
      <c r="B85" s="211" t="str">
        <f t="shared" si="3"/>
        <v>3</v>
      </c>
      <c r="C85" s="139">
        <v>44805</v>
      </c>
      <c r="D85" s="492">
        <v>943.3</v>
      </c>
      <c r="E85" s="492">
        <v>2133.6</v>
      </c>
      <c r="F85" s="501">
        <v>3076.9</v>
      </c>
      <c r="G85" s="212"/>
      <c r="H85" s="212"/>
      <c r="I85" s="212"/>
    </row>
    <row r="86" spans="1:9" ht="15" x14ac:dyDescent="0.25">
      <c r="A86" s="210">
        <f t="shared" si="2"/>
        <v>2022</v>
      </c>
      <c r="B86" s="211" t="str">
        <f t="shared" si="3"/>
        <v>4</v>
      </c>
      <c r="C86" s="139">
        <v>44896</v>
      </c>
      <c r="D86" s="495">
        <v>793.5</v>
      </c>
      <c r="E86" s="495">
        <v>2057.5</v>
      </c>
      <c r="F86" s="502">
        <v>2851</v>
      </c>
      <c r="G86" s="212"/>
      <c r="H86" s="212"/>
      <c r="I86" s="212"/>
    </row>
    <row r="87" spans="1:9" ht="15" x14ac:dyDescent="0.25">
      <c r="A87" s="210">
        <f t="shared" ref="A87:A150" si="4">YEAR(C89)</f>
        <v>2023</v>
      </c>
      <c r="B87" s="211" t="str">
        <f t="shared" ref="B87:B150" si="5">IF(MONTH(C89)&lt;4,"1",IF(MONTH(C89)&lt;7,"2",IF(MONTH(C89)&lt;10,"3","4")))</f>
        <v>3</v>
      </c>
      <c r="C87" s="139">
        <v>44986</v>
      </c>
      <c r="D87" s="492">
        <v>609.79999999999995</v>
      </c>
      <c r="E87" s="492">
        <v>1822.9</v>
      </c>
      <c r="F87" s="501">
        <v>2432.6999999999998</v>
      </c>
      <c r="G87" s="214"/>
      <c r="H87" s="214"/>
      <c r="I87" s="214"/>
    </row>
    <row r="88" spans="1:9" ht="15" x14ac:dyDescent="0.25">
      <c r="A88" s="210">
        <f t="shared" si="4"/>
        <v>2023</v>
      </c>
      <c r="B88" s="211" t="str">
        <f t="shared" si="5"/>
        <v>4</v>
      </c>
      <c r="C88" s="139">
        <v>45078</v>
      </c>
      <c r="D88" s="495">
        <v>818.5</v>
      </c>
      <c r="E88" s="495">
        <v>2116.1999999999998</v>
      </c>
      <c r="F88" s="502">
        <v>2934.7</v>
      </c>
      <c r="G88" s="214"/>
      <c r="H88" s="214"/>
      <c r="I88" s="214"/>
    </row>
    <row r="89" spans="1:9" ht="15" x14ac:dyDescent="0.25">
      <c r="A89" s="210">
        <f t="shared" si="4"/>
        <v>2024</v>
      </c>
      <c r="B89" s="211" t="str">
        <f t="shared" si="5"/>
        <v>1</v>
      </c>
      <c r="C89" s="139">
        <v>45170</v>
      </c>
      <c r="D89" s="492">
        <v>821.8</v>
      </c>
      <c r="E89" s="492">
        <v>1981.3</v>
      </c>
      <c r="F89" s="501">
        <v>2803.1</v>
      </c>
      <c r="G89" s="214"/>
      <c r="H89" s="214"/>
      <c r="I89" s="214"/>
    </row>
    <row r="90" spans="1:9" ht="15" x14ac:dyDescent="0.25">
      <c r="A90" s="210">
        <f t="shared" si="4"/>
        <v>2024</v>
      </c>
      <c r="B90" s="211" t="str">
        <f t="shared" si="5"/>
        <v>2</v>
      </c>
      <c r="C90" s="139">
        <v>45261</v>
      </c>
      <c r="D90" s="495">
        <v>745.3</v>
      </c>
      <c r="E90" s="495">
        <v>1903.5</v>
      </c>
      <c r="F90" s="502">
        <v>2648.8</v>
      </c>
      <c r="G90" s="214"/>
      <c r="H90" s="214"/>
      <c r="I90" s="214"/>
    </row>
    <row r="91" spans="1:9" ht="15" x14ac:dyDescent="0.25">
      <c r="A91" s="210">
        <f t="shared" si="4"/>
        <v>2024</v>
      </c>
      <c r="B91" s="211" t="str">
        <f t="shared" si="5"/>
        <v>3</v>
      </c>
      <c r="C91" s="139">
        <v>45352</v>
      </c>
      <c r="D91" s="492">
        <v>490.6</v>
      </c>
      <c r="E91" s="492">
        <v>1494.4</v>
      </c>
      <c r="F91" s="501">
        <v>1985</v>
      </c>
      <c r="G91" s="214"/>
      <c r="H91" s="214"/>
      <c r="I91" s="214"/>
    </row>
    <row r="92" spans="1:9" ht="15" x14ac:dyDescent="0.25">
      <c r="A92" s="210">
        <f t="shared" si="4"/>
        <v>2024</v>
      </c>
      <c r="B92" s="211" t="str">
        <f t="shared" si="5"/>
        <v>4</v>
      </c>
      <c r="C92" s="139">
        <v>45444</v>
      </c>
      <c r="D92" s="495">
        <v>656.1</v>
      </c>
      <c r="E92" s="495">
        <v>1956.8</v>
      </c>
      <c r="F92" s="502">
        <v>2612.9</v>
      </c>
      <c r="G92" s="214"/>
      <c r="H92" s="214"/>
      <c r="I92" s="214"/>
    </row>
    <row r="93" spans="1:9" ht="15" x14ac:dyDescent="0.25">
      <c r="A93" s="210">
        <f t="shared" si="4"/>
        <v>2025</v>
      </c>
      <c r="B93" s="211" t="str">
        <f t="shared" si="5"/>
        <v>1</v>
      </c>
      <c r="C93" s="139">
        <v>45536</v>
      </c>
      <c r="D93" s="492">
        <v>692.6</v>
      </c>
      <c r="E93" s="492">
        <v>1920.8</v>
      </c>
      <c r="F93" s="501">
        <v>2613.4</v>
      </c>
      <c r="G93" s="214"/>
      <c r="H93" s="214"/>
      <c r="I93" s="214"/>
    </row>
    <row r="94" spans="1:9" ht="15" x14ac:dyDescent="0.25">
      <c r="A94" s="210">
        <f t="shared" si="4"/>
        <v>2025</v>
      </c>
      <c r="B94" s="211" t="str">
        <f t="shared" si="5"/>
        <v>2</v>
      </c>
      <c r="C94" s="139">
        <v>45627</v>
      </c>
      <c r="D94" s="495">
        <v>611.6</v>
      </c>
      <c r="E94" s="495">
        <v>1747.8</v>
      </c>
      <c r="F94" s="502">
        <v>2359.4</v>
      </c>
      <c r="G94" s="214"/>
      <c r="H94" s="214"/>
      <c r="I94" s="214"/>
    </row>
    <row r="95" spans="1:9" ht="15" x14ac:dyDescent="0.25">
      <c r="A95" s="210">
        <f t="shared" si="4"/>
        <v>2025</v>
      </c>
      <c r="B95" s="211" t="str">
        <f t="shared" si="5"/>
        <v>3</v>
      </c>
      <c r="C95" s="139">
        <v>45717</v>
      </c>
      <c r="D95" s="492">
        <v>480.4</v>
      </c>
      <c r="E95" s="492">
        <v>1621.5</v>
      </c>
      <c r="F95" s="501">
        <v>2101.9</v>
      </c>
      <c r="G95" s="214"/>
      <c r="H95" s="214"/>
      <c r="I95" s="214"/>
    </row>
    <row r="96" spans="1:9" ht="15" x14ac:dyDescent="0.25">
      <c r="A96" s="210">
        <f t="shared" si="4"/>
        <v>2025</v>
      </c>
      <c r="B96" s="211" t="str">
        <f t="shared" si="5"/>
        <v>4</v>
      </c>
      <c r="C96" s="139">
        <v>45809</v>
      </c>
      <c r="D96" s="495">
        <v>597.79999999999995</v>
      </c>
      <c r="E96" s="495">
        <v>2280.1</v>
      </c>
      <c r="F96" s="502">
        <v>2877.9</v>
      </c>
      <c r="G96" s="215"/>
      <c r="H96" s="215"/>
      <c r="I96" s="215"/>
    </row>
    <row r="97" spans="1:9" ht="15" x14ac:dyDescent="0.25">
      <c r="A97" s="210">
        <f t="shared" si="4"/>
        <v>1900</v>
      </c>
      <c r="B97" s="211" t="str">
        <f t="shared" si="5"/>
        <v>1</v>
      </c>
      <c r="C97" s="139">
        <v>45901</v>
      </c>
      <c r="D97" s="492">
        <v>640.1</v>
      </c>
      <c r="E97" s="492">
        <v>2227.6</v>
      </c>
      <c r="F97" s="501">
        <v>2867.7</v>
      </c>
      <c r="G97" s="215"/>
      <c r="H97" s="215"/>
      <c r="I97" s="215"/>
    </row>
    <row r="98" spans="1:9" ht="15.75" thickBot="1" x14ac:dyDescent="0.3">
      <c r="A98" s="210">
        <f t="shared" si="4"/>
        <v>1900</v>
      </c>
      <c r="B98" s="211" t="str">
        <f t="shared" si="5"/>
        <v>1</v>
      </c>
      <c r="C98" s="161">
        <v>45992</v>
      </c>
      <c r="D98" s="503">
        <v>647.6</v>
      </c>
      <c r="E98" s="503">
        <v>2164.5</v>
      </c>
      <c r="F98" s="504">
        <v>2812.2</v>
      </c>
      <c r="G98" s="215"/>
      <c r="H98" s="215"/>
      <c r="I98" s="215"/>
    </row>
    <row r="99" spans="1:9" x14ac:dyDescent="0.2">
      <c r="A99" s="210">
        <f t="shared" si="4"/>
        <v>1900</v>
      </c>
      <c r="B99" s="211" t="str">
        <f t="shared" si="5"/>
        <v>1</v>
      </c>
      <c r="D99" s="215"/>
      <c r="E99" s="215"/>
      <c r="F99" s="215"/>
      <c r="G99" s="215"/>
      <c r="H99" s="215"/>
      <c r="I99" s="215"/>
    </row>
    <row r="100" spans="1:9" x14ac:dyDescent="0.2">
      <c r="A100" s="210">
        <f t="shared" si="4"/>
        <v>1900</v>
      </c>
      <c r="B100" s="211" t="str">
        <f t="shared" si="5"/>
        <v>1</v>
      </c>
      <c r="D100" s="215"/>
      <c r="E100" s="215"/>
      <c r="F100" s="215"/>
      <c r="G100" s="215"/>
      <c r="H100" s="215"/>
      <c r="I100" s="215"/>
    </row>
    <row r="101" spans="1:9" x14ac:dyDescent="0.2">
      <c r="A101" s="210">
        <f t="shared" si="4"/>
        <v>1900</v>
      </c>
      <c r="B101" s="211" t="str">
        <f t="shared" si="5"/>
        <v>1</v>
      </c>
      <c r="D101" s="215"/>
      <c r="E101" s="215"/>
      <c r="F101" s="215"/>
      <c r="G101" s="215"/>
      <c r="H101" s="215"/>
      <c r="I101" s="215"/>
    </row>
    <row r="102" spans="1:9" x14ac:dyDescent="0.2">
      <c r="A102" s="210">
        <f t="shared" si="4"/>
        <v>1900</v>
      </c>
      <c r="B102" s="211" t="str">
        <f t="shared" si="5"/>
        <v>1</v>
      </c>
      <c r="D102" s="215"/>
      <c r="E102" s="215"/>
      <c r="F102" s="215"/>
      <c r="G102" s="215"/>
      <c r="H102" s="215"/>
      <c r="I102" s="215"/>
    </row>
    <row r="103" spans="1:9" x14ac:dyDescent="0.2">
      <c r="A103" s="210">
        <f t="shared" si="4"/>
        <v>1900</v>
      </c>
      <c r="B103" s="211" t="str">
        <f t="shared" si="5"/>
        <v>1</v>
      </c>
      <c r="D103" s="215"/>
      <c r="E103" s="215"/>
      <c r="F103" s="215"/>
      <c r="G103" s="215"/>
      <c r="H103" s="215"/>
      <c r="I103" s="215"/>
    </row>
    <row r="104" spans="1:9" x14ac:dyDescent="0.2">
      <c r="A104" s="210">
        <f t="shared" si="4"/>
        <v>1900</v>
      </c>
      <c r="B104" s="211" t="str">
        <f t="shared" si="5"/>
        <v>1</v>
      </c>
      <c r="D104" s="215"/>
      <c r="E104" s="215"/>
      <c r="F104" s="215"/>
      <c r="G104" s="215"/>
      <c r="H104" s="215"/>
      <c r="I104" s="215"/>
    </row>
    <row r="105" spans="1:9" ht="15" x14ac:dyDescent="0.25">
      <c r="A105" s="210">
        <f t="shared" si="4"/>
        <v>1900</v>
      </c>
      <c r="B105" s="211" t="str">
        <f t="shared" si="5"/>
        <v>1</v>
      </c>
      <c r="G105" s="214"/>
      <c r="H105" s="214"/>
      <c r="I105" s="214"/>
    </row>
    <row r="106" spans="1:9" ht="15" x14ac:dyDescent="0.25">
      <c r="A106" s="210">
        <f t="shared" si="4"/>
        <v>1900</v>
      </c>
      <c r="B106" s="211" t="str">
        <f t="shared" si="5"/>
        <v>1</v>
      </c>
      <c r="G106" s="214"/>
      <c r="H106" s="214"/>
      <c r="I106" s="214"/>
    </row>
    <row r="107" spans="1:9" ht="15" x14ac:dyDescent="0.25">
      <c r="A107" s="210">
        <f t="shared" si="4"/>
        <v>1900</v>
      </c>
      <c r="B107" s="211" t="str">
        <f t="shared" si="5"/>
        <v>1</v>
      </c>
      <c r="G107" s="214"/>
      <c r="H107" s="214"/>
      <c r="I107" s="214"/>
    </row>
    <row r="108" spans="1:9" ht="15" x14ac:dyDescent="0.25">
      <c r="A108" s="210">
        <f t="shared" si="4"/>
        <v>1900</v>
      </c>
      <c r="B108" s="211" t="str">
        <f t="shared" si="5"/>
        <v>1</v>
      </c>
      <c r="G108" s="214"/>
      <c r="H108" s="214"/>
      <c r="I108" s="214"/>
    </row>
    <row r="109" spans="1:9" ht="15" x14ac:dyDescent="0.25">
      <c r="A109" s="210">
        <f t="shared" si="4"/>
        <v>1900</v>
      </c>
      <c r="B109" s="211" t="str">
        <f t="shared" si="5"/>
        <v>1</v>
      </c>
      <c r="G109" s="214"/>
      <c r="H109" s="214"/>
      <c r="I109" s="214"/>
    </row>
    <row r="110" spans="1:9" ht="15" x14ac:dyDescent="0.25">
      <c r="A110" s="210">
        <f t="shared" si="4"/>
        <v>1900</v>
      </c>
      <c r="B110" s="211" t="str">
        <f t="shared" si="5"/>
        <v>1</v>
      </c>
      <c r="G110" s="214"/>
      <c r="H110" s="214"/>
      <c r="I110" s="214"/>
    </row>
    <row r="111" spans="1:9" ht="15" x14ac:dyDescent="0.25">
      <c r="A111" s="210">
        <f t="shared" si="4"/>
        <v>1900</v>
      </c>
      <c r="B111" s="211" t="str">
        <f t="shared" si="5"/>
        <v>1</v>
      </c>
      <c r="G111" s="214"/>
      <c r="H111" s="214"/>
      <c r="I111" s="214"/>
    </row>
    <row r="112" spans="1:9" ht="15" x14ac:dyDescent="0.25">
      <c r="A112" s="210">
        <f t="shared" si="4"/>
        <v>1900</v>
      </c>
      <c r="B112" s="211" t="str">
        <f t="shared" si="5"/>
        <v>1</v>
      </c>
      <c r="G112" s="214"/>
      <c r="H112" s="214"/>
      <c r="I112" s="214"/>
    </row>
    <row r="113" spans="1:9" ht="15" x14ac:dyDescent="0.25">
      <c r="A113" s="210">
        <f t="shared" si="4"/>
        <v>1900</v>
      </c>
      <c r="B113" s="211" t="str">
        <f t="shared" si="5"/>
        <v>1</v>
      </c>
      <c r="G113" s="214"/>
      <c r="H113" s="214"/>
      <c r="I113" s="214"/>
    </row>
    <row r="114" spans="1:9" ht="15" x14ac:dyDescent="0.25">
      <c r="A114" s="210">
        <f t="shared" si="4"/>
        <v>1900</v>
      </c>
      <c r="B114" s="211" t="str">
        <f t="shared" si="5"/>
        <v>1</v>
      </c>
      <c r="G114" s="214"/>
      <c r="H114" s="214"/>
      <c r="I114" s="214"/>
    </row>
    <row r="115" spans="1:9" ht="15" x14ac:dyDescent="0.25">
      <c r="A115" s="210">
        <f t="shared" si="4"/>
        <v>1900</v>
      </c>
      <c r="B115" s="211" t="str">
        <f t="shared" si="5"/>
        <v>1</v>
      </c>
      <c r="G115" s="214"/>
      <c r="H115" s="214"/>
      <c r="I115" s="214"/>
    </row>
    <row r="116" spans="1:9" ht="15" x14ac:dyDescent="0.25">
      <c r="A116" s="210">
        <f t="shared" si="4"/>
        <v>1900</v>
      </c>
      <c r="B116" s="211" t="str">
        <f t="shared" si="5"/>
        <v>1</v>
      </c>
      <c r="G116" s="214"/>
      <c r="H116" s="214"/>
      <c r="I116" s="214"/>
    </row>
    <row r="117" spans="1:9" ht="15" x14ac:dyDescent="0.25">
      <c r="A117" s="210">
        <f t="shared" si="4"/>
        <v>1900</v>
      </c>
      <c r="B117" s="211" t="str">
        <f t="shared" si="5"/>
        <v>1</v>
      </c>
      <c r="G117" s="214"/>
      <c r="H117" s="214"/>
      <c r="I117" s="214"/>
    </row>
    <row r="118" spans="1:9" ht="15" x14ac:dyDescent="0.25">
      <c r="A118" s="210">
        <f t="shared" si="4"/>
        <v>1900</v>
      </c>
      <c r="B118" s="211" t="str">
        <f t="shared" si="5"/>
        <v>1</v>
      </c>
      <c r="G118" s="214"/>
      <c r="H118" s="214"/>
      <c r="I118" s="214"/>
    </row>
    <row r="119" spans="1:9" ht="15" x14ac:dyDescent="0.25">
      <c r="A119" s="210">
        <f t="shared" si="4"/>
        <v>1900</v>
      </c>
      <c r="B119" s="211" t="str">
        <f t="shared" si="5"/>
        <v>1</v>
      </c>
      <c r="G119" s="214"/>
      <c r="H119" s="214"/>
      <c r="I119" s="214"/>
    </row>
    <row r="120" spans="1:9" ht="15" x14ac:dyDescent="0.25">
      <c r="A120" s="210">
        <f t="shared" si="4"/>
        <v>1900</v>
      </c>
      <c r="B120" s="211" t="str">
        <f t="shared" si="5"/>
        <v>1</v>
      </c>
      <c r="G120" s="214"/>
      <c r="H120" s="214"/>
      <c r="I120" s="214"/>
    </row>
    <row r="121" spans="1:9" ht="15" x14ac:dyDescent="0.25">
      <c r="A121" s="210">
        <f t="shared" si="4"/>
        <v>1900</v>
      </c>
      <c r="B121" s="211" t="str">
        <f t="shared" si="5"/>
        <v>1</v>
      </c>
      <c r="G121" s="214"/>
      <c r="H121" s="214"/>
      <c r="I121" s="214"/>
    </row>
    <row r="122" spans="1:9" ht="15" x14ac:dyDescent="0.25">
      <c r="A122" s="210">
        <f t="shared" si="4"/>
        <v>1900</v>
      </c>
      <c r="B122" s="211" t="str">
        <f t="shared" si="5"/>
        <v>1</v>
      </c>
      <c r="G122" s="214"/>
      <c r="H122" s="214"/>
      <c r="I122" s="214"/>
    </row>
    <row r="123" spans="1:9" ht="15" x14ac:dyDescent="0.25">
      <c r="A123" s="210">
        <f t="shared" si="4"/>
        <v>1900</v>
      </c>
      <c r="B123" s="211" t="str">
        <f t="shared" si="5"/>
        <v>1</v>
      </c>
      <c r="G123" s="214"/>
      <c r="H123" s="214"/>
      <c r="I123" s="214"/>
    </row>
    <row r="124" spans="1:9" ht="15" x14ac:dyDescent="0.25">
      <c r="A124" s="210">
        <f t="shared" si="4"/>
        <v>1900</v>
      </c>
      <c r="B124" s="211" t="str">
        <f t="shared" si="5"/>
        <v>1</v>
      </c>
      <c r="G124" s="214"/>
      <c r="H124" s="214"/>
      <c r="I124" s="214"/>
    </row>
    <row r="125" spans="1:9" ht="15" x14ac:dyDescent="0.25">
      <c r="A125" s="210">
        <f t="shared" si="4"/>
        <v>1900</v>
      </c>
      <c r="B125" s="211" t="str">
        <f t="shared" si="5"/>
        <v>1</v>
      </c>
      <c r="G125" s="214"/>
      <c r="H125" s="214"/>
      <c r="I125" s="214"/>
    </row>
    <row r="126" spans="1:9" ht="15" x14ac:dyDescent="0.25">
      <c r="A126" s="210">
        <f t="shared" si="4"/>
        <v>1900</v>
      </c>
      <c r="B126" s="211" t="str">
        <f t="shared" si="5"/>
        <v>1</v>
      </c>
      <c r="G126" s="214"/>
      <c r="H126" s="214"/>
      <c r="I126" s="214"/>
    </row>
    <row r="127" spans="1:9" ht="15" x14ac:dyDescent="0.25">
      <c r="A127" s="210">
        <f t="shared" si="4"/>
        <v>1900</v>
      </c>
      <c r="B127" s="211" t="str">
        <f t="shared" si="5"/>
        <v>1</v>
      </c>
      <c r="G127" s="214"/>
      <c r="H127" s="214"/>
      <c r="I127" s="214"/>
    </row>
    <row r="128" spans="1:9" ht="15" x14ac:dyDescent="0.25">
      <c r="A128" s="210">
        <f t="shared" si="4"/>
        <v>1900</v>
      </c>
      <c r="B128" s="211" t="str">
        <f t="shared" si="5"/>
        <v>1</v>
      </c>
      <c r="G128" s="214"/>
      <c r="H128" s="214"/>
      <c r="I128" s="214"/>
    </row>
    <row r="129" spans="1:9" ht="15" x14ac:dyDescent="0.25">
      <c r="A129" s="210">
        <f t="shared" si="4"/>
        <v>1900</v>
      </c>
      <c r="B129" s="211" t="str">
        <f t="shared" si="5"/>
        <v>1</v>
      </c>
      <c r="G129" s="214"/>
      <c r="H129" s="214"/>
      <c r="I129" s="214"/>
    </row>
    <row r="130" spans="1:9" ht="15" x14ac:dyDescent="0.25">
      <c r="A130" s="210">
        <f t="shared" si="4"/>
        <v>1900</v>
      </c>
      <c r="B130" s="211" t="str">
        <f t="shared" si="5"/>
        <v>1</v>
      </c>
      <c r="G130" s="214"/>
      <c r="H130" s="214"/>
      <c r="I130" s="214"/>
    </row>
    <row r="131" spans="1:9" ht="15" x14ac:dyDescent="0.25">
      <c r="A131" s="210">
        <f t="shared" si="4"/>
        <v>1900</v>
      </c>
      <c r="B131" s="211" t="str">
        <f t="shared" si="5"/>
        <v>1</v>
      </c>
      <c r="G131" s="214"/>
      <c r="H131" s="214"/>
      <c r="I131" s="214"/>
    </row>
    <row r="132" spans="1:9" ht="15" x14ac:dyDescent="0.25">
      <c r="A132" s="210">
        <f t="shared" si="4"/>
        <v>1900</v>
      </c>
      <c r="B132" s="211" t="str">
        <f t="shared" si="5"/>
        <v>1</v>
      </c>
      <c r="G132" s="214"/>
      <c r="H132" s="214"/>
      <c r="I132" s="214"/>
    </row>
    <row r="133" spans="1:9" ht="15" x14ac:dyDescent="0.25">
      <c r="A133" s="210">
        <f t="shared" si="4"/>
        <v>1900</v>
      </c>
      <c r="B133" s="211" t="str">
        <f t="shared" si="5"/>
        <v>1</v>
      </c>
      <c r="G133" s="214"/>
      <c r="H133" s="214"/>
      <c r="I133" s="214"/>
    </row>
    <row r="134" spans="1:9" ht="15" x14ac:dyDescent="0.25">
      <c r="A134" s="210">
        <f t="shared" si="4"/>
        <v>1900</v>
      </c>
      <c r="B134" s="211" t="str">
        <f t="shared" si="5"/>
        <v>1</v>
      </c>
      <c r="G134" s="214"/>
      <c r="H134" s="214"/>
      <c r="I134" s="214"/>
    </row>
    <row r="135" spans="1:9" ht="15" x14ac:dyDescent="0.25">
      <c r="A135" s="210">
        <f t="shared" si="4"/>
        <v>1900</v>
      </c>
      <c r="B135" s="211" t="str">
        <f t="shared" si="5"/>
        <v>1</v>
      </c>
      <c r="G135" s="214"/>
      <c r="H135" s="214"/>
      <c r="I135" s="214"/>
    </row>
    <row r="136" spans="1:9" ht="15" x14ac:dyDescent="0.25">
      <c r="A136" s="210">
        <f t="shared" si="4"/>
        <v>1900</v>
      </c>
      <c r="B136" s="211" t="str">
        <f t="shared" si="5"/>
        <v>1</v>
      </c>
      <c r="G136" s="214"/>
      <c r="H136" s="214"/>
      <c r="I136" s="214"/>
    </row>
    <row r="137" spans="1:9" ht="15" x14ac:dyDescent="0.25">
      <c r="A137" s="210">
        <f t="shared" si="4"/>
        <v>1900</v>
      </c>
      <c r="B137" s="211" t="str">
        <f t="shared" si="5"/>
        <v>1</v>
      </c>
      <c r="G137" s="214"/>
      <c r="H137" s="214"/>
      <c r="I137" s="214"/>
    </row>
    <row r="138" spans="1:9" ht="15" x14ac:dyDescent="0.25">
      <c r="A138" s="210">
        <f t="shared" si="4"/>
        <v>1900</v>
      </c>
      <c r="B138" s="211" t="str">
        <f t="shared" si="5"/>
        <v>1</v>
      </c>
      <c r="G138" s="214"/>
      <c r="H138" s="214"/>
      <c r="I138" s="214"/>
    </row>
    <row r="139" spans="1:9" ht="15" x14ac:dyDescent="0.25">
      <c r="A139" s="210">
        <f t="shared" si="4"/>
        <v>1900</v>
      </c>
      <c r="B139" s="211" t="str">
        <f t="shared" si="5"/>
        <v>1</v>
      </c>
      <c r="G139" s="214"/>
      <c r="H139" s="214"/>
      <c r="I139" s="214"/>
    </row>
    <row r="140" spans="1:9" ht="15" x14ac:dyDescent="0.25">
      <c r="A140" s="210">
        <f t="shared" si="4"/>
        <v>1900</v>
      </c>
      <c r="B140" s="211" t="str">
        <f t="shared" si="5"/>
        <v>1</v>
      </c>
      <c r="G140" s="214"/>
      <c r="H140" s="214"/>
      <c r="I140" s="214"/>
    </row>
    <row r="141" spans="1:9" ht="15" x14ac:dyDescent="0.25">
      <c r="A141" s="210">
        <f t="shared" si="4"/>
        <v>1900</v>
      </c>
      <c r="B141" s="211" t="str">
        <f t="shared" si="5"/>
        <v>1</v>
      </c>
      <c r="G141" s="214"/>
      <c r="H141" s="214"/>
      <c r="I141" s="214"/>
    </row>
    <row r="142" spans="1:9" ht="15" x14ac:dyDescent="0.25">
      <c r="A142" s="210">
        <f t="shared" si="4"/>
        <v>1900</v>
      </c>
      <c r="B142" s="211" t="str">
        <f t="shared" si="5"/>
        <v>1</v>
      </c>
      <c r="G142" s="214"/>
      <c r="H142" s="214"/>
      <c r="I142" s="214"/>
    </row>
    <row r="143" spans="1:9" ht="15" x14ac:dyDescent="0.25">
      <c r="A143" s="210">
        <f t="shared" si="4"/>
        <v>1900</v>
      </c>
      <c r="B143" s="211" t="str">
        <f t="shared" si="5"/>
        <v>1</v>
      </c>
      <c r="G143" s="214"/>
      <c r="H143" s="214"/>
      <c r="I143" s="214"/>
    </row>
    <row r="144" spans="1:9" ht="15" x14ac:dyDescent="0.25">
      <c r="A144" s="210">
        <f t="shared" si="4"/>
        <v>1900</v>
      </c>
      <c r="B144" s="211" t="str">
        <f t="shared" si="5"/>
        <v>1</v>
      </c>
      <c r="G144" s="214"/>
      <c r="H144" s="214"/>
      <c r="I144" s="214"/>
    </row>
    <row r="145" spans="1:9" ht="15" x14ac:dyDescent="0.25">
      <c r="A145" s="210">
        <f t="shared" si="4"/>
        <v>1900</v>
      </c>
      <c r="B145" s="211" t="str">
        <f t="shared" si="5"/>
        <v>1</v>
      </c>
      <c r="G145" s="214"/>
      <c r="H145" s="214"/>
      <c r="I145" s="214"/>
    </row>
    <row r="146" spans="1:9" ht="15" x14ac:dyDescent="0.25">
      <c r="A146" s="210">
        <f t="shared" si="4"/>
        <v>1900</v>
      </c>
      <c r="B146" s="211" t="str">
        <f t="shared" si="5"/>
        <v>1</v>
      </c>
      <c r="G146" s="214"/>
      <c r="H146" s="214"/>
      <c r="I146" s="214"/>
    </row>
    <row r="147" spans="1:9" ht="15" x14ac:dyDescent="0.25">
      <c r="A147" s="210">
        <f t="shared" si="4"/>
        <v>1900</v>
      </c>
      <c r="B147" s="211" t="str">
        <f t="shared" si="5"/>
        <v>1</v>
      </c>
      <c r="G147" s="214"/>
      <c r="H147" s="214"/>
      <c r="I147" s="214"/>
    </row>
    <row r="148" spans="1:9" ht="15" x14ac:dyDescent="0.25">
      <c r="A148" s="210">
        <f t="shared" si="4"/>
        <v>1900</v>
      </c>
      <c r="B148" s="211" t="str">
        <f t="shared" si="5"/>
        <v>1</v>
      </c>
      <c r="G148" s="214"/>
      <c r="H148" s="214"/>
      <c r="I148" s="214"/>
    </row>
    <row r="149" spans="1:9" ht="15" x14ac:dyDescent="0.25">
      <c r="A149" s="210">
        <f t="shared" si="4"/>
        <v>1900</v>
      </c>
      <c r="B149" s="211" t="str">
        <f t="shared" si="5"/>
        <v>1</v>
      </c>
      <c r="G149" s="214"/>
      <c r="H149" s="214"/>
      <c r="I149" s="214"/>
    </row>
    <row r="150" spans="1:9" ht="15" x14ac:dyDescent="0.25">
      <c r="A150" s="210">
        <f t="shared" si="4"/>
        <v>1900</v>
      </c>
      <c r="B150" s="211" t="str">
        <f t="shared" si="5"/>
        <v>1</v>
      </c>
      <c r="G150" s="214"/>
      <c r="H150" s="214"/>
      <c r="I150" s="214"/>
    </row>
    <row r="236" spans="2:2" x14ac:dyDescent="0.2">
      <c r="B236" s="204">
        <v>63.54</v>
      </c>
    </row>
    <row r="237" spans="2:2" x14ac:dyDescent="0.2">
      <c r="B237" s="204">
        <v>63.86</v>
      </c>
    </row>
    <row r="238" spans="2:2" x14ac:dyDescent="0.2">
      <c r="B238" s="204">
        <v>63.7</v>
      </c>
    </row>
    <row r="239" spans="2:2" x14ac:dyDescent="0.2">
      <c r="B239" s="204">
        <v>64.67</v>
      </c>
    </row>
    <row r="240" spans="2:2" x14ac:dyDescent="0.2">
      <c r="B240" s="204">
        <v>65.03</v>
      </c>
    </row>
    <row r="241" spans="2:2" x14ac:dyDescent="0.2">
      <c r="B241" s="204">
        <v>64.67</v>
      </c>
    </row>
    <row r="242" spans="2:2" x14ac:dyDescent="0.2">
      <c r="B242" s="204">
        <v>65.260000000000005</v>
      </c>
    </row>
    <row r="243" spans="2:2" x14ac:dyDescent="0.2">
      <c r="B243" s="204">
        <v>66.599999999999994</v>
      </c>
    </row>
    <row r="244" spans="2:2" x14ac:dyDescent="0.2">
      <c r="B244" s="204">
        <v>66.28</v>
      </c>
    </row>
    <row r="245" spans="2:2" x14ac:dyDescent="0.2">
      <c r="B245" s="204">
        <v>65.11</v>
      </c>
    </row>
    <row r="246" spans="2:2" x14ac:dyDescent="0.2">
      <c r="B246" s="204">
        <v>64.040000000000006</v>
      </c>
    </row>
    <row r="247" spans="2:2" x14ac:dyDescent="0.2">
      <c r="B247" s="204">
        <v>64.569999999999993</v>
      </c>
    </row>
  </sheetData>
  <mergeCells count="2">
    <mergeCell ref="C7:F7"/>
    <mergeCell ref="M38:O38"/>
  </mergeCells>
  <pageMargins left="0.75" right="0.75" top="1" bottom="1" header="0.5" footer="0.5"/>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73BDC-2169-44F0-9F1D-B8EFEB5236CD}">
  <sheetPr codeName="Sheet12"/>
  <dimension ref="A1:R509"/>
  <sheetViews>
    <sheetView showGridLines="0" topLeftCell="B1" zoomScale="85" zoomScaleNormal="85" workbookViewId="0">
      <pane ySplit="8" topLeftCell="A9" activePane="bottomLeft" state="frozen"/>
      <selection activeCell="B1" sqref="B1"/>
      <selection pane="bottomLeft" activeCell="B1" sqref="B1"/>
    </sheetView>
  </sheetViews>
  <sheetFormatPr defaultColWidth="9.140625" defaultRowHeight="15" x14ac:dyDescent="0.25"/>
  <cols>
    <col min="1" max="1" width="9.140625" hidden="1" customWidth="1"/>
    <col min="2" max="2" width="12.7109375" customWidth="1"/>
    <col min="3" max="6" width="15.7109375" customWidth="1"/>
    <col min="7" max="7" width="8.7109375" customWidth="1"/>
    <col min="8" max="8" width="12.7109375" customWidth="1"/>
    <col min="9" max="12" width="15.7109375" customWidth="1"/>
    <col min="13" max="13" width="8.7109375" customWidth="1"/>
    <col min="14" max="14" width="12.7109375" customWidth="1"/>
    <col min="15" max="18" width="15.7109375" customWidth="1"/>
  </cols>
  <sheetData>
    <row r="1" spans="1:18" x14ac:dyDescent="0.25">
      <c r="G1" s="2"/>
      <c r="H1" s="216">
        <f>(LARGE(B9:B490,1))</f>
        <v>45992</v>
      </c>
      <c r="I1" s="217"/>
      <c r="J1" s="2"/>
      <c r="K1" s="2"/>
      <c r="L1" s="2"/>
    </row>
    <row r="2" spans="1:18" x14ac:dyDescent="0.25">
      <c r="G2" s="2"/>
      <c r="H2" s="218">
        <f>MATCH(H1,B9:B490,0)+8</f>
        <v>134</v>
      </c>
      <c r="I2" s="2"/>
      <c r="J2" s="2"/>
      <c r="K2" s="2"/>
      <c r="L2" s="2"/>
    </row>
    <row r="3" spans="1:18" x14ac:dyDescent="0.25">
      <c r="G3" s="2"/>
      <c r="H3" s="218" t="str">
        <f ca="1">IF(MONTH(INDIRECT(CONCATENATE("B",H2)))=12, "Calendar Year", "Financial year")</f>
        <v>Calendar Year</v>
      </c>
      <c r="I3" s="2"/>
      <c r="J3" s="2"/>
      <c r="K3" s="2"/>
      <c r="L3" s="2"/>
    </row>
    <row r="4" spans="1:18" x14ac:dyDescent="0.25">
      <c r="G4" s="2"/>
      <c r="H4" s="219"/>
      <c r="I4" s="2"/>
      <c r="J4" s="2"/>
      <c r="K4" s="2"/>
      <c r="L4" s="2"/>
    </row>
    <row r="5" spans="1:18" x14ac:dyDescent="0.25">
      <c r="A5" s="11"/>
      <c r="C5" s="11"/>
      <c r="D5" s="11"/>
      <c r="E5" s="11"/>
      <c r="F5" s="11"/>
      <c r="G5" s="220"/>
      <c r="H5" s="220"/>
      <c r="I5" s="220"/>
      <c r="J5" s="220"/>
      <c r="K5" s="220"/>
      <c r="L5" s="220"/>
      <c r="M5" s="11"/>
      <c r="N5" s="11"/>
      <c r="O5" s="11"/>
      <c r="P5" s="11"/>
      <c r="Q5" s="11"/>
      <c r="R5" s="11"/>
    </row>
    <row r="6" spans="1:18" x14ac:dyDescent="0.25">
      <c r="A6" s="11"/>
      <c r="C6" s="11"/>
      <c r="D6" s="11"/>
      <c r="E6" s="11"/>
      <c r="F6" s="11"/>
      <c r="G6" s="220"/>
      <c r="H6" s="220"/>
      <c r="I6" s="220"/>
      <c r="J6" s="220"/>
      <c r="K6" s="220"/>
      <c r="L6" s="220"/>
      <c r="M6" s="11"/>
      <c r="N6" s="11"/>
      <c r="O6" s="11"/>
      <c r="P6" s="11"/>
      <c r="Q6" s="11"/>
      <c r="R6" s="11"/>
    </row>
    <row r="7" spans="1:18" ht="15.75" thickBot="1" x14ac:dyDescent="0.3">
      <c r="B7" s="585" t="s">
        <v>10</v>
      </c>
      <c r="C7" s="585"/>
      <c r="D7" s="585"/>
      <c r="E7" s="585"/>
      <c r="F7" s="585"/>
      <c r="H7" s="585" t="s">
        <v>92</v>
      </c>
      <c r="I7" s="585"/>
      <c r="J7" s="585"/>
      <c r="K7" s="585"/>
      <c r="L7" s="585"/>
      <c r="M7" s="132"/>
      <c r="N7" s="585" t="s">
        <v>54</v>
      </c>
      <c r="O7" s="588"/>
      <c r="P7" s="585"/>
      <c r="Q7" s="585"/>
      <c r="R7" s="585"/>
    </row>
    <row r="8" spans="1:18" ht="60" customHeight="1" x14ac:dyDescent="0.25">
      <c r="B8" s="133" t="s">
        <v>93</v>
      </c>
      <c r="C8" s="171" t="s">
        <v>565</v>
      </c>
      <c r="D8" s="134" t="s">
        <v>568</v>
      </c>
      <c r="E8" s="134" t="s">
        <v>57</v>
      </c>
      <c r="F8" s="136" t="s">
        <v>79</v>
      </c>
      <c r="G8" s="12"/>
      <c r="H8" s="137" t="s">
        <v>55</v>
      </c>
      <c r="I8" s="134" t="s">
        <v>565</v>
      </c>
      <c r="J8" s="134" t="s">
        <v>568</v>
      </c>
      <c r="K8" s="134" t="s">
        <v>57</v>
      </c>
      <c r="L8" s="136" t="s">
        <v>79</v>
      </c>
      <c r="M8" s="138"/>
      <c r="N8" s="137" t="s">
        <v>55</v>
      </c>
      <c r="O8" s="134" t="s">
        <v>565</v>
      </c>
      <c r="P8" s="134" t="s">
        <v>568</v>
      </c>
      <c r="Q8" s="134" t="s">
        <v>57</v>
      </c>
      <c r="R8" s="136" t="s">
        <v>79</v>
      </c>
    </row>
    <row r="9" spans="1:18" x14ac:dyDescent="0.25">
      <c r="A9">
        <f t="shared" ref="A9:A72" si="0">YEAR(B9)</f>
        <v>1994</v>
      </c>
      <c r="B9" s="139">
        <v>34578</v>
      </c>
      <c r="C9" s="474">
        <v>99.1</v>
      </c>
      <c r="D9" s="479">
        <f t="shared" ref="D9:D72" si="1">E9-C9</f>
        <v>81.400000000000006</v>
      </c>
      <c r="E9" s="474">
        <v>180.5</v>
      </c>
      <c r="F9" s="140">
        <f t="shared" ref="F9:F72" si="2">C9/E9</f>
        <v>0.54903047091412738</v>
      </c>
      <c r="H9" s="149">
        <f t="shared" ref="H9:H16" si="3">H10-1</f>
        <v>2016</v>
      </c>
      <c r="I9" s="476">
        <f t="shared" ref="I9:I17" si="4">SUMIF($A$9:$A$509,$H9,C$9:C$511)</f>
        <v>995.99999999999989</v>
      </c>
      <c r="J9" s="481">
        <f t="shared" ref="J9:J18" si="5">K9-I9</f>
        <v>405.70000000000016</v>
      </c>
      <c r="K9" s="476">
        <f t="shared" ref="K9:K18" si="6">SUMIF($A$9:$A$509,$H9,E$9:E$511)</f>
        <v>1401.7</v>
      </c>
      <c r="L9" s="221">
        <f t="shared" ref="L9:L18" si="7">I9/K9</f>
        <v>0.71056574159948627</v>
      </c>
      <c r="M9" s="106"/>
      <c r="N9" s="149" t="str">
        <f t="shared" ref="N9:N16" si="8">LEFT(N10,4)-1 &amp; "-" &amp; RIGHT(N10,2)-1</f>
        <v>2015-16</v>
      </c>
      <c r="O9" s="476">
        <f t="shared" ref="O9:O18" si="9">SUMIFS(C:C, $B:$B, "&gt;=" &amp; DATE(LEFT($N9, 4), 7, 1), $B:$B, "&lt;" &amp; DATE(LEFT($N9, 4)+1, 7, 1))</f>
        <v>1297.4000000000001</v>
      </c>
      <c r="P9" s="481">
        <f t="shared" ref="P9:P18" si="10">Q9-O9</f>
        <v>478.80000000000018</v>
      </c>
      <c r="Q9" s="476">
        <f t="shared" ref="Q9:Q18" si="11">SUMIFS(E:E, $B:$B, "&gt;=" &amp; DATE(LEFT($N9, 4), 7, 1), $B:$B, "&lt;" &amp; DATE(LEFT($N9, 4)+1, 7, 1))</f>
        <v>1776.2000000000003</v>
      </c>
      <c r="R9" s="221">
        <f t="shared" ref="R9:R17" si="12">O9/Q9</f>
        <v>0.73043576173854285</v>
      </c>
    </row>
    <row r="10" spans="1:18" x14ac:dyDescent="0.25">
      <c r="A10">
        <f t="shared" si="0"/>
        <v>1994</v>
      </c>
      <c r="B10" s="139">
        <v>34669</v>
      </c>
      <c r="C10" s="475">
        <v>91</v>
      </c>
      <c r="D10" s="480">
        <f t="shared" si="1"/>
        <v>86.4</v>
      </c>
      <c r="E10" s="475">
        <v>177.4</v>
      </c>
      <c r="F10" s="148">
        <f t="shared" si="2"/>
        <v>0.51296505073280718</v>
      </c>
      <c r="H10" s="149">
        <f t="shared" si="3"/>
        <v>2017</v>
      </c>
      <c r="I10" s="507">
        <f t="shared" si="4"/>
        <v>492.5</v>
      </c>
      <c r="J10" s="508">
        <f t="shared" si="5"/>
        <v>721.7</v>
      </c>
      <c r="K10" s="507">
        <f t="shared" si="6"/>
        <v>1214.2</v>
      </c>
      <c r="L10" s="222">
        <f t="shared" si="7"/>
        <v>0.40561686707296984</v>
      </c>
      <c r="M10" s="106"/>
      <c r="N10" s="149" t="str">
        <f t="shared" si="8"/>
        <v>2016-17</v>
      </c>
      <c r="O10" s="507">
        <f t="shared" si="9"/>
        <v>651.5</v>
      </c>
      <c r="P10" s="508">
        <f t="shared" si="10"/>
        <v>724.5</v>
      </c>
      <c r="Q10" s="507">
        <f t="shared" si="11"/>
        <v>1376</v>
      </c>
      <c r="R10" s="222">
        <f t="shared" si="12"/>
        <v>0.47347383720930231</v>
      </c>
    </row>
    <row r="11" spans="1:18" x14ac:dyDescent="0.25">
      <c r="A11">
        <f t="shared" si="0"/>
        <v>1995</v>
      </c>
      <c r="B11" s="139">
        <v>34759</v>
      </c>
      <c r="C11" s="474">
        <v>65.599999999999994</v>
      </c>
      <c r="D11" s="479">
        <f t="shared" si="1"/>
        <v>53.800000000000011</v>
      </c>
      <c r="E11" s="474">
        <v>119.4</v>
      </c>
      <c r="F11" s="140">
        <f t="shared" si="2"/>
        <v>0.54941373534338356</v>
      </c>
      <c r="H11" s="149">
        <f t="shared" si="3"/>
        <v>2018</v>
      </c>
      <c r="I11" s="476">
        <f t="shared" si="4"/>
        <v>672.30000000000007</v>
      </c>
      <c r="J11" s="481">
        <f t="shared" si="5"/>
        <v>487.39999999999975</v>
      </c>
      <c r="K11" s="476">
        <f t="shared" si="6"/>
        <v>1159.6999999999998</v>
      </c>
      <c r="L11" s="221">
        <f t="shared" si="7"/>
        <v>0.57971889281710798</v>
      </c>
      <c r="M11" s="106"/>
      <c r="N11" s="149" t="str">
        <f t="shared" si="8"/>
        <v>2017-18</v>
      </c>
      <c r="O11" s="476">
        <f t="shared" si="9"/>
        <v>562.29999999999995</v>
      </c>
      <c r="P11" s="481">
        <f t="shared" si="10"/>
        <v>465.70000000000005</v>
      </c>
      <c r="Q11" s="476">
        <f t="shared" si="11"/>
        <v>1028</v>
      </c>
      <c r="R11" s="221">
        <f t="shared" si="12"/>
        <v>0.54698443579766531</v>
      </c>
    </row>
    <row r="12" spans="1:18" x14ac:dyDescent="0.25">
      <c r="A12">
        <f t="shared" si="0"/>
        <v>1995</v>
      </c>
      <c r="B12" s="139">
        <v>34851</v>
      </c>
      <c r="C12" s="475">
        <v>89.2</v>
      </c>
      <c r="D12" s="480">
        <f t="shared" si="1"/>
        <v>106.2</v>
      </c>
      <c r="E12" s="475">
        <v>195.4</v>
      </c>
      <c r="F12" s="148">
        <f t="shared" si="2"/>
        <v>0.45649948822927328</v>
      </c>
      <c r="H12" s="149">
        <f t="shared" si="3"/>
        <v>2019</v>
      </c>
      <c r="I12" s="507">
        <f t="shared" si="4"/>
        <v>749.30000000000007</v>
      </c>
      <c r="J12" s="508">
        <f t="shared" si="5"/>
        <v>635.4</v>
      </c>
      <c r="K12" s="507">
        <f t="shared" si="6"/>
        <v>1384.7</v>
      </c>
      <c r="L12" s="222">
        <f t="shared" si="7"/>
        <v>0.54112804217520039</v>
      </c>
      <c r="M12" s="106"/>
      <c r="N12" s="149" t="str">
        <f t="shared" si="8"/>
        <v>2018-19</v>
      </c>
      <c r="O12" s="507">
        <f t="shared" si="9"/>
        <v>734.3</v>
      </c>
      <c r="P12" s="508">
        <f t="shared" si="10"/>
        <v>526.20000000000005</v>
      </c>
      <c r="Q12" s="507">
        <f t="shared" si="11"/>
        <v>1260.5</v>
      </c>
      <c r="R12" s="222">
        <f t="shared" si="12"/>
        <v>0.58254660848869488</v>
      </c>
    </row>
    <row r="13" spans="1:18" x14ac:dyDescent="0.25">
      <c r="A13">
        <f t="shared" si="0"/>
        <v>1995</v>
      </c>
      <c r="B13" s="139">
        <v>34943</v>
      </c>
      <c r="C13" s="474">
        <v>88.5</v>
      </c>
      <c r="D13" s="479">
        <f t="shared" si="1"/>
        <v>104.6</v>
      </c>
      <c r="E13" s="474">
        <v>193.1</v>
      </c>
      <c r="F13" s="140">
        <f t="shared" si="2"/>
        <v>0.45831175556706372</v>
      </c>
      <c r="H13" s="149">
        <f t="shared" si="3"/>
        <v>2020</v>
      </c>
      <c r="I13" s="476">
        <f t="shared" si="4"/>
        <v>416.70000000000005</v>
      </c>
      <c r="J13" s="481">
        <f t="shared" si="5"/>
        <v>577.99999999999989</v>
      </c>
      <c r="K13" s="476">
        <f t="shared" si="6"/>
        <v>994.69999999999993</v>
      </c>
      <c r="L13" s="221">
        <f t="shared" si="7"/>
        <v>0.41892027747059424</v>
      </c>
      <c r="M13" s="106"/>
      <c r="N13" s="149" t="str">
        <f t="shared" si="8"/>
        <v>2019-20</v>
      </c>
      <c r="O13" s="476">
        <f t="shared" si="9"/>
        <v>595.5</v>
      </c>
      <c r="P13" s="481">
        <f t="shared" si="10"/>
        <v>667.30000000000018</v>
      </c>
      <c r="Q13" s="476">
        <f t="shared" si="11"/>
        <v>1262.8000000000002</v>
      </c>
      <c r="R13" s="221">
        <f t="shared" si="12"/>
        <v>0.47157111181501421</v>
      </c>
    </row>
    <row r="14" spans="1:18" x14ac:dyDescent="0.25">
      <c r="A14">
        <f t="shared" si="0"/>
        <v>1995</v>
      </c>
      <c r="B14" s="139">
        <v>35034</v>
      </c>
      <c r="C14" s="475">
        <v>75.7</v>
      </c>
      <c r="D14" s="480">
        <f t="shared" si="1"/>
        <v>115.89999999999999</v>
      </c>
      <c r="E14" s="475">
        <v>191.6</v>
      </c>
      <c r="F14" s="148">
        <f t="shared" si="2"/>
        <v>0.39509394572025053</v>
      </c>
      <c r="H14" s="149">
        <f t="shared" si="3"/>
        <v>2021</v>
      </c>
      <c r="I14" s="507">
        <f t="shared" si="4"/>
        <v>488.8</v>
      </c>
      <c r="J14" s="508">
        <f t="shared" si="5"/>
        <v>642.29999999999995</v>
      </c>
      <c r="K14" s="507">
        <f t="shared" si="6"/>
        <v>1131.0999999999999</v>
      </c>
      <c r="L14" s="222">
        <f t="shared" si="7"/>
        <v>0.43214569887719922</v>
      </c>
      <c r="M14" s="106"/>
      <c r="N14" s="149" t="str">
        <f t="shared" si="8"/>
        <v>2020-21</v>
      </c>
      <c r="O14" s="507">
        <f t="shared" si="9"/>
        <v>441.90000000000003</v>
      </c>
      <c r="P14" s="508">
        <f t="shared" si="10"/>
        <v>557.70000000000005</v>
      </c>
      <c r="Q14" s="507">
        <f t="shared" si="11"/>
        <v>999.6</v>
      </c>
      <c r="R14" s="222">
        <f t="shared" si="12"/>
        <v>0.44207683073229292</v>
      </c>
    </row>
    <row r="15" spans="1:18" x14ac:dyDescent="0.25">
      <c r="A15">
        <f t="shared" si="0"/>
        <v>1996</v>
      </c>
      <c r="B15" s="139">
        <v>35125</v>
      </c>
      <c r="C15" s="474">
        <v>74.599999999999994</v>
      </c>
      <c r="D15" s="479">
        <f t="shared" si="1"/>
        <v>64.400000000000006</v>
      </c>
      <c r="E15" s="474">
        <v>139</v>
      </c>
      <c r="F15" s="140">
        <f t="shared" si="2"/>
        <v>0.53669064748201434</v>
      </c>
      <c r="H15" s="149">
        <f t="shared" si="3"/>
        <v>2022</v>
      </c>
      <c r="I15" s="476">
        <f t="shared" si="4"/>
        <v>445.4</v>
      </c>
      <c r="J15" s="481">
        <f t="shared" si="5"/>
        <v>525.40000000000009</v>
      </c>
      <c r="K15" s="476">
        <f t="shared" si="6"/>
        <v>970.80000000000007</v>
      </c>
      <c r="L15" s="221">
        <f t="shared" si="7"/>
        <v>0.45879686856201068</v>
      </c>
      <c r="M15" s="106"/>
      <c r="N15" s="149" t="str">
        <f t="shared" si="8"/>
        <v>2021-22</v>
      </c>
      <c r="O15" s="476">
        <f t="shared" si="9"/>
        <v>567</v>
      </c>
      <c r="P15" s="481">
        <f t="shared" si="10"/>
        <v>581</v>
      </c>
      <c r="Q15" s="476">
        <f t="shared" si="11"/>
        <v>1148</v>
      </c>
      <c r="R15" s="221">
        <f t="shared" si="12"/>
        <v>0.49390243902439024</v>
      </c>
    </row>
    <row r="16" spans="1:18" x14ac:dyDescent="0.25">
      <c r="A16">
        <f t="shared" si="0"/>
        <v>1996</v>
      </c>
      <c r="B16" s="139">
        <v>35217</v>
      </c>
      <c r="C16" s="475">
        <v>80.3</v>
      </c>
      <c r="D16" s="480">
        <f t="shared" si="1"/>
        <v>84.600000000000009</v>
      </c>
      <c r="E16" s="475">
        <v>164.9</v>
      </c>
      <c r="F16" s="148">
        <f t="shared" si="2"/>
        <v>0.48696179502728926</v>
      </c>
      <c r="H16" s="149">
        <f t="shared" si="3"/>
        <v>2023</v>
      </c>
      <c r="I16" s="507">
        <f t="shared" si="4"/>
        <v>481.40000000000003</v>
      </c>
      <c r="J16" s="508">
        <f t="shared" si="5"/>
        <v>579.5</v>
      </c>
      <c r="K16" s="507">
        <f t="shared" si="6"/>
        <v>1060.9000000000001</v>
      </c>
      <c r="L16" s="222">
        <f t="shared" si="7"/>
        <v>0.45376567065698936</v>
      </c>
      <c r="M16" s="106"/>
      <c r="N16" s="149" t="str">
        <f t="shared" si="8"/>
        <v>2022-23</v>
      </c>
      <c r="O16" s="507">
        <f t="shared" si="9"/>
        <v>354.29999999999995</v>
      </c>
      <c r="P16" s="508">
        <f t="shared" si="10"/>
        <v>554.6</v>
      </c>
      <c r="Q16" s="507">
        <f t="shared" si="11"/>
        <v>908.9</v>
      </c>
      <c r="R16" s="222">
        <f t="shared" si="12"/>
        <v>0.38981186049070299</v>
      </c>
    </row>
    <row r="17" spans="1:18" x14ac:dyDescent="0.25">
      <c r="A17">
        <f t="shared" si="0"/>
        <v>1996</v>
      </c>
      <c r="B17" s="139">
        <v>35309</v>
      </c>
      <c r="C17" s="474">
        <v>130.69999999999999</v>
      </c>
      <c r="D17" s="479">
        <f t="shared" si="1"/>
        <v>72.100000000000023</v>
      </c>
      <c r="E17" s="474">
        <v>202.8</v>
      </c>
      <c r="F17" s="140">
        <f t="shared" si="2"/>
        <v>0.64447731755424054</v>
      </c>
      <c r="H17" s="149">
        <f>H18-1</f>
        <v>2024</v>
      </c>
      <c r="I17" s="476">
        <f t="shared" si="4"/>
        <v>484</v>
      </c>
      <c r="J17" s="481">
        <f t="shared" si="5"/>
        <v>931.8</v>
      </c>
      <c r="K17" s="476">
        <f t="shared" si="6"/>
        <v>1415.8</v>
      </c>
      <c r="L17" s="221">
        <f t="shared" si="7"/>
        <v>0.34185619437773695</v>
      </c>
      <c r="M17" s="106"/>
      <c r="N17" s="149" t="str">
        <f>LEFT(N18,4)-1 &amp; "-" &amp; RIGHT(N18,2)-1</f>
        <v>2023-24</v>
      </c>
      <c r="O17" s="476">
        <f t="shared" si="9"/>
        <v>568.70000000000005</v>
      </c>
      <c r="P17" s="481">
        <f t="shared" si="10"/>
        <v>696.89999999999986</v>
      </c>
      <c r="Q17" s="476">
        <f t="shared" si="11"/>
        <v>1265.5999999999999</v>
      </c>
      <c r="R17" s="221">
        <f t="shared" si="12"/>
        <v>0.44935208596713028</v>
      </c>
    </row>
    <row r="18" spans="1:18" ht="15.75" thickBot="1" x14ac:dyDescent="0.3">
      <c r="A18">
        <f t="shared" si="0"/>
        <v>1996</v>
      </c>
      <c r="B18" s="139">
        <v>35400</v>
      </c>
      <c r="C18" s="475">
        <v>132.6</v>
      </c>
      <c r="D18" s="480">
        <f t="shared" si="1"/>
        <v>108.6</v>
      </c>
      <c r="E18" s="475">
        <v>241.2</v>
      </c>
      <c r="F18" s="148">
        <f t="shared" si="2"/>
        <v>0.54975124378109452</v>
      </c>
      <c r="H18" s="155">
        <f>YEAR(LARGE(B:B, 4))</f>
        <v>2025</v>
      </c>
      <c r="I18" s="509">
        <f>SUMIF($A$9:$A$509,$H18,C$9:C$511)</f>
        <v>364.8</v>
      </c>
      <c r="J18" s="510">
        <f t="shared" si="5"/>
        <v>1242.8</v>
      </c>
      <c r="K18" s="509">
        <f t="shared" si="6"/>
        <v>1607.6</v>
      </c>
      <c r="L18" s="223">
        <f t="shared" si="7"/>
        <v>0.22692211993033096</v>
      </c>
      <c r="M18" s="106"/>
      <c r="N18" s="155" t="str">
        <f>IF(MONTH(LARGE(B:B,4))&gt;=7, YEAR(LARGE(B:B,4)) &amp; "-" &amp; RIGHT(YEAR(LARGE(B:B,4))+1, 2),
                                                               YEAR(LARGE(B:B,4))-1 &amp; "-" &amp; RIGHT(YEAR(LARGE(B:B,4)), 2)
)</f>
        <v>2024-25</v>
      </c>
      <c r="O18" s="509">
        <f t="shared" si="9"/>
        <v>352.70000000000005</v>
      </c>
      <c r="P18" s="510">
        <f t="shared" si="10"/>
        <v>1013</v>
      </c>
      <c r="Q18" s="509">
        <f t="shared" si="11"/>
        <v>1365.7</v>
      </c>
      <c r="R18" s="223">
        <f>O18/Q18</f>
        <v>0.25825583949622904</v>
      </c>
    </row>
    <row r="19" spans="1:18" x14ac:dyDescent="0.25">
      <c r="A19">
        <f t="shared" si="0"/>
        <v>1997</v>
      </c>
      <c r="B19" s="139">
        <v>35490</v>
      </c>
      <c r="C19" s="474">
        <v>78.599999999999994</v>
      </c>
      <c r="D19" s="479">
        <f t="shared" si="1"/>
        <v>83.6</v>
      </c>
      <c r="E19" s="474">
        <v>162.19999999999999</v>
      </c>
      <c r="F19" s="140">
        <f t="shared" si="2"/>
        <v>0.48458692971639949</v>
      </c>
    </row>
    <row r="20" spans="1:18" x14ac:dyDescent="0.25">
      <c r="A20">
        <f t="shared" si="0"/>
        <v>1997</v>
      </c>
      <c r="B20" s="139">
        <v>35582</v>
      </c>
      <c r="C20" s="475">
        <v>97.2</v>
      </c>
      <c r="D20" s="480">
        <f t="shared" si="1"/>
        <v>105.2</v>
      </c>
      <c r="E20" s="475">
        <v>202.4</v>
      </c>
      <c r="F20" s="148">
        <f t="shared" si="2"/>
        <v>0.48023715415019763</v>
      </c>
    </row>
    <row r="21" spans="1:18" x14ac:dyDescent="0.25">
      <c r="A21">
        <f t="shared" si="0"/>
        <v>1997</v>
      </c>
      <c r="B21" s="139">
        <v>35674</v>
      </c>
      <c r="C21" s="474">
        <v>46.8</v>
      </c>
      <c r="D21" s="479">
        <f t="shared" si="1"/>
        <v>77.400000000000006</v>
      </c>
      <c r="E21" s="474">
        <v>124.2</v>
      </c>
      <c r="F21" s="140">
        <f t="shared" si="2"/>
        <v>0.3768115942028985</v>
      </c>
    </row>
    <row r="22" spans="1:18" x14ac:dyDescent="0.25">
      <c r="A22">
        <f t="shared" si="0"/>
        <v>1997</v>
      </c>
      <c r="B22" s="139">
        <v>35765</v>
      </c>
      <c r="C22" s="475">
        <v>106.9</v>
      </c>
      <c r="D22" s="480">
        <f t="shared" si="1"/>
        <v>108.79999999999998</v>
      </c>
      <c r="E22" s="475">
        <v>215.7</v>
      </c>
      <c r="F22" s="148">
        <f t="shared" si="2"/>
        <v>0.49559573481687536</v>
      </c>
    </row>
    <row r="23" spans="1:18" x14ac:dyDescent="0.25">
      <c r="A23">
        <f t="shared" si="0"/>
        <v>1998</v>
      </c>
      <c r="B23" s="139">
        <v>35855</v>
      </c>
      <c r="C23" s="474">
        <v>165</v>
      </c>
      <c r="D23" s="479">
        <f t="shared" si="1"/>
        <v>91</v>
      </c>
      <c r="E23" s="474">
        <v>256</v>
      </c>
      <c r="F23" s="140">
        <f t="shared" si="2"/>
        <v>0.64453125</v>
      </c>
    </row>
    <row r="24" spans="1:18" x14ac:dyDescent="0.25">
      <c r="A24">
        <f t="shared" si="0"/>
        <v>1998</v>
      </c>
      <c r="B24" s="139">
        <v>35947</v>
      </c>
      <c r="C24" s="475">
        <v>145.19999999999999</v>
      </c>
      <c r="D24" s="480">
        <f t="shared" si="1"/>
        <v>177.10000000000002</v>
      </c>
      <c r="E24" s="475">
        <v>322.3</v>
      </c>
      <c r="F24" s="148">
        <f t="shared" si="2"/>
        <v>0.4505119453924914</v>
      </c>
    </row>
    <row r="25" spans="1:18" x14ac:dyDescent="0.25">
      <c r="A25">
        <f t="shared" si="0"/>
        <v>1998</v>
      </c>
      <c r="B25" s="139">
        <v>36039</v>
      </c>
      <c r="C25" s="474">
        <v>90.8</v>
      </c>
      <c r="D25" s="479">
        <f t="shared" si="1"/>
        <v>94.899999999999991</v>
      </c>
      <c r="E25" s="474">
        <v>185.7</v>
      </c>
      <c r="F25" s="140">
        <f t="shared" si="2"/>
        <v>0.48896068928379105</v>
      </c>
    </row>
    <row r="26" spans="1:18" x14ac:dyDescent="0.25">
      <c r="A26">
        <f t="shared" si="0"/>
        <v>1998</v>
      </c>
      <c r="B26" s="139">
        <v>36130</v>
      </c>
      <c r="C26" s="475">
        <v>148.5</v>
      </c>
      <c r="D26" s="480">
        <f t="shared" si="1"/>
        <v>100.30000000000001</v>
      </c>
      <c r="E26" s="475">
        <v>248.8</v>
      </c>
      <c r="F26" s="148">
        <f t="shared" si="2"/>
        <v>0.59686495176848875</v>
      </c>
    </row>
    <row r="27" spans="1:18" x14ac:dyDescent="0.25">
      <c r="A27">
        <f t="shared" si="0"/>
        <v>1999</v>
      </c>
      <c r="B27" s="139">
        <v>36220</v>
      </c>
      <c r="C27" s="474">
        <v>164.1</v>
      </c>
      <c r="D27" s="479">
        <f t="shared" si="1"/>
        <v>62.300000000000011</v>
      </c>
      <c r="E27" s="474">
        <v>226.4</v>
      </c>
      <c r="F27" s="140">
        <f t="shared" si="2"/>
        <v>0.72482332155477025</v>
      </c>
    </row>
    <row r="28" spans="1:18" x14ac:dyDescent="0.25">
      <c r="A28">
        <f t="shared" si="0"/>
        <v>1999</v>
      </c>
      <c r="B28" s="139">
        <v>36312</v>
      </c>
      <c r="C28" s="475">
        <v>127.2</v>
      </c>
      <c r="D28" s="480">
        <f t="shared" si="1"/>
        <v>63.600000000000009</v>
      </c>
      <c r="E28" s="475">
        <v>190.8</v>
      </c>
      <c r="F28" s="148">
        <f t="shared" si="2"/>
        <v>0.66666666666666663</v>
      </c>
    </row>
    <row r="29" spans="1:18" x14ac:dyDescent="0.25">
      <c r="A29">
        <f t="shared" si="0"/>
        <v>1999</v>
      </c>
      <c r="B29" s="139">
        <v>36404</v>
      </c>
      <c r="C29" s="474">
        <v>112</v>
      </c>
      <c r="D29" s="479">
        <f t="shared" si="1"/>
        <v>85.199999999999989</v>
      </c>
      <c r="E29" s="474">
        <v>197.2</v>
      </c>
      <c r="F29" s="140">
        <f t="shared" si="2"/>
        <v>0.56795131845841784</v>
      </c>
    </row>
    <row r="30" spans="1:18" x14ac:dyDescent="0.25">
      <c r="A30">
        <f t="shared" si="0"/>
        <v>1999</v>
      </c>
      <c r="B30" s="139">
        <v>36495</v>
      </c>
      <c r="C30" s="475">
        <v>96.9</v>
      </c>
      <c r="D30" s="480">
        <f t="shared" si="1"/>
        <v>82.299999999999983</v>
      </c>
      <c r="E30" s="475">
        <v>179.2</v>
      </c>
      <c r="F30" s="148">
        <f t="shared" si="2"/>
        <v>0.54073660714285721</v>
      </c>
    </row>
    <row r="31" spans="1:18" x14ac:dyDescent="0.25">
      <c r="A31">
        <f t="shared" si="0"/>
        <v>2000</v>
      </c>
      <c r="B31" s="139">
        <v>36586</v>
      </c>
      <c r="C31" s="474">
        <v>121.2</v>
      </c>
      <c r="D31" s="479">
        <f t="shared" si="1"/>
        <v>38.799999999999997</v>
      </c>
      <c r="E31" s="474">
        <v>160</v>
      </c>
      <c r="F31" s="140">
        <f t="shared" si="2"/>
        <v>0.75750000000000006</v>
      </c>
    </row>
    <row r="32" spans="1:18" x14ac:dyDescent="0.25">
      <c r="A32">
        <f t="shared" si="0"/>
        <v>2000</v>
      </c>
      <c r="B32" s="139">
        <v>36678</v>
      </c>
      <c r="C32" s="475">
        <v>113.9</v>
      </c>
      <c r="D32" s="480">
        <f t="shared" si="1"/>
        <v>50.400000000000006</v>
      </c>
      <c r="E32" s="475">
        <v>164.3</v>
      </c>
      <c r="F32" s="148">
        <f t="shared" si="2"/>
        <v>0.69324406573341446</v>
      </c>
    </row>
    <row r="33" spans="1:6" x14ac:dyDescent="0.25">
      <c r="A33">
        <f t="shared" si="0"/>
        <v>2000</v>
      </c>
      <c r="B33" s="139">
        <v>36770</v>
      </c>
      <c r="C33" s="474">
        <v>148.80000000000001</v>
      </c>
      <c r="D33" s="479">
        <f t="shared" si="1"/>
        <v>69.5</v>
      </c>
      <c r="E33" s="474">
        <v>218.3</v>
      </c>
      <c r="F33" s="140">
        <f t="shared" si="2"/>
        <v>0.6816307833256986</v>
      </c>
    </row>
    <row r="34" spans="1:6" x14ac:dyDescent="0.25">
      <c r="A34">
        <f t="shared" si="0"/>
        <v>2000</v>
      </c>
      <c r="B34" s="139">
        <v>36861</v>
      </c>
      <c r="C34" s="475">
        <v>166.3</v>
      </c>
      <c r="D34" s="480">
        <f t="shared" si="1"/>
        <v>75.399999999999977</v>
      </c>
      <c r="E34" s="475">
        <v>241.7</v>
      </c>
      <c r="F34" s="148">
        <f t="shared" si="2"/>
        <v>0.68804302854778654</v>
      </c>
    </row>
    <row r="35" spans="1:6" x14ac:dyDescent="0.25">
      <c r="A35">
        <f t="shared" si="0"/>
        <v>2001</v>
      </c>
      <c r="B35" s="139">
        <v>36951</v>
      </c>
      <c r="C35" s="474">
        <v>216.4</v>
      </c>
      <c r="D35" s="479">
        <f t="shared" si="1"/>
        <v>82.4</v>
      </c>
      <c r="E35" s="474">
        <v>298.8</v>
      </c>
      <c r="F35" s="140">
        <f t="shared" si="2"/>
        <v>0.72423025435073629</v>
      </c>
    </row>
    <row r="36" spans="1:6" x14ac:dyDescent="0.25">
      <c r="A36">
        <f t="shared" si="0"/>
        <v>2001</v>
      </c>
      <c r="B36" s="139">
        <v>37043</v>
      </c>
      <c r="C36" s="475">
        <v>156</v>
      </c>
      <c r="D36" s="480">
        <f t="shared" si="1"/>
        <v>110</v>
      </c>
      <c r="E36" s="475">
        <v>266</v>
      </c>
      <c r="F36" s="148">
        <f t="shared" si="2"/>
        <v>0.5864661654135338</v>
      </c>
    </row>
    <row r="37" spans="1:6" x14ac:dyDescent="0.25">
      <c r="A37">
        <f t="shared" si="0"/>
        <v>2001</v>
      </c>
      <c r="B37" s="139">
        <v>37135</v>
      </c>
      <c r="C37" s="474">
        <v>136.30000000000001</v>
      </c>
      <c r="D37" s="479">
        <f t="shared" si="1"/>
        <v>95.399999999999977</v>
      </c>
      <c r="E37" s="474">
        <v>231.7</v>
      </c>
      <c r="F37" s="140">
        <f t="shared" si="2"/>
        <v>0.58826068191627112</v>
      </c>
    </row>
    <row r="38" spans="1:6" x14ac:dyDescent="0.25">
      <c r="A38">
        <f t="shared" si="0"/>
        <v>2001</v>
      </c>
      <c r="B38" s="139">
        <v>37226</v>
      </c>
      <c r="C38" s="475">
        <v>141.69999999999999</v>
      </c>
      <c r="D38" s="480">
        <f t="shared" si="1"/>
        <v>125.69999999999999</v>
      </c>
      <c r="E38" s="475">
        <v>267.39999999999998</v>
      </c>
      <c r="F38" s="148">
        <f t="shared" si="2"/>
        <v>0.52991772625280475</v>
      </c>
    </row>
    <row r="39" spans="1:6" x14ac:dyDescent="0.25">
      <c r="A39">
        <f t="shared" si="0"/>
        <v>2002</v>
      </c>
      <c r="B39" s="139">
        <v>37316</v>
      </c>
      <c r="C39" s="474">
        <v>119.7</v>
      </c>
      <c r="D39" s="479">
        <f t="shared" si="1"/>
        <v>83.3</v>
      </c>
      <c r="E39" s="474">
        <v>203</v>
      </c>
      <c r="F39" s="140">
        <f t="shared" si="2"/>
        <v>0.58965517241379317</v>
      </c>
    </row>
    <row r="40" spans="1:6" x14ac:dyDescent="0.25">
      <c r="A40">
        <f t="shared" si="0"/>
        <v>2002</v>
      </c>
      <c r="B40" s="139">
        <v>37408</v>
      </c>
      <c r="C40" s="475">
        <v>82</v>
      </c>
      <c r="D40" s="480">
        <f t="shared" si="1"/>
        <v>98.5</v>
      </c>
      <c r="E40" s="475">
        <v>180.5</v>
      </c>
      <c r="F40" s="148">
        <f t="shared" si="2"/>
        <v>0.45429362880886426</v>
      </c>
    </row>
    <row r="41" spans="1:6" x14ac:dyDescent="0.25">
      <c r="A41">
        <f t="shared" si="0"/>
        <v>2002</v>
      </c>
      <c r="B41" s="139">
        <v>37500</v>
      </c>
      <c r="C41" s="474">
        <v>85.3</v>
      </c>
      <c r="D41" s="479">
        <f t="shared" si="1"/>
        <v>132.69999999999999</v>
      </c>
      <c r="E41" s="474">
        <v>218</v>
      </c>
      <c r="F41" s="140">
        <f t="shared" si="2"/>
        <v>0.39128440366972478</v>
      </c>
    </row>
    <row r="42" spans="1:6" x14ac:dyDescent="0.25">
      <c r="A42">
        <f t="shared" si="0"/>
        <v>2002</v>
      </c>
      <c r="B42" s="139">
        <v>37591</v>
      </c>
      <c r="C42" s="475">
        <v>170.2</v>
      </c>
      <c r="D42" s="480">
        <f t="shared" si="1"/>
        <v>100.19999999999999</v>
      </c>
      <c r="E42" s="475">
        <v>270.39999999999998</v>
      </c>
      <c r="F42" s="148">
        <f t="shared" si="2"/>
        <v>0.62943786982248517</v>
      </c>
    </row>
    <row r="43" spans="1:6" x14ac:dyDescent="0.25">
      <c r="A43">
        <f t="shared" si="0"/>
        <v>2003</v>
      </c>
      <c r="B43" s="139">
        <v>37681</v>
      </c>
      <c r="C43" s="474">
        <v>191.5</v>
      </c>
      <c r="D43" s="479">
        <f t="shared" si="1"/>
        <v>75</v>
      </c>
      <c r="E43" s="474">
        <v>266.5</v>
      </c>
      <c r="F43" s="140">
        <f t="shared" si="2"/>
        <v>0.7185741088180112</v>
      </c>
    </row>
    <row r="44" spans="1:6" x14ac:dyDescent="0.25">
      <c r="A44">
        <f t="shared" si="0"/>
        <v>2003</v>
      </c>
      <c r="B44" s="139">
        <v>37773</v>
      </c>
      <c r="C44" s="475">
        <v>151.30000000000001</v>
      </c>
      <c r="D44" s="480">
        <f t="shared" si="1"/>
        <v>88.799999999999983</v>
      </c>
      <c r="E44" s="475">
        <v>240.1</v>
      </c>
      <c r="F44" s="148">
        <f t="shared" si="2"/>
        <v>0.63015410245730952</v>
      </c>
    </row>
    <row r="45" spans="1:6" x14ac:dyDescent="0.25">
      <c r="A45">
        <f t="shared" si="0"/>
        <v>2003</v>
      </c>
      <c r="B45" s="139">
        <v>37865</v>
      </c>
      <c r="C45" s="474">
        <v>177.9</v>
      </c>
      <c r="D45" s="479">
        <f t="shared" si="1"/>
        <v>52.799999999999983</v>
      </c>
      <c r="E45" s="474">
        <v>230.7</v>
      </c>
      <c r="F45" s="140">
        <f t="shared" si="2"/>
        <v>0.77113133940182066</v>
      </c>
    </row>
    <row r="46" spans="1:6" x14ac:dyDescent="0.25">
      <c r="A46">
        <f t="shared" si="0"/>
        <v>2003</v>
      </c>
      <c r="B46" s="139">
        <v>37956</v>
      </c>
      <c r="C46" s="475">
        <v>188.2</v>
      </c>
      <c r="D46" s="480">
        <f t="shared" si="1"/>
        <v>99.900000000000034</v>
      </c>
      <c r="E46" s="475">
        <v>288.10000000000002</v>
      </c>
      <c r="F46" s="148">
        <f t="shared" si="2"/>
        <v>0.6532454009024643</v>
      </c>
    </row>
    <row r="47" spans="1:6" x14ac:dyDescent="0.25">
      <c r="A47">
        <f t="shared" si="0"/>
        <v>2004</v>
      </c>
      <c r="B47" s="139">
        <v>38047</v>
      </c>
      <c r="C47" s="474">
        <v>106.9</v>
      </c>
      <c r="D47" s="479">
        <f t="shared" si="1"/>
        <v>61.900000000000006</v>
      </c>
      <c r="E47" s="474">
        <v>168.8</v>
      </c>
      <c r="F47" s="140">
        <f t="shared" si="2"/>
        <v>0.63329383886255919</v>
      </c>
    </row>
    <row r="48" spans="1:6" x14ac:dyDescent="0.25">
      <c r="A48">
        <f t="shared" si="0"/>
        <v>2004</v>
      </c>
      <c r="B48" s="139">
        <v>38139</v>
      </c>
      <c r="C48" s="475">
        <v>197.5</v>
      </c>
      <c r="D48" s="480">
        <f t="shared" si="1"/>
        <v>58.899999999999977</v>
      </c>
      <c r="E48" s="475">
        <v>256.39999999999998</v>
      </c>
      <c r="F48" s="148">
        <f t="shared" si="2"/>
        <v>0.7702808112324494</v>
      </c>
    </row>
    <row r="49" spans="1:6" x14ac:dyDescent="0.25">
      <c r="A49">
        <f t="shared" si="0"/>
        <v>2004</v>
      </c>
      <c r="B49" s="139">
        <v>38231</v>
      </c>
      <c r="C49" s="474">
        <v>129.69999999999999</v>
      </c>
      <c r="D49" s="479">
        <f t="shared" si="1"/>
        <v>80.800000000000011</v>
      </c>
      <c r="E49" s="474">
        <v>210.5</v>
      </c>
      <c r="F49" s="140">
        <f t="shared" si="2"/>
        <v>0.61615201900237526</v>
      </c>
    </row>
    <row r="50" spans="1:6" x14ac:dyDescent="0.25">
      <c r="A50">
        <f t="shared" si="0"/>
        <v>2004</v>
      </c>
      <c r="B50" s="139">
        <v>38322</v>
      </c>
      <c r="C50" s="475">
        <v>113.1</v>
      </c>
      <c r="D50" s="480">
        <f t="shared" si="1"/>
        <v>173.50000000000003</v>
      </c>
      <c r="E50" s="475">
        <v>286.60000000000002</v>
      </c>
      <c r="F50" s="148">
        <f t="shared" si="2"/>
        <v>0.39462665736217722</v>
      </c>
    </row>
    <row r="51" spans="1:6" x14ac:dyDescent="0.25">
      <c r="A51">
        <f t="shared" si="0"/>
        <v>2005</v>
      </c>
      <c r="B51" s="139">
        <v>38412</v>
      </c>
      <c r="C51" s="474">
        <v>154.30000000000001</v>
      </c>
      <c r="D51" s="479">
        <f t="shared" si="1"/>
        <v>114.89999999999998</v>
      </c>
      <c r="E51" s="474">
        <v>269.2</v>
      </c>
      <c r="F51" s="140">
        <f t="shared" si="2"/>
        <v>0.57317979197622593</v>
      </c>
    </row>
    <row r="52" spans="1:6" x14ac:dyDescent="0.25">
      <c r="A52">
        <f t="shared" si="0"/>
        <v>2005</v>
      </c>
      <c r="B52" s="139">
        <v>38504</v>
      </c>
      <c r="C52" s="475">
        <v>129.4</v>
      </c>
      <c r="D52" s="480">
        <f t="shared" si="1"/>
        <v>149.1</v>
      </c>
      <c r="E52" s="475">
        <v>278.5</v>
      </c>
      <c r="F52" s="148">
        <f t="shared" si="2"/>
        <v>0.46463195691202874</v>
      </c>
    </row>
    <row r="53" spans="1:6" x14ac:dyDescent="0.25">
      <c r="A53">
        <f t="shared" si="0"/>
        <v>2005</v>
      </c>
      <c r="B53" s="139">
        <v>38596</v>
      </c>
      <c r="C53" s="474">
        <v>135.1</v>
      </c>
      <c r="D53" s="479">
        <f t="shared" si="1"/>
        <v>146.9</v>
      </c>
      <c r="E53" s="474">
        <v>282</v>
      </c>
      <c r="F53" s="140">
        <f t="shared" si="2"/>
        <v>0.47907801418439716</v>
      </c>
    </row>
    <row r="54" spans="1:6" x14ac:dyDescent="0.25">
      <c r="A54">
        <f t="shared" si="0"/>
        <v>2005</v>
      </c>
      <c r="B54" s="139">
        <v>38687</v>
      </c>
      <c r="C54" s="475">
        <v>152.80000000000001</v>
      </c>
      <c r="D54" s="480">
        <f t="shared" si="1"/>
        <v>173.7</v>
      </c>
      <c r="E54" s="475">
        <v>326.5</v>
      </c>
      <c r="F54" s="148">
        <f t="shared" si="2"/>
        <v>0.46799387442572743</v>
      </c>
    </row>
    <row r="55" spans="1:6" x14ac:dyDescent="0.25">
      <c r="A55">
        <f t="shared" si="0"/>
        <v>2006</v>
      </c>
      <c r="B55" s="139">
        <v>38777</v>
      </c>
      <c r="C55" s="474">
        <v>137</v>
      </c>
      <c r="D55" s="479">
        <f t="shared" si="1"/>
        <v>136.60000000000002</v>
      </c>
      <c r="E55" s="474">
        <v>273.60000000000002</v>
      </c>
      <c r="F55" s="140">
        <f t="shared" si="2"/>
        <v>0.50073099415204669</v>
      </c>
    </row>
    <row r="56" spans="1:6" x14ac:dyDescent="0.25">
      <c r="A56">
        <f t="shared" si="0"/>
        <v>2006</v>
      </c>
      <c r="B56" s="139">
        <v>38869</v>
      </c>
      <c r="C56" s="475">
        <v>168.7</v>
      </c>
      <c r="D56" s="480">
        <f t="shared" si="1"/>
        <v>211.2</v>
      </c>
      <c r="E56" s="475">
        <v>379.9</v>
      </c>
      <c r="F56" s="148">
        <f t="shared" si="2"/>
        <v>0.44406422742827062</v>
      </c>
    </row>
    <row r="57" spans="1:6" x14ac:dyDescent="0.25">
      <c r="A57">
        <f t="shared" si="0"/>
        <v>2006</v>
      </c>
      <c r="B57" s="139">
        <v>38961</v>
      </c>
      <c r="C57" s="474">
        <v>289.89999999999998</v>
      </c>
      <c r="D57" s="479">
        <f t="shared" si="1"/>
        <v>198.70000000000005</v>
      </c>
      <c r="E57" s="474">
        <v>488.6</v>
      </c>
      <c r="F57" s="140">
        <f t="shared" si="2"/>
        <v>0.59332787556283251</v>
      </c>
    </row>
    <row r="58" spans="1:6" x14ac:dyDescent="0.25">
      <c r="A58">
        <f t="shared" si="0"/>
        <v>2006</v>
      </c>
      <c r="B58" s="139">
        <v>39052</v>
      </c>
      <c r="C58" s="475">
        <v>346.1</v>
      </c>
      <c r="D58" s="480">
        <f t="shared" si="1"/>
        <v>198.39999999999998</v>
      </c>
      <c r="E58" s="475">
        <v>544.5</v>
      </c>
      <c r="F58" s="148">
        <f t="shared" si="2"/>
        <v>0.63562901744719935</v>
      </c>
    </row>
    <row r="59" spans="1:6" x14ac:dyDescent="0.25">
      <c r="A59">
        <f t="shared" si="0"/>
        <v>2007</v>
      </c>
      <c r="B59" s="139">
        <v>39142</v>
      </c>
      <c r="C59" s="474">
        <v>319.5</v>
      </c>
      <c r="D59" s="479">
        <f t="shared" si="1"/>
        <v>140.80000000000001</v>
      </c>
      <c r="E59" s="474">
        <v>460.3</v>
      </c>
      <c r="F59" s="140">
        <f t="shared" si="2"/>
        <v>0.69411253530306316</v>
      </c>
    </row>
    <row r="60" spans="1:6" x14ac:dyDescent="0.25">
      <c r="A60">
        <f t="shared" si="0"/>
        <v>2007</v>
      </c>
      <c r="B60" s="139">
        <v>39234</v>
      </c>
      <c r="C60" s="475">
        <v>525.4</v>
      </c>
      <c r="D60" s="480">
        <f t="shared" si="1"/>
        <v>206.70000000000005</v>
      </c>
      <c r="E60" s="475">
        <v>732.1</v>
      </c>
      <c r="F60" s="148">
        <f t="shared" si="2"/>
        <v>0.71766152165004771</v>
      </c>
    </row>
    <row r="61" spans="1:6" x14ac:dyDescent="0.25">
      <c r="A61">
        <f t="shared" si="0"/>
        <v>2007</v>
      </c>
      <c r="B61" s="139">
        <v>39326</v>
      </c>
      <c r="C61" s="474">
        <v>546.5</v>
      </c>
      <c r="D61" s="479">
        <f t="shared" si="1"/>
        <v>151.79999999999995</v>
      </c>
      <c r="E61" s="474">
        <v>698.3</v>
      </c>
      <c r="F61" s="140">
        <f t="shared" si="2"/>
        <v>0.78261492195331528</v>
      </c>
    </row>
    <row r="62" spans="1:6" x14ac:dyDescent="0.25">
      <c r="A62">
        <f t="shared" si="0"/>
        <v>2007</v>
      </c>
      <c r="B62" s="139">
        <v>39417</v>
      </c>
      <c r="C62" s="475">
        <v>512.70000000000005</v>
      </c>
      <c r="D62" s="480">
        <f t="shared" si="1"/>
        <v>257.29999999999995</v>
      </c>
      <c r="E62" s="475">
        <v>770</v>
      </c>
      <c r="F62" s="148">
        <f t="shared" si="2"/>
        <v>0.6658441558441559</v>
      </c>
    </row>
    <row r="63" spans="1:6" x14ac:dyDescent="0.25">
      <c r="A63">
        <f t="shared" si="0"/>
        <v>2008</v>
      </c>
      <c r="B63" s="139">
        <v>39508</v>
      </c>
      <c r="C63" s="474">
        <v>498.7</v>
      </c>
      <c r="D63" s="479">
        <f t="shared" si="1"/>
        <v>210.7</v>
      </c>
      <c r="E63" s="474">
        <v>709.4</v>
      </c>
      <c r="F63" s="140">
        <f t="shared" si="2"/>
        <v>0.70298844093600221</v>
      </c>
    </row>
    <row r="64" spans="1:6" x14ac:dyDescent="0.25">
      <c r="A64">
        <f t="shared" si="0"/>
        <v>2008</v>
      </c>
      <c r="B64" s="139">
        <v>39600</v>
      </c>
      <c r="C64" s="475">
        <v>616.9</v>
      </c>
      <c r="D64" s="480">
        <f t="shared" si="1"/>
        <v>240.30000000000007</v>
      </c>
      <c r="E64" s="475">
        <v>857.2</v>
      </c>
      <c r="F64" s="148">
        <f t="shared" si="2"/>
        <v>0.71966868875408296</v>
      </c>
    </row>
    <row r="65" spans="1:6" x14ac:dyDescent="0.25">
      <c r="A65">
        <f t="shared" si="0"/>
        <v>2008</v>
      </c>
      <c r="B65" s="139">
        <v>39692</v>
      </c>
      <c r="C65" s="474">
        <v>539.5</v>
      </c>
      <c r="D65" s="479">
        <f t="shared" si="1"/>
        <v>241.79999999999995</v>
      </c>
      <c r="E65" s="474">
        <v>781.3</v>
      </c>
      <c r="F65" s="140">
        <f t="shared" si="2"/>
        <v>0.6905158069883528</v>
      </c>
    </row>
    <row r="66" spans="1:6" x14ac:dyDescent="0.25">
      <c r="A66">
        <f t="shared" si="0"/>
        <v>2008</v>
      </c>
      <c r="B66" s="139">
        <v>39783</v>
      </c>
      <c r="C66" s="475">
        <v>798.9</v>
      </c>
      <c r="D66" s="480">
        <f t="shared" si="1"/>
        <v>214.5</v>
      </c>
      <c r="E66" s="475">
        <v>1013.4</v>
      </c>
      <c r="F66" s="148">
        <f t="shared" si="2"/>
        <v>0.78833629366489044</v>
      </c>
    </row>
    <row r="67" spans="1:6" x14ac:dyDescent="0.25">
      <c r="A67">
        <f t="shared" si="0"/>
        <v>2009</v>
      </c>
      <c r="B67" s="139">
        <v>39873</v>
      </c>
      <c r="C67" s="474">
        <v>789.4</v>
      </c>
      <c r="D67" s="479">
        <f t="shared" si="1"/>
        <v>209.20000000000005</v>
      </c>
      <c r="E67" s="474">
        <v>998.6</v>
      </c>
      <c r="F67" s="140">
        <f t="shared" si="2"/>
        <v>0.79050670939315038</v>
      </c>
    </row>
    <row r="68" spans="1:6" x14ac:dyDescent="0.25">
      <c r="A68">
        <f t="shared" si="0"/>
        <v>2009</v>
      </c>
      <c r="B68" s="139">
        <v>39965</v>
      </c>
      <c r="C68" s="475">
        <v>817.4</v>
      </c>
      <c r="D68" s="480">
        <f t="shared" si="1"/>
        <v>200</v>
      </c>
      <c r="E68" s="475">
        <v>1017.4</v>
      </c>
      <c r="F68" s="148">
        <f t="shared" si="2"/>
        <v>0.80342048358561036</v>
      </c>
    </row>
    <row r="69" spans="1:6" x14ac:dyDescent="0.25">
      <c r="A69">
        <f t="shared" si="0"/>
        <v>2009</v>
      </c>
      <c r="B69" s="139">
        <v>40057</v>
      </c>
      <c r="C69" s="474">
        <v>603.9</v>
      </c>
      <c r="D69" s="479">
        <f t="shared" si="1"/>
        <v>193.80000000000007</v>
      </c>
      <c r="E69" s="474">
        <v>797.7</v>
      </c>
      <c r="F69" s="140">
        <f t="shared" si="2"/>
        <v>0.75705152312899582</v>
      </c>
    </row>
    <row r="70" spans="1:6" x14ac:dyDescent="0.25">
      <c r="A70">
        <f t="shared" si="0"/>
        <v>2009</v>
      </c>
      <c r="B70" s="139">
        <v>40148</v>
      </c>
      <c r="C70" s="475">
        <v>541.70000000000005</v>
      </c>
      <c r="D70" s="480">
        <f t="shared" si="1"/>
        <v>285.29999999999995</v>
      </c>
      <c r="E70" s="475">
        <v>827</v>
      </c>
      <c r="F70" s="148">
        <f t="shared" si="2"/>
        <v>0.65501813784764218</v>
      </c>
    </row>
    <row r="71" spans="1:6" x14ac:dyDescent="0.25">
      <c r="A71">
        <f t="shared" si="0"/>
        <v>2010</v>
      </c>
      <c r="B71" s="139">
        <v>40238</v>
      </c>
      <c r="C71" s="474">
        <v>646.70000000000005</v>
      </c>
      <c r="D71" s="479">
        <f t="shared" si="1"/>
        <v>216.79999999999995</v>
      </c>
      <c r="E71" s="474">
        <v>863.5</v>
      </c>
      <c r="F71" s="140">
        <f t="shared" si="2"/>
        <v>0.7489287782281413</v>
      </c>
    </row>
    <row r="72" spans="1:6" x14ac:dyDescent="0.25">
      <c r="A72">
        <f t="shared" si="0"/>
        <v>2010</v>
      </c>
      <c r="B72" s="139">
        <v>40330</v>
      </c>
      <c r="C72" s="475">
        <v>692.3</v>
      </c>
      <c r="D72" s="480">
        <f t="shared" si="1"/>
        <v>313.60000000000002</v>
      </c>
      <c r="E72" s="475">
        <v>1005.9</v>
      </c>
      <c r="F72" s="148">
        <f t="shared" si="2"/>
        <v>0.68823938761308279</v>
      </c>
    </row>
    <row r="73" spans="1:6" x14ac:dyDescent="0.25">
      <c r="A73">
        <f t="shared" ref="A73:A136" si="13">YEAR(B73)</f>
        <v>2010</v>
      </c>
      <c r="B73" s="139">
        <v>40422</v>
      </c>
      <c r="C73" s="474">
        <v>597.1</v>
      </c>
      <c r="D73" s="479">
        <f t="shared" ref="D73:D134" si="14">E73-C73</f>
        <v>253.29999999999995</v>
      </c>
      <c r="E73" s="474">
        <v>850.4</v>
      </c>
      <c r="F73" s="140">
        <f t="shared" ref="F73:F134" si="15">C73/E73</f>
        <v>0.70214016933207901</v>
      </c>
    </row>
    <row r="74" spans="1:6" x14ac:dyDescent="0.25">
      <c r="A74">
        <f t="shared" si="13"/>
        <v>2010</v>
      </c>
      <c r="B74" s="139">
        <v>40513</v>
      </c>
      <c r="C74" s="475">
        <v>559.20000000000005</v>
      </c>
      <c r="D74" s="480">
        <f t="shared" si="14"/>
        <v>290.39999999999998</v>
      </c>
      <c r="E74" s="475">
        <v>849.6</v>
      </c>
      <c r="F74" s="148">
        <f t="shared" si="15"/>
        <v>0.65819209039548021</v>
      </c>
    </row>
    <row r="75" spans="1:6" x14ac:dyDescent="0.25">
      <c r="A75">
        <f t="shared" si="13"/>
        <v>2011</v>
      </c>
      <c r="B75" s="139">
        <v>40603</v>
      </c>
      <c r="C75" s="474">
        <v>607</v>
      </c>
      <c r="D75" s="479">
        <f t="shared" si="14"/>
        <v>159.10000000000002</v>
      </c>
      <c r="E75" s="474">
        <v>766.1</v>
      </c>
      <c r="F75" s="140">
        <f t="shared" si="15"/>
        <v>0.79232476178044642</v>
      </c>
    </row>
    <row r="76" spans="1:6" x14ac:dyDescent="0.25">
      <c r="A76">
        <f t="shared" si="13"/>
        <v>2011</v>
      </c>
      <c r="B76" s="139">
        <v>40695</v>
      </c>
      <c r="C76" s="475">
        <v>639</v>
      </c>
      <c r="D76" s="480">
        <f t="shared" si="14"/>
        <v>210.29999999999995</v>
      </c>
      <c r="E76" s="475">
        <v>849.3</v>
      </c>
      <c r="F76" s="148">
        <f t="shared" si="15"/>
        <v>0.75238431649593784</v>
      </c>
    </row>
    <row r="77" spans="1:6" x14ac:dyDescent="0.25">
      <c r="A77">
        <f t="shared" si="13"/>
        <v>2011</v>
      </c>
      <c r="B77" s="139">
        <v>40787</v>
      </c>
      <c r="C77" s="474">
        <v>487.9</v>
      </c>
      <c r="D77" s="479">
        <f t="shared" si="14"/>
        <v>292.30000000000007</v>
      </c>
      <c r="E77" s="474">
        <v>780.2</v>
      </c>
      <c r="F77" s="140">
        <f t="shared" si="15"/>
        <v>0.62535247372468594</v>
      </c>
    </row>
    <row r="78" spans="1:6" x14ac:dyDescent="0.25">
      <c r="A78">
        <f t="shared" si="13"/>
        <v>2011</v>
      </c>
      <c r="B78" s="139">
        <v>40878</v>
      </c>
      <c r="C78" s="475">
        <v>611.9</v>
      </c>
      <c r="D78" s="480">
        <f t="shared" si="14"/>
        <v>285.10000000000002</v>
      </c>
      <c r="E78" s="475">
        <v>897</v>
      </c>
      <c r="F78" s="148">
        <f t="shared" si="15"/>
        <v>0.68216276477146043</v>
      </c>
    </row>
    <row r="79" spans="1:6" x14ac:dyDescent="0.25">
      <c r="A79">
        <f t="shared" si="13"/>
        <v>2012</v>
      </c>
      <c r="B79" s="139">
        <v>40969</v>
      </c>
      <c r="C79" s="474">
        <v>393.2</v>
      </c>
      <c r="D79" s="479">
        <f t="shared" si="14"/>
        <v>202.8</v>
      </c>
      <c r="E79" s="474">
        <v>596</v>
      </c>
      <c r="F79" s="140">
        <f t="shared" si="15"/>
        <v>0.65973154362416109</v>
      </c>
    </row>
    <row r="80" spans="1:6" x14ac:dyDescent="0.25">
      <c r="A80">
        <f t="shared" si="13"/>
        <v>2012</v>
      </c>
      <c r="B80" s="139">
        <v>41061</v>
      </c>
      <c r="C80" s="475">
        <v>624.20000000000005</v>
      </c>
      <c r="D80" s="480">
        <f t="shared" si="14"/>
        <v>299.59999999999991</v>
      </c>
      <c r="E80" s="475">
        <v>923.8</v>
      </c>
      <c r="F80" s="148">
        <f t="shared" si="15"/>
        <v>0.67568737822039415</v>
      </c>
    </row>
    <row r="81" spans="1:6" x14ac:dyDescent="0.25">
      <c r="A81">
        <f t="shared" si="13"/>
        <v>2012</v>
      </c>
      <c r="B81" s="139">
        <v>41153</v>
      </c>
      <c r="C81" s="474">
        <v>753.9</v>
      </c>
      <c r="D81" s="479">
        <f t="shared" si="14"/>
        <v>330.1</v>
      </c>
      <c r="E81" s="474">
        <v>1084</v>
      </c>
      <c r="F81" s="140">
        <f t="shared" si="15"/>
        <v>0.6954797047970479</v>
      </c>
    </row>
    <row r="82" spans="1:6" x14ac:dyDescent="0.25">
      <c r="A82">
        <f t="shared" si="13"/>
        <v>2012</v>
      </c>
      <c r="B82" s="139">
        <v>41244</v>
      </c>
      <c r="C82" s="475">
        <v>985.3</v>
      </c>
      <c r="D82" s="480">
        <f t="shared" si="14"/>
        <v>413.29999999999995</v>
      </c>
      <c r="E82" s="475">
        <v>1398.6</v>
      </c>
      <c r="F82" s="148">
        <f t="shared" si="15"/>
        <v>0.7044902044902045</v>
      </c>
    </row>
    <row r="83" spans="1:6" x14ac:dyDescent="0.25">
      <c r="A83">
        <f t="shared" si="13"/>
        <v>2013</v>
      </c>
      <c r="B83" s="139">
        <v>41334</v>
      </c>
      <c r="C83" s="474">
        <v>713.4</v>
      </c>
      <c r="D83" s="479">
        <f t="shared" si="14"/>
        <v>296.30000000000007</v>
      </c>
      <c r="E83" s="474">
        <v>1009.7</v>
      </c>
      <c r="F83" s="140">
        <f t="shared" si="15"/>
        <v>0.70654649896008714</v>
      </c>
    </row>
    <row r="84" spans="1:6" x14ac:dyDescent="0.25">
      <c r="A84">
        <f t="shared" si="13"/>
        <v>2013</v>
      </c>
      <c r="B84" s="139">
        <v>41426</v>
      </c>
      <c r="C84" s="475">
        <v>841.2</v>
      </c>
      <c r="D84" s="480">
        <f t="shared" si="14"/>
        <v>459.89999999999986</v>
      </c>
      <c r="E84" s="475">
        <v>1301.0999999999999</v>
      </c>
      <c r="F84" s="148">
        <f t="shared" si="15"/>
        <v>0.64652985934978102</v>
      </c>
    </row>
    <row r="85" spans="1:6" x14ac:dyDescent="0.25">
      <c r="A85">
        <f t="shared" si="13"/>
        <v>2013</v>
      </c>
      <c r="B85" s="139">
        <v>41518</v>
      </c>
      <c r="C85" s="474">
        <v>752.2</v>
      </c>
      <c r="D85" s="479">
        <f t="shared" si="14"/>
        <v>363.09999999999991</v>
      </c>
      <c r="E85" s="474">
        <v>1115.3</v>
      </c>
      <c r="F85" s="140">
        <f t="shared" si="15"/>
        <v>0.67443737111091195</v>
      </c>
    </row>
    <row r="86" spans="1:6" x14ac:dyDescent="0.25">
      <c r="A86">
        <f t="shared" si="13"/>
        <v>2013</v>
      </c>
      <c r="B86" s="139">
        <v>41609</v>
      </c>
      <c r="C86" s="475">
        <v>677.4</v>
      </c>
      <c r="D86" s="480">
        <f t="shared" si="14"/>
        <v>425.9</v>
      </c>
      <c r="E86" s="475">
        <v>1103.3</v>
      </c>
      <c r="F86" s="148">
        <f t="shared" si="15"/>
        <v>0.61397625305900483</v>
      </c>
    </row>
    <row r="87" spans="1:6" x14ac:dyDescent="0.25">
      <c r="A87">
        <f t="shared" si="13"/>
        <v>2014</v>
      </c>
      <c r="B87" s="139">
        <v>41699</v>
      </c>
      <c r="C87" s="474">
        <v>737.1</v>
      </c>
      <c r="D87" s="479">
        <f t="shared" si="14"/>
        <v>334.99999999999989</v>
      </c>
      <c r="E87" s="474">
        <v>1072.0999999999999</v>
      </c>
      <c r="F87" s="140">
        <f t="shared" si="15"/>
        <v>0.68752914840033585</v>
      </c>
    </row>
    <row r="88" spans="1:6" x14ac:dyDescent="0.25">
      <c r="A88">
        <f t="shared" si="13"/>
        <v>2014</v>
      </c>
      <c r="B88" s="139">
        <v>41791</v>
      </c>
      <c r="C88" s="475">
        <v>823.9</v>
      </c>
      <c r="D88" s="480">
        <f t="shared" si="14"/>
        <v>709.9</v>
      </c>
      <c r="E88" s="475">
        <v>1533.8</v>
      </c>
      <c r="F88" s="148">
        <f t="shared" si="15"/>
        <v>0.53716260268613902</v>
      </c>
    </row>
    <row r="89" spans="1:6" x14ac:dyDescent="0.25">
      <c r="A89">
        <f t="shared" si="13"/>
        <v>2014</v>
      </c>
      <c r="B89" s="139">
        <v>41883</v>
      </c>
      <c r="C89" s="474">
        <v>591.5</v>
      </c>
      <c r="D89" s="479">
        <f t="shared" si="14"/>
        <v>388.4</v>
      </c>
      <c r="E89" s="474">
        <v>979.9</v>
      </c>
      <c r="F89" s="140">
        <f t="shared" si="15"/>
        <v>0.60363302377793648</v>
      </c>
    </row>
    <row r="90" spans="1:6" x14ac:dyDescent="0.25">
      <c r="A90">
        <f t="shared" si="13"/>
        <v>2014</v>
      </c>
      <c r="B90" s="139">
        <v>41974</v>
      </c>
      <c r="C90" s="475">
        <v>605.4</v>
      </c>
      <c r="D90" s="480">
        <f t="shared" si="14"/>
        <v>547.69999999999993</v>
      </c>
      <c r="E90" s="475">
        <v>1153.0999999999999</v>
      </c>
      <c r="F90" s="148">
        <f t="shared" si="15"/>
        <v>0.52501951261815971</v>
      </c>
    </row>
    <row r="91" spans="1:6" x14ac:dyDescent="0.25">
      <c r="A91">
        <f t="shared" si="13"/>
        <v>2015</v>
      </c>
      <c r="B91" s="139">
        <v>42064</v>
      </c>
      <c r="C91" s="474">
        <v>439.3</v>
      </c>
      <c r="D91" s="479">
        <f t="shared" si="14"/>
        <v>521.29999999999995</v>
      </c>
      <c r="E91" s="474">
        <v>960.6</v>
      </c>
      <c r="F91" s="140">
        <f t="shared" si="15"/>
        <v>0.45731834270247762</v>
      </c>
    </row>
    <row r="92" spans="1:6" x14ac:dyDescent="0.25">
      <c r="A92">
        <f t="shared" si="13"/>
        <v>2015</v>
      </c>
      <c r="B92" s="139">
        <v>42156</v>
      </c>
      <c r="C92" s="475">
        <v>432.7</v>
      </c>
      <c r="D92" s="480">
        <f t="shared" si="14"/>
        <v>265.09999999999997</v>
      </c>
      <c r="E92" s="475">
        <v>697.8</v>
      </c>
      <c r="F92" s="148">
        <f t="shared" si="15"/>
        <v>0.62009171682430497</v>
      </c>
    </row>
    <row r="93" spans="1:6" x14ac:dyDescent="0.25">
      <c r="A93">
        <f t="shared" si="13"/>
        <v>2015</v>
      </c>
      <c r="B93" s="139">
        <v>42248</v>
      </c>
      <c r="C93" s="474">
        <v>407.5</v>
      </c>
      <c r="D93" s="479">
        <f t="shared" si="14"/>
        <v>175.39999999999998</v>
      </c>
      <c r="E93" s="474">
        <v>582.9</v>
      </c>
      <c r="F93" s="140">
        <f t="shared" si="15"/>
        <v>0.6990907531308973</v>
      </c>
    </row>
    <row r="94" spans="1:6" x14ac:dyDescent="0.25">
      <c r="A94">
        <f t="shared" si="13"/>
        <v>2015</v>
      </c>
      <c r="B94" s="139">
        <v>42339</v>
      </c>
      <c r="C94" s="475">
        <v>337.6</v>
      </c>
      <c r="D94" s="480">
        <f t="shared" si="14"/>
        <v>144.39999999999998</v>
      </c>
      <c r="E94" s="475">
        <v>482</v>
      </c>
      <c r="F94" s="148">
        <f t="shared" si="15"/>
        <v>0.70041493775933616</v>
      </c>
    </row>
    <row r="95" spans="1:6" x14ac:dyDescent="0.25">
      <c r="A95">
        <f t="shared" si="13"/>
        <v>2016</v>
      </c>
      <c r="B95" s="139">
        <v>42430</v>
      </c>
      <c r="C95" s="474">
        <v>340.1</v>
      </c>
      <c r="D95" s="479">
        <f t="shared" si="14"/>
        <v>87.799999999999955</v>
      </c>
      <c r="E95" s="474">
        <v>427.9</v>
      </c>
      <c r="F95" s="140">
        <f t="shared" si="15"/>
        <v>0.79481187193269465</v>
      </c>
    </row>
    <row r="96" spans="1:6" x14ac:dyDescent="0.25">
      <c r="A96">
        <f t="shared" si="13"/>
        <v>2016</v>
      </c>
      <c r="B96" s="139">
        <v>42522</v>
      </c>
      <c r="C96" s="475">
        <v>212.2</v>
      </c>
      <c r="D96" s="480">
        <f t="shared" si="14"/>
        <v>71.199999999999989</v>
      </c>
      <c r="E96" s="475">
        <v>283.39999999999998</v>
      </c>
      <c r="F96" s="148">
        <f t="shared" si="15"/>
        <v>0.74876499647141848</v>
      </c>
    </row>
    <row r="97" spans="1:6" x14ac:dyDescent="0.25">
      <c r="A97">
        <f t="shared" si="13"/>
        <v>2016</v>
      </c>
      <c r="B97" s="139">
        <v>42614</v>
      </c>
      <c r="C97" s="474">
        <v>229.8</v>
      </c>
      <c r="D97" s="479">
        <f t="shared" si="14"/>
        <v>125.39999999999998</v>
      </c>
      <c r="E97" s="474">
        <v>355.2</v>
      </c>
      <c r="F97" s="224">
        <f t="shared" si="15"/>
        <v>0.64695945945945954</v>
      </c>
    </row>
    <row r="98" spans="1:6" x14ac:dyDescent="0.25">
      <c r="A98">
        <f t="shared" si="13"/>
        <v>2016</v>
      </c>
      <c r="B98" s="139">
        <v>42705</v>
      </c>
      <c r="C98" s="475">
        <v>213.9</v>
      </c>
      <c r="D98" s="480">
        <f t="shared" si="14"/>
        <v>121.29999999999998</v>
      </c>
      <c r="E98" s="475">
        <v>335.2</v>
      </c>
      <c r="F98" s="148">
        <f t="shared" si="15"/>
        <v>0.63812649164677804</v>
      </c>
    </row>
    <row r="99" spans="1:6" x14ac:dyDescent="0.25">
      <c r="A99">
        <f t="shared" si="13"/>
        <v>2017</v>
      </c>
      <c r="B99" s="139">
        <v>42795</v>
      </c>
      <c r="C99" s="474">
        <v>100</v>
      </c>
      <c r="D99" s="479">
        <f t="shared" si="14"/>
        <v>250</v>
      </c>
      <c r="E99" s="474">
        <v>350</v>
      </c>
      <c r="F99" s="224">
        <f t="shared" si="15"/>
        <v>0.2857142857142857</v>
      </c>
    </row>
    <row r="100" spans="1:6" x14ac:dyDescent="0.25">
      <c r="A100">
        <f t="shared" si="13"/>
        <v>2017</v>
      </c>
      <c r="B100" s="139">
        <v>42887</v>
      </c>
      <c r="C100" s="475">
        <v>107.8</v>
      </c>
      <c r="D100" s="480">
        <f t="shared" si="14"/>
        <v>227.8</v>
      </c>
      <c r="E100" s="475">
        <v>335.6</v>
      </c>
      <c r="F100" s="148">
        <f t="shared" si="15"/>
        <v>0.32121573301549461</v>
      </c>
    </row>
    <row r="101" spans="1:6" x14ac:dyDescent="0.25">
      <c r="A101">
        <f t="shared" si="13"/>
        <v>2017</v>
      </c>
      <c r="B101" s="139">
        <v>42979</v>
      </c>
      <c r="C101" s="474">
        <v>157.19999999999999</v>
      </c>
      <c r="D101" s="479">
        <f t="shared" si="14"/>
        <v>126.30000000000001</v>
      </c>
      <c r="E101" s="474">
        <v>283.5</v>
      </c>
      <c r="F101" s="224">
        <f t="shared" si="15"/>
        <v>0.55449735449735449</v>
      </c>
    </row>
    <row r="102" spans="1:6" x14ac:dyDescent="0.25">
      <c r="A102">
        <f t="shared" si="13"/>
        <v>2017</v>
      </c>
      <c r="B102" s="139">
        <v>43070</v>
      </c>
      <c r="C102" s="475">
        <v>127.5</v>
      </c>
      <c r="D102" s="480">
        <f t="shared" si="14"/>
        <v>117.6</v>
      </c>
      <c r="E102" s="475">
        <v>245.1</v>
      </c>
      <c r="F102" s="148">
        <f t="shared" si="15"/>
        <v>0.52019583843329253</v>
      </c>
    </row>
    <row r="103" spans="1:6" x14ac:dyDescent="0.25">
      <c r="A103">
        <f t="shared" si="13"/>
        <v>2018</v>
      </c>
      <c r="B103" s="139">
        <v>43160</v>
      </c>
      <c r="C103" s="474">
        <v>75.2</v>
      </c>
      <c r="D103" s="479">
        <f t="shared" si="14"/>
        <v>108.10000000000001</v>
      </c>
      <c r="E103" s="474">
        <v>183.3</v>
      </c>
      <c r="F103" s="224">
        <f t="shared" si="15"/>
        <v>0.41025641025641024</v>
      </c>
    </row>
    <row r="104" spans="1:6" x14ac:dyDescent="0.25">
      <c r="A104">
        <f t="shared" si="13"/>
        <v>2018</v>
      </c>
      <c r="B104" s="139">
        <v>43252</v>
      </c>
      <c r="C104" s="475">
        <v>202.4</v>
      </c>
      <c r="D104" s="480">
        <f t="shared" si="14"/>
        <v>113.70000000000002</v>
      </c>
      <c r="E104" s="475">
        <v>316.10000000000002</v>
      </c>
      <c r="F104" s="148">
        <f t="shared" si="15"/>
        <v>0.64030370136032899</v>
      </c>
    </row>
    <row r="105" spans="1:6" x14ac:dyDescent="0.25">
      <c r="A105">
        <f t="shared" si="13"/>
        <v>2018</v>
      </c>
      <c r="B105" s="139">
        <v>43344</v>
      </c>
      <c r="C105" s="474">
        <v>193.1</v>
      </c>
      <c r="D105" s="479">
        <f t="shared" si="14"/>
        <v>114.79999999999998</v>
      </c>
      <c r="E105" s="474">
        <v>307.89999999999998</v>
      </c>
      <c r="F105" s="224">
        <f t="shared" si="15"/>
        <v>0.62715167262098082</v>
      </c>
    </row>
    <row r="106" spans="1:6" x14ac:dyDescent="0.25">
      <c r="A106">
        <f t="shared" si="13"/>
        <v>2018</v>
      </c>
      <c r="B106" s="139">
        <v>43435</v>
      </c>
      <c r="C106" s="475">
        <v>201.6</v>
      </c>
      <c r="D106" s="480">
        <f t="shared" si="14"/>
        <v>150.79999999999998</v>
      </c>
      <c r="E106" s="475">
        <v>352.4</v>
      </c>
      <c r="F106" s="148">
        <f t="shared" si="15"/>
        <v>0.57207718501702609</v>
      </c>
    </row>
    <row r="107" spans="1:6" x14ac:dyDescent="0.25">
      <c r="A107">
        <f t="shared" si="13"/>
        <v>2019</v>
      </c>
      <c r="B107" s="139">
        <v>43525</v>
      </c>
      <c r="C107" s="474">
        <v>82</v>
      </c>
      <c r="D107" s="479">
        <f t="shared" si="14"/>
        <v>140.5</v>
      </c>
      <c r="E107" s="474">
        <v>222.5</v>
      </c>
      <c r="F107" s="224">
        <f t="shared" si="15"/>
        <v>0.36853932584269661</v>
      </c>
    </row>
    <row r="108" spans="1:6" x14ac:dyDescent="0.25">
      <c r="A108">
        <f t="shared" si="13"/>
        <v>2019</v>
      </c>
      <c r="B108" s="139">
        <v>43617</v>
      </c>
      <c r="C108" s="475">
        <v>257.60000000000002</v>
      </c>
      <c r="D108" s="480">
        <f t="shared" si="14"/>
        <v>120.09999999999997</v>
      </c>
      <c r="E108" s="475">
        <v>377.7</v>
      </c>
      <c r="F108" s="148">
        <f t="shared" si="15"/>
        <v>0.68202276939369877</v>
      </c>
    </row>
    <row r="109" spans="1:6" x14ac:dyDescent="0.25">
      <c r="A109">
        <f t="shared" si="13"/>
        <v>2019</v>
      </c>
      <c r="B109" s="139">
        <v>43709</v>
      </c>
      <c r="C109" s="505">
        <v>219.6</v>
      </c>
      <c r="D109" s="506">
        <f t="shared" si="14"/>
        <v>150.70000000000002</v>
      </c>
      <c r="E109" s="476">
        <v>370.3</v>
      </c>
      <c r="F109" s="225">
        <f t="shared" si="15"/>
        <v>0.59303267620847955</v>
      </c>
    </row>
    <row r="110" spans="1:6" x14ac:dyDescent="0.25">
      <c r="A110">
        <f t="shared" si="13"/>
        <v>2019</v>
      </c>
      <c r="B110" s="139">
        <v>43800</v>
      </c>
      <c r="C110" s="475">
        <v>190.1</v>
      </c>
      <c r="D110" s="480">
        <f t="shared" si="14"/>
        <v>224.1</v>
      </c>
      <c r="E110" s="475">
        <v>414.2</v>
      </c>
      <c r="F110" s="148">
        <f t="shared" si="15"/>
        <v>0.4589570255915017</v>
      </c>
    </row>
    <row r="111" spans="1:6" x14ac:dyDescent="0.25">
      <c r="A111">
        <f t="shared" si="13"/>
        <v>2020</v>
      </c>
      <c r="B111" s="139">
        <v>43891</v>
      </c>
      <c r="C111" s="474">
        <v>104.5</v>
      </c>
      <c r="D111" s="479">
        <f t="shared" si="14"/>
        <v>136.9</v>
      </c>
      <c r="E111" s="474">
        <v>241.4</v>
      </c>
      <c r="F111" s="224">
        <f t="shared" si="15"/>
        <v>0.43289146644573323</v>
      </c>
    </row>
    <row r="112" spans="1:6" x14ac:dyDescent="0.25">
      <c r="A112">
        <f t="shared" si="13"/>
        <v>2020</v>
      </c>
      <c r="B112" s="139">
        <v>43983</v>
      </c>
      <c r="C112" s="475">
        <v>81.3</v>
      </c>
      <c r="D112" s="480">
        <f t="shared" si="14"/>
        <v>155.60000000000002</v>
      </c>
      <c r="E112" s="475">
        <v>236.9</v>
      </c>
      <c r="F112" s="148">
        <f t="shared" si="15"/>
        <v>0.3431827775432672</v>
      </c>
    </row>
    <row r="113" spans="1:6" x14ac:dyDescent="0.25">
      <c r="A113">
        <f t="shared" si="13"/>
        <v>2020</v>
      </c>
      <c r="B113" s="139">
        <v>44075</v>
      </c>
      <c r="C113" s="505">
        <v>78.5</v>
      </c>
      <c r="D113" s="479">
        <f t="shared" si="14"/>
        <v>145.5</v>
      </c>
      <c r="E113" s="474">
        <v>224</v>
      </c>
      <c r="F113" s="224">
        <f t="shared" si="15"/>
        <v>0.35044642857142855</v>
      </c>
    </row>
    <row r="114" spans="1:6" x14ac:dyDescent="0.25">
      <c r="A114">
        <f t="shared" si="13"/>
        <v>2020</v>
      </c>
      <c r="B114" s="139">
        <v>44166</v>
      </c>
      <c r="C114" s="475">
        <v>152.4</v>
      </c>
      <c r="D114" s="480">
        <f t="shared" si="14"/>
        <v>139.99999999999997</v>
      </c>
      <c r="E114" s="475">
        <v>292.39999999999998</v>
      </c>
      <c r="F114" s="148">
        <f t="shared" si="15"/>
        <v>0.52120383036935714</v>
      </c>
    </row>
    <row r="115" spans="1:6" x14ac:dyDescent="0.25">
      <c r="A115">
        <f t="shared" si="13"/>
        <v>2021</v>
      </c>
      <c r="B115" s="139">
        <v>44256</v>
      </c>
      <c r="C115" s="505">
        <v>85.7</v>
      </c>
      <c r="D115" s="479">
        <f t="shared" si="14"/>
        <v>116.89999999999999</v>
      </c>
      <c r="E115" s="474">
        <v>202.6</v>
      </c>
      <c r="F115" s="224">
        <f t="shared" si="15"/>
        <v>0.42300098716683121</v>
      </c>
    </row>
    <row r="116" spans="1:6" x14ac:dyDescent="0.25">
      <c r="A116">
        <f t="shared" si="13"/>
        <v>2021</v>
      </c>
      <c r="B116" s="139">
        <v>44348</v>
      </c>
      <c r="C116" s="475">
        <v>125.3</v>
      </c>
      <c r="D116" s="480">
        <f t="shared" si="14"/>
        <v>155.30000000000001</v>
      </c>
      <c r="E116" s="475">
        <v>280.60000000000002</v>
      </c>
      <c r="F116" s="148">
        <f t="shared" si="15"/>
        <v>0.44654312188168205</v>
      </c>
    </row>
    <row r="117" spans="1:6" x14ac:dyDescent="0.25">
      <c r="A117">
        <f t="shared" si="13"/>
        <v>2021</v>
      </c>
      <c r="B117" s="139">
        <v>44440</v>
      </c>
      <c r="C117" s="505">
        <v>123.8</v>
      </c>
      <c r="D117" s="479">
        <f t="shared" si="14"/>
        <v>172.5</v>
      </c>
      <c r="E117" s="474">
        <v>296.3</v>
      </c>
      <c r="F117" s="224">
        <f t="shared" si="15"/>
        <v>0.4178197772527843</v>
      </c>
    </row>
    <row r="118" spans="1:6" x14ac:dyDescent="0.25">
      <c r="A118">
        <f t="shared" si="13"/>
        <v>2021</v>
      </c>
      <c r="B118" s="192">
        <v>44531</v>
      </c>
      <c r="C118" s="475">
        <v>154</v>
      </c>
      <c r="D118" s="480">
        <f t="shared" si="14"/>
        <v>197.60000000000002</v>
      </c>
      <c r="E118" s="475">
        <v>351.6</v>
      </c>
      <c r="F118" s="148">
        <f t="shared" si="15"/>
        <v>0.43799772468714443</v>
      </c>
    </row>
    <row r="119" spans="1:6" x14ac:dyDescent="0.25">
      <c r="A119">
        <f t="shared" si="13"/>
        <v>2022</v>
      </c>
      <c r="B119" s="139">
        <v>44621</v>
      </c>
      <c r="C119" s="505">
        <v>164.4</v>
      </c>
      <c r="D119" s="479">
        <f t="shared" si="14"/>
        <v>90.6</v>
      </c>
      <c r="E119" s="474">
        <v>255</v>
      </c>
      <c r="F119" s="224">
        <f t="shared" si="15"/>
        <v>0.64470588235294124</v>
      </c>
    </row>
    <row r="120" spans="1:6" x14ac:dyDescent="0.25">
      <c r="A120">
        <f t="shared" si="13"/>
        <v>2022</v>
      </c>
      <c r="B120" s="192">
        <v>44713</v>
      </c>
      <c r="C120" s="475">
        <v>124.8</v>
      </c>
      <c r="D120" s="480">
        <f t="shared" si="14"/>
        <v>120.3</v>
      </c>
      <c r="E120" s="475">
        <v>245.1</v>
      </c>
      <c r="F120" s="148">
        <f t="shared" si="15"/>
        <v>0.50917992656058753</v>
      </c>
    </row>
    <row r="121" spans="1:6" x14ac:dyDescent="0.25">
      <c r="A121">
        <f t="shared" si="13"/>
        <v>2022</v>
      </c>
      <c r="B121" s="139">
        <v>44805</v>
      </c>
      <c r="C121" s="505">
        <v>75.7</v>
      </c>
      <c r="D121" s="479">
        <f t="shared" si="14"/>
        <v>150.39999999999998</v>
      </c>
      <c r="E121" s="474">
        <v>226.1</v>
      </c>
      <c r="F121" s="224">
        <f t="shared" si="15"/>
        <v>0.33480760725342773</v>
      </c>
    </row>
    <row r="122" spans="1:6" x14ac:dyDescent="0.25">
      <c r="A122">
        <f t="shared" si="13"/>
        <v>2022</v>
      </c>
      <c r="B122" s="192">
        <v>44896</v>
      </c>
      <c r="C122" s="475">
        <v>80.5</v>
      </c>
      <c r="D122" s="480">
        <f t="shared" si="14"/>
        <v>164.1</v>
      </c>
      <c r="E122" s="475">
        <v>244.6</v>
      </c>
      <c r="F122" s="148">
        <f t="shared" si="15"/>
        <v>0.32910874897792314</v>
      </c>
    </row>
    <row r="123" spans="1:6" x14ac:dyDescent="0.25">
      <c r="A123">
        <f t="shared" si="13"/>
        <v>2023</v>
      </c>
      <c r="B123" s="139">
        <v>44986</v>
      </c>
      <c r="C123" s="505">
        <v>96.7</v>
      </c>
      <c r="D123" s="479">
        <f t="shared" si="14"/>
        <v>110.10000000000001</v>
      </c>
      <c r="E123" s="474">
        <v>206.8</v>
      </c>
      <c r="F123" s="224">
        <f t="shared" si="15"/>
        <v>0.4676015473887814</v>
      </c>
    </row>
    <row r="124" spans="1:6" x14ac:dyDescent="0.25">
      <c r="A124">
        <f t="shared" si="13"/>
        <v>2023</v>
      </c>
      <c r="B124" s="192">
        <v>45078</v>
      </c>
      <c r="C124" s="475">
        <v>101.4</v>
      </c>
      <c r="D124" s="480">
        <f t="shared" si="14"/>
        <v>130</v>
      </c>
      <c r="E124" s="475">
        <v>231.4</v>
      </c>
      <c r="F124" s="148">
        <f t="shared" si="15"/>
        <v>0.43820224719101125</v>
      </c>
    </row>
    <row r="125" spans="1:6" x14ac:dyDescent="0.25">
      <c r="A125">
        <f t="shared" si="13"/>
        <v>2023</v>
      </c>
      <c r="B125" s="139">
        <v>45170</v>
      </c>
      <c r="C125" s="505">
        <v>167.3</v>
      </c>
      <c r="D125" s="479">
        <f t="shared" si="14"/>
        <v>161.5</v>
      </c>
      <c r="E125" s="474">
        <v>328.8</v>
      </c>
      <c r="F125" s="224">
        <f t="shared" si="15"/>
        <v>0.50881995133819957</v>
      </c>
    </row>
    <row r="126" spans="1:6" x14ac:dyDescent="0.25">
      <c r="A126">
        <f t="shared" si="13"/>
        <v>2023</v>
      </c>
      <c r="B126" s="192">
        <v>45261</v>
      </c>
      <c r="C126" s="475">
        <v>116</v>
      </c>
      <c r="D126" s="480">
        <f t="shared" si="14"/>
        <v>177.89999999999998</v>
      </c>
      <c r="E126" s="475">
        <v>293.89999999999998</v>
      </c>
      <c r="F126" s="148">
        <f t="shared" si="15"/>
        <v>0.39469207213337876</v>
      </c>
    </row>
    <row r="127" spans="1:6" x14ac:dyDescent="0.25">
      <c r="A127">
        <f t="shared" si="13"/>
        <v>2024</v>
      </c>
      <c r="B127" s="139">
        <v>45352</v>
      </c>
      <c r="C127" s="505">
        <v>164.3</v>
      </c>
      <c r="D127" s="479">
        <f t="shared" si="14"/>
        <v>172.59999999999997</v>
      </c>
      <c r="E127" s="474">
        <v>336.9</v>
      </c>
      <c r="F127" s="224">
        <f t="shared" si="15"/>
        <v>0.48768180468981903</v>
      </c>
    </row>
    <row r="128" spans="1:6" x14ac:dyDescent="0.25">
      <c r="A128">
        <f t="shared" si="13"/>
        <v>2024</v>
      </c>
      <c r="B128" s="192">
        <v>45444</v>
      </c>
      <c r="C128" s="475">
        <v>121.1</v>
      </c>
      <c r="D128" s="480">
        <f t="shared" si="14"/>
        <v>184.9</v>
      </c>
      <c r="E128" s="475">
        <v>306</v>
      </c>
      <c r="F128" s="148">
        <f t="shared" si="15"/>
        <v>0.39575163398692809</v>
      </c>
    </row>
    <row r="129" spans="1:6" x14ac:dyDescent="0.25">
      <c r="A129">
        <f t="shared" si="13"/>
        <v>2024</v>
      </c>
      <c r="B129" s="139">
        <v>45536</v>
      </c>
      <c r="C129" s="505">
        <v>74.7</v>
      </c>
      <c r="D129" s="479">
        <f t="shared" si="14"/>
        <v>239.90000000000003</v>
      </c>
      <c r="E129" s="474">
        <v>314.60000000000002</v>
      </c>
      <c r="F129" s="224">
        <f t="shared" si="15"/>
        <v>0.23744437380801017</v>
      </c>
    </row>
    <row r="130" spans="1:6" x14ac:dyDescent="0.25">
      <c r="A130">
        <f t="shared" si="13"/>
        <v>2024</v>
      </c>
      <c r="B130" s="192">
        <v>45627</v>
      </c>
      <c r="C130" s="475">
        <v>123.9</v>
      </c>
      <c r="D130" s="480">
        <f t="shared" si="14"/>
        <v>334.4</v>
      </c>
      <c r="E130" s="475">
        <v>458.3</v>
      </c>
      <c r="F130" s="148">
        <f t="shared" si="15"/>
        <v>0.27034693432249618</v>
      </c>
    </row>
    <row r="131" spans="1:6" x14ac:dyDescent="0.25">
      <c r="A131">
        <f t="shared" si="13"/>
        <v>2025</v>
      </c>
      <c r="B131" s="139">
        <v>45717</v>
      </c>
      <c r="C131" s="505">
        <v>42.2</v>
      </c>
      <c r="D131" s="479">
        <f t="shared" si="14"/>
        <v>256.10000000000002</v>
      </c>
      <c r="E131" s="474">
        <v>298.3</v>
      </c>
      <c r="F131" s="224">
        <f t="shared" si="15"/>
        <v>0.1414683204827355</v>
      </c>
    </row>
    <row r="132" spans="1:6" x14ac:dyDescent="0.25">
      <c r="A132">
        <f t="shared" si="13"/>
        <v>2025</v>
      </c>
      <c r="B132" s="192">
        <v>45809</v>
      </c>
      <c r="C132" s="475">
        <v>111.9</v>
      </c>
      <c r="D132" s="480">
        <f t="shared" si="14"/>
        <v>182.6</v>
      </c>
      <c r="E132" s="475">
        <v>294.5</v>
      </c>
      <c r="F132" s="148">
        <f t="shared" si="15"/>
        <v>0.37996604414261465</v>
      </c>
    </row>
    <row r="133" spans="1:6" x14ac:dyDescent="0.25">
      <c r="A133">
        <f t="shared" si="13"/>
        <v>2025</v>
      </c>
      <c r="B133" s="139">
        <v>45901</v>
      </c>
      <c r="C133" s="505">
        <v>141.9</v>
      </c>
      <c r="D133" s="479">
        <f t="shared" si="14"/>
        <v>313.5</v>
      </c>
      <c r="E133" s="474">
        <v>455.4</v>
      </c>
      <c r="F133" s="224">
        <f t="shared" si="15"/>
        <v>0.31159420289855078</v>
      </c>
    </row>
    <row r="134" spans="1:6" ht="15.75" thickBot="1" x14ac:dyDescent="0.3">
      <c r="A134">
        <f t="shared" si="13"/>
        <v>2025</v>
      </c>
      <c r="B134" s="199">
        <v>45992</v>
      </c>
      <c r="C134" s="511">
        <v>68.8</v>
      </c>
      <c r="D134" s="489">
        <f t="shared" si="14"/>
        <v>490.59999999999997</v>
      </c>
      <c r="E134" s="511">
        <v>559.4</v>
      </c>
      <c r="F134" s="164">
        <f t="shared" si="15"/>
        <v>0.12298891669646049</v>
      </c>
    </row>
    <row r="135" spans="1:6" x14ac:dyDescent="0.25">
      <c r="A135">
        <f t="shared" si="13"/>
        <v>1900</v>
      </c>
    </row>
    <row r="136" spans="1:6" x14ac:dyDescent="0.25">
      <c r="A136">
        <f t="shared" si="13"/>
        <v>1900</v>
      </c>
    </row>
    <row r="137" spans="1:6" x14ac:dyDescent="0.25">
      <c r="A137">
        <f t="shared" ref="A137:A200" si="16">YEAR(B137)</f>
        <v>1900</v>
      </c>
    </row>
    <row r="138" spans="1:6" x14ac:dyDescent="0.25">
      <c r="A138">
        <f t="shared" si="16"/>
        <v>1900</v>
      </c>
    </row>
    <row r="139" spans="1:6" x14ac:dyDescent="0.25">
      <c r="A139">
        <f t="shared" si="16"/>
        <v>1900</v>
      </c>
    </row>
    <row r="140" spans="1:6" x14ac:dyDescent="0.25">
      <c r="A140">
        <f t="shared" si="16"/>
        <v>1900</v>
      </c>
    </row>
    <row r="141" spans="1:6" x14ac:dyDescent="0.25">
      <c r="A141">
        <f t="shared" si="16"/>
        <v>1900</v>
      </c>
    </row>
    <row r="142" spans="1:6" x14ac:dyDescent="0.25">
      <c r="A142">
        <f t="shared" si="16"/>
        <v>1900</v>
      </c>
    </row>
    <row r="143" spans="1:6" x14ac:dyDescent="0.25">
      <c r="A143">
        <f t="shared" si="16"/>
        <v>1900</v>
      </c>
    </row>
    <row r="144" spans="1:6" x14ac:dyDescent="0.25">
      <c r="A144">
        <f t="shared" si="16"/>
        <v>1900</v>
      </c>
    </row>
    <row r="145" spans="1:1" x14ac:dyDescent="0.25">
      <c r="A145">
        <f t="shared" si="16"/>
        <v>1900</v>
      </c>
    </row>
    <row r="146" spans="1:1" x14ac:dyDescent="0.25">
      <c r="A146">
        <f t="shared" si="16"/>
        <v>1900</v>
      </c>
    </row>
    <row r="147" spans="1:1" x14ac:dyDescent="0.25">
      <c r="A147">
        <f t="shared" si="16"/>
        <v>1900</v>
      </c>
    </row>
    <row r="148" spans="1:1" x14ac:dyDescent="0.25">
      <c r="A148">
        <f t="shared" si="16"/>
        <v>1900</v>
      </c>
    </row>
    <row r="149" spans="1:1" x14ac:dyDescent="0.25">
      <c r="A149">
        <f t="shared" si="16"/>
        <v>1900</v>
      </c>
    </row>
    <row r="150" spans="1:1" x14ac:dyDescent="0.25">
      <c r="A150">
        <f t="shared" si="16"/>
        <v>1900</v>
      </c>
    </row>
    <row r="151" spans="1:1" x14ac:dyDescent="0.25">
      <c r="A151">
        <f t="shared" si="16"/>
        <v>1900</v>
      </c>
    </row>
    <row r="152" spans="1:1" x14ac:dyDescent="0.25">
      <c r="A152">
        <f t="shared" si="16"/>
        <v>1900</v>
      </c>
    </row>
    <row r="153" spans="1:1" x14ac:dyDescent="0.25">
      <c r="A153">
        <f t="shared" si="16"/>
        <v>1900</v>
      </c>
    </row>
    <row r="154" spans="1:1" x14ac:dyDescent="0.25">
      <c r="A154">
        <f t="shared" si="16"/>
        <v>1900</v>
      </c>
    </row>
    <row r="155" spans="1:1" x14ac:dyDescent="0.25">
      <c r="A155">
        <f t="shared" si="16"/>
        <v>1900</v>
      </c>
    </row>
    <row r="156" spans="1:1" x14ac:dyDescent="0.25">
      <c r="A156">
        <f t="shared" si="16"/>
        <v>1900</v>
      </c>
    </row>
    <row r="157" spans="1:1" x14ac:dyDescent="0.25">
      <c r="A157">
        <f t="shared" si="16"/>
        <v>1900</v>
      </c>
    </row>
    <row r="158" spans="1:1" x14ac:dyDescent="0.25">
      <c r="A158">
        <f t="shared" si="16"/>
        <v>1900</v>
      </c>
    </row>
    <row r="159" spans="1:1" x14ac:dyDescent="0.25">
      <c r="A159">
        <f t="shared" si="16"/>
        <v>1900</v>
      </c>
    </row>
    <row r="160" spans="1:1" x14ac:dyDescent="0.25">
      <c r="A160">
        <f t="shared" si="16"/>
        <v>1900</v>
      </c>
    </row>
    <row r="161" spans="1:1" x14ac:dyDescent="0.25">
      <c r="A161">
        <f t="shared" si="16"/>
        <v>1900</v>
      </c>
    </row>
    <row r="162" spans="1:1" x14ac:dyDescent="0.25">
      <c r="A162">
        <f t="shared" si="16"/>
        <v>1900</v>
      </c>
    </row>
    <row r="163" spans="1:1" x14ac:dyDescent="0.25">
      <c r="A163">
        <f t="shared" si="16"/>
        <v>1900</v>
      </c>
    </row>
    <row r="164" spans="1:1" x14ac:dyDescent="0.25">
      <c r="A164">
        <f t="shared" si="16"/>
        <v>1900</v>
      </c>
    </row>
    <row r="165" spans="1:1" x14ac:dyDescent="0.25">
      <c r="A165">
        <f t="shared" si="16"/>
        <v>1900</v>
      </c>
    </row>
    <row r="166" spans="1:1" x14ac:dyDescent="0.25">
      <c r="A166">
        <f t="shared" si="16"/>
        <v>1900</v>
      </c>
    </row>
    <row r="167" spans="1:1" x14ac:dyDescent="0.25">
      <c r="A167">
        <f t="shared" si="16"/>
        <v>1900</v>
      </c>
    </row>
    <row r="168" spans="1:1" x14ac:dyDescent="0.25">
      <c r="A168">
        <f t="shared" si="16"/>
        <v>1900</v>
      </c>
    </row>
    <row r="169" spans="1:1" x14ac:dyDescent="0.25">
      <c r="A169">
        <f t="shared" si="16"/>
        <v>1900</v>
      </c>
    </row>
    <row r="170" spans="1:1" x14ac:dyDescent="0.25">
      <c r="A170">
        <f t="shared" si="16"/>
        <v>1900</v>
      </c>
    </row>
    <row r="171" spans="1:1" x14ac:dyDescent="0.25">
      <c r="A171">
        <f t="shared" si="16"/>
        <v>1900</v>
      </c>
    </row>
    <row r="172" spans="1:1" x14ac:dyDescent="0.25">
      <c r="A172">
        <f t="shared" si="16"/>
        <v>1900</v>
      </c>
    </row>
    <row r="173" spans="1:1" x14ac:dyDescent="0.25">
      <c r="A173">
        <f t="shared" si="16"/>
        <v>1900</v>
      </c>
    </row>
    <row r="174" spans="1:1" x14ac:dyDescent="0.25">
      <c r="A174">
        <f t="shared" si="16"/>
        <v>1900</v>
      </c>
    </row>
    <row r="175" spans="1:1" x14ac:dyDescent="0.25">
      <c r="A175">
        <f t="shared" si="16"/>
        <v>1900</v>
      </c>
    </row>
    <row r="176" spans="1:1" x14ac:dyDescent="0.25">
      <c r="A176">
        <f t="shared" si="16"/>
        <v>1900</v>
      </c>
    </row>
    <row r="177" spans="1:1" x14ac:dyDescent="0.25">
      <c r="A177">
        <f t="shared" si="16"/>
        <v>1900</v>
      </c>
    </row>
    <row r="178" spans="1:1" x14ac:dyDescent="0.25">
      <c r="A178">
        <f t="shared" si="16"/>
        <v>1900</v>
      </c>
    </row>
    <row r="179" spans="1:1" x14ac:dyDescent="0.25">
      <c r="A179">
        <f t="shared" si="16"/>
        <v>1900</v>
      </c>
    </row>
    <row r="180" spans="1:1" x14ac:dyDescent="0.25">
      <c r="A180">
        <f t="shared" si="16"/>
        <v>1900</v>
      </c>
    </row>
    <row r="181" spans="1:1" x14ac:dyDescent="0.25">
      <c r="A181">
        <f t="shared" si="16"/>
        <v>1900</v>
      </c>
    </row>
    <row r="182" spans="1:1" x14ac:dyDescent="0.25">
      <c r="A182">
        <f t="shared" si="16"/>
        <v>1900</v>
      </c>
    </row>
    <row r="183" spans="1:1" x14ac:dyDescent="0.25">
      <c r="A183">
        <f t="shared" si="16"/>
        <v>1900</v>
      </c>
    </row>
    <row r="184" spans="1:1" x14ac:dyDescent="0.25">
      <c r="A184">
        <f t="shared" si="16"/>
        <v>1900</v>
      </c>
    </row>
    <row r="185" spans="1:1" x14ac:dyDescent="0.25">
      <c r="A185">
        <f t="shared" si="16"/>
        <v>1900</v>
      </c>
    </row>
    <row r="186" spans="1:1" x14ac:dyDescent="0.25">
      <c r="A186">
        <f t="shared" si="16"/>
        <v>1900</v>
      </c>
    </row>
    <row r="187" spans="1:1" x14ac:dyDescent="0.25">
      <c r="A187">
        <f t="shared" si="16"/>
        <v>1900</v>
      </c>
    </row>
    <row r="188" spans="1:1" x14ac:dyDescent="0.25">
      <c r="A188">
        <f t="shared" si="16"/>
        <v>1900</v>
      </c>
    </row>
    <row r="189" spans="1:1" x14ac:dyDescent="0.25">
      <c r="A189">
        <f t="shared" si="16"/>
        <v>1900</v>
      </c>
    </row>
    <row r="190" spans="1:1" x14ac:dyDescent="0.25">
      <c r="A190">
        <f t="shared" si="16"/>
        <v>1900</v>
      </c>
    </row>
    <row r="191" spans="1:1" x14ac:dyDescent="0.25">
      <c r="A191">
        <f t="shared" si="16"/>
        <v>1900</v>
      </c>
    </row>
    <row r="192" spans="1:1" x14ac:dyDescent="0.25">
      <c r="A192">
        <f t="shared" si="16"/>
        <v>1900</v>
      </c>
    </row>
    <row r="193" spans="1:1" x14ac:dyDescent="0.25">
      <c r="A193">
        <f t="shared" si="16"/>
        <v>1900</v>
      </c>
    </row>
    <row r="194" spans="1:1" x14ac:dyDescent="0.25">
      <c r="A194">
        <f t="shared" si="16"/>
        <v>1900</v>
      </c>
    </row>
    <row r="195" spans="1:1" x14ac:dyDescent="0.25">
      <c r="A195">
        <f t="shared" si="16"/>
        <v>1900</v>
      </c>
    </row>
    <row r="196" spans="1:1" x14ac:dyDescent="0.25">
      <c r="A196">
        <f t="shared" si="16"/>
        <v>1900</v>
      </c>
    </row>
    <row r="197" spans="1:1" x14ac:dyDescent="0.25">
      <c r="A197">
        <f t="shared" si="16"/>
        <v>1900</v>
      </c>
    </row>
    <row r="198" spans="1:1" x14ac:dyDescent="0.25">
      <c r="A198">
        <f t="shared" si="16"/>
        <v>1900</v>
      </c>
    </row>
    <row r="199" spans="1:1" x14ac:dyDescent="0.25">
      <c r="A199">
        <f t="shared" si="16"/>
        <v>1900</v>
      </c>
    </row>
    <row r="200" spans="1:1" x14ac:dyDescent="0.25">
      <c r="A200">
        <f t="shared" si="16"/>
        <v>1900</v>
      </c>
    </row>
    <row r="201" spans="1:1" x14ac:dyDescent="0.25">
      <c r="A201">
        <f t="shared" ref="A201:A264" si="17">YEAR(B201)</f>
        <v>1900</v>
      </c>
    </row>
    <row r="202" spans="1:1" x14ac:dyDescent="0.25">
      <c r="A202">
        <f t="shared" si="17"/>
        <v>1900</v>
      </c>
    </row>
    <row r="203" spans="1:1" x14ac:dyDescent="0.25">
      <c r="A203">
        <f t="shared" si="17"/>
        <v>1900</v>
      </c>
    </row>
    <row r="204" spans="1:1" x14ac:dyDescent="0.25">
      <c r="A204">
        <f t="shared" si="17"/>
        <v>1900</v>
      </c>
    </row>
    <row r="205" spans="1:1" x14ac:dyDescent="0.25">
      <c r="A205">
        <f t="shared" si="17"/>
        <v>1900</v>
      </c>
    </row>
    <row r="206" spans="1:1" x14ac:dyDescent="0.25">
      <c r="A206">
        <f t="shared" si="17"/>
        <v>1900</v>
      </c>
    </row>
    <row r="207" spans="1:1" x14ac:dyDescent="0.25">
      <c r="A207">
        <f t="shared" si="17"/>
        <v>1900</v>
      </c>
    </row>
    <row r="208" spans="1:1" x14ac:dyDescent="0.25">
      <c r="A208">
        <f t="shared" si="17"/>
        <v>1900</v>
      </c>
    </row>
    <row r="209" spans="1:1" x14ac:dyDescent="0.25">
      <c r="A209">
        <f t="shared" si="17"/>
        <v>1900</v>
      </c>
    </row>
    <row r="210" spans="1:1" x14ac:dyDescent="0.25">
      <c r="A210">
        <f t="shared" si="17"/>
        <v>1900</v>
      </c>
    </row>
    <row r="211" spans="1:1" x14ac:dyDescent="0.25">
      <c r="A211">
        <f t="shared" si="17"/>
        <v>1900</v>
      </c>
    </row>
    <row r="212" spans="1:1" x14ac:dyDescent="0.25">
      <c r="A212">
        <f t="shared" si="17"/>
        <v>1900</v>
      </c>
    </row>
    <row r="213" spans="1:1" x14ac:dyDescent="0.25">
      <c r="A213">
        <f t="shared" si="17"/>
        <v>1900</v>
      </c>
    </row>
    <row r="214" spans="1:1" x14ac:dyDescent="0.25">
      <c r="A214">
        <f t="shared" si="17"/>
        <v>1900</v>
      </c>
    </row>
    <row r="215" spans="1:1" x14ac:dyDescent="0.25">
      <c r="A215">
        <f t="shared" si="17"/>
        <v>1900</v>
      </c>
    </row>
    <row r="216" spans="1:1" x14ac:dyDescent="0.25">
      <c r="A216">
        <f t="shared" si="17"/>
        <v>1900</v>
      </c>
    </row>
    <row r="217" spans="1:1" x14ac:dyDescent="0.25">
      <c r="A217">
        <f t="shared" si="17"/>
        <v>1900</v>
      </c>
    </row>
    <row r="218" spans="1:1" x14ac:dyDescent="0.25">
      <c r="A218">
        <f t="shared" si="17"/>
        <v>1900</v>
      </c>
    </row>
    <row r="219" spans="1:1" x14ac:dyDescent="0.25">
      <c r="A219">
        <f t="shared" si="17"/>
        <v>1900</v>
      </c>
    </row>
    <row r="220" spans="1:1" x14ac:dyDescent="0.25">
      <c r="A220">
        <f t="shared" si="17"/>
        <v>1900</v>
      </c>
    </row>
    <row r="221" spans="1:1" x14ac:dyDescent="0.25">
      <c r="A221">
        <f t="shared" si="17"/>
        <v>1900</v>
      </c>
    </row>
    <row r="222" spans="1:1" x14ac:dyDescent="0.25">
      <c r="A222">
        <f t="shared" si="17"/>
        <v>1900</v>
      </c>
    </row>
    <row r="223" spans="1:1" x14ac:dyDescent="0.25">
      <c r="A223">
        <f t="shared" si="17"/>
        <v>1900</v>
      </c>
    </row>
    <row r="224" spans="1:1" x14ac:dyDescent="0.25">
      <c r="A224">
        <f t="shared" si="17"/>
        <v>1900</v>
      </c>
    </row>
    <row r="225" spans="1:5" x14ac:dyDescent="0.25">
      <c r="A225">
        <f t="shared" si="17"/>
        <v>1900</v>
      </c>
    </row>
    <row r="226" spans="1:5" x14ac:dyDescent="0.25">
      <c r="A226">
        <f t="shared" si="17"/>
        <v>1900</v>
      </c>
    </row>
    <row r="227" spans="1:5" x14ac:dyDescent="0.25">
      <c r="A227">
        <f t="shared" si="17"/>
        <v>1900</v>
      </c>
    </row>
    <row r="228" spans="1:5" x14ac:dyDescent="0.25">
      <c r="A228">
        <f t="shared" si="17"/>
        <v>1900</v>
      </c>
    </row>
    <row r="229" spans="1:5" x14ac:dyDescent="0.25">
      <c r="A229">
        <f t="shared" si="17"/>
        <v>1900</v>
      </c>
    </row>
    <row r="230" spans="1:5" x14ac:dyDescent="0.25">
      <c r="A230">
        <f t="shared" si="17"/>
        <v>1900</v>
      </c>
    </row>
    <row r="231" spans="1:5" x14ac:dyDescent="0.25">
      <c r="A231">
        <f t="shared" si="17"/>
        <v>1900</v>
      </c>
      <c r="C231" s="12"/>
      <c r="E231" s="12"/>
    </row>
    <row r="232" spans="1:5" x14ac:dyDescent="0.25">
      <c r="A232">
        <f t="shared" si="17"/>
        <v>1900</v>
      </c>
      <c r="C232" s="12"/>
      <c r="E232" s="12"/>
    </row>
    <row r="233" spans="1:5" x14ac:dyDescent="0.25">
      <c r="A233">
        <f t="shared" si="17"/>
        <v>1900</v>
      </c>
      <c r="C233" s="12"/>
      <c r="E233" s="12"/>
    </row>
    <row r="234" spans="1:5" x14ac:dyDescent="0.25">
      <c r="A234">
        <f t="shared" si="17"/>
        <v>1900</v>
      </c>
      <c r="C234" s="12"/>
      <c r="E234" s="12"/>
    </row>
    <row r="235" spans="1:5" x14ac:dyDescent="0.25">
      <c r="A235">
        <f t="shared" si="17"/>
        <v>1900</v>
      </c>
      <c r="C235" s="12"/>
      <c r="E235" s="12"/>
    </row>
    <row r="236" spans="1:5" x14ac:dyDescent="0.25">
      <c r="A236">
        <f t="shared" si="17"/>
        <v>1900</v>
      </c>
      <c r="C236" s="12"/>
      <c r="E236" s="12"/>
    </row>
    <row r="237" spans="1:5" x14ac:dyDescent="0.25">
      <c r="A237">
        <f t="shared" si="17"/>
        <v>1900</v>
      </c>
      <c r="C237" s="12"/>
      <c r="E237" s="12"/>
    </row>
    <row r="238" spans="1:5" x14ac:dyDescent="0.25">
      <c r="A238">
        <f t="shared" si="17"/>
        <v>1900</v>
      </c>
      <c r="C238" s="12"/>
      <c r="E238" s="12"/>
    </row>
    <row r="239" spans="1:5" x14ac:dyDescent="0.25">
      <c r="A239">
        <f t="shared" si="17"/>
        <v>1900</v>
      </c>
      <c r="C239" s="12"/>
      <c r="E239" s="12"/>
    </row>
    <row r="240" spans="1:5" x14ac:dyDescent="0.25">
      <c r="A240">
        <f t="shared" si="17"/>
        <v>1900</v>
      </c>
      <c r="C240" s="12"/>
      <c r="E240" s="12"/>
    </row>
    <row r="241" spans="1:5" x14ac:dyDescent="0.25">
      <c r="A241">
        <f t="shared" si="17"/>
        <v>1900</v>
      </c>
      <c r="C241" s="12"/>
      <c r="E241" s="12"/>
    </row>
    <row r="242" spans="1:5" x14ac:dyDescent="0.25">
      <c r="A242">
        <f t="shared" si="17"/>
        <v>1900</v>
      </c>
      <c r="C242" s="12"/>
      <c r="E242" s="12"/>
    </row>
    <row r="243" spans="1:5" x14ac:dyDescent="0.25">
      <c r="A243">
        <f t="shared" si="17"/>
        <v>1900</v>
      </c>
      <c r="C243" s="12"/>
      <c r="E243" s="12"/>
    </row>
    <row r="244" spans="1:5" x14ac:dyDescent="0.25">
      <c r="A244">
        <f t="shared" si="17"/>
        <v>1900</v>
      </c>
      <c r="C244" s="12"/>
      <c r="E244" s="12"/>
    </row>
    <row r="245" spans="1:5" x14ac:dyDescent="0.25">
      <c r="A245">
        <f t="shared" si="17"/>
        <v>1900</v>
      </c>
      <c r="C245" s="12"/>
      <c r="E245" s="12"/>
    </row>
    <row r="246" spans="1:5" x14ac:dyDescent="0.25">
      <c r="A246">
        <f t="shared" si="17"/>
        <v>1900</v>
      </c>
      <c r="C246" s="12"/>
      <c r="E246" s="12"/>
    </row>
    <row r="247" spans="1:5" x14ac:dyDescent="0.25">
      <c r="A247">
        <f t="shared" si="17"/>
        <v>1900</v>
      </c>
      <c r="C247" s="12"/>
      <c r="E247" s="12"/>
    </row>
    <row r="248" spans="1:5" x14ac:dyDescent="0.25">
      <c r="A248">
        <f t="shared" si="17"/>
        <v>1900</v>
      </c>
      <c r="C248" s="12"/>
      <c r="E248" s="12"/>
    </row>
    <row r="249" spans="1:5" x14ac:dyDescent="0.25">
      <c r="A249">
        <f t="shared" si="17"/>
        <v>1900</v>
      </c>
      <c r="C249" s="12"/>
      <c r="E249" s="12"/>
    </row>
    <row r="250" spans="1:5" x14ac:dyDescent="0.25">
      <c r="A250">
        <f t="shared" si="17"/>
        <v>1900</v>
      </c>
      <c r="C250" s="12"/>
      <c r="E250" s="12"/>
    </row>
    <row r="251" spans="1:5" x14ac:dyDescent="0.25">
      <c r="A251">
        <f t="shared" si="17"/>
        <v>1900</v>
      </c>
      <c r="C251" s="12"/>
      <c r="E251" s="12"/>
    </row>
    <row r="252" spans="1:5" x14ac:dyDescent="0.25">
      <c r="A252">
        <f t="shared" si="17"/>
        <v>1900</v>
      </c>
      <c r="C252" s="12"/>
      <c r="E252" s="12"/>
    </row>
    <row r="253" spans="1:5" x14ac:dyDescent="0.25">
      <c r="A253">
        <f t="shared" si="17"/>
        <v>1900</v>
      </c>
      <c r="C253" s="12"/>
      <c r="E253" s="12"/>
    </row>
    <row r="254" spans="1:5" x14ac:dyDescent="0.25">
      <c r="A254">
        <f t="shared" si="17"/>
        <v>1900</v>
      </c>
      <c r="C254" s="12"/>
      <c r="E254" s="12"/>
    </row>
    <row r="255" spans="1:5" x14ac:dyDescent="0.25">
      <c r="A255">
        <f t="shared" si="17"/>
        <v>1900</v>
      </c>
      <c r="C255" s="12"/>
      <c r="E255" s="12"/>
    </row>
    <row r="256" spans="1:5" x14ac:dyDescent="0.25">
      <c r="A256">
        <f t="shared" si="17"/>
        <v>1900</v>
      </c>
      <c r="C256" s="12"/>
      <c r="E256" s="12"/>
    </row>
    <row r="257" spans="1:5" x14ac:dyDescent="0.25">
      <c r="A257">
        <f t="shared" si="17"/>
        <v>1900</v>
      </c>
      <c r="C257" s="12"/>
      <c r="E257" s="12"/>
    </row>
    <row r="258" spans="1:5" x14ac:dyDescent="0.25">
      <c r="A258">
        <f t="shared" si="17"/>
        <v>1900</v>
      </c>
      <c r="C258" s="12"/>
      <c r="E258" s="12"/>
    </row>
    <row r="259" spans="1:5" x14ac:dyDescent="0.25">
      <c r="A259">
        <f t="shared" si="17"/>
        <v>1900</v>
      </c>
      <c r="C259" s="12"/>
      <c r="E259" s="12"/>
    </row>
    <row r="260" spans="1:5" x14ac:dyDescent="0.25">
      <c r="A260">
        <f t="shared" si="17"/>
        <v>1900</v>
      </c>
      <c r="C260" s="12"/>
      <c r="E260" s="12"/>
    </row>
    <row r="261" spans="1:5" x14ac:dyDescent="0.25">
      <c r="A261">
        <f t="shared" si="17"/>
        <v>1900</v>
      </c>
      <c r="C261" s="12"/>
      <c r="E261" s="12"/>
    </row>
    <row r="262" spans="1:5" x14ac:dyDescent="0.25">
      <c r="A262">
        <f t="shared" si="17"/>
        <v>1900</v>
      </c>
      <c r="C262" s="12"/>
      <c r="E262" s="12"/>
    </row>
    <row r="263" spans="1:5" x14ac:dyDescent="0.25">
      <c r="A263">
        <f t="shared" si="17"/>
        <v>1900</v>
      </c>
      <c r="C263" s="12"/>
      <c r="E263" s="12"/>
    </row>
    <row r="264" spans="1:5" x14ac:dyDescent="0.25">
      <c r="A264">
        <f t="shared" si="17"/>
        <v>1900</v>
      </c>
      <c r="C264" s="12"/>
      <c r="E264" s="12"/>
    </row>
    <row r="265" spans="1:5" x14ac:dyDescent="0.25">
      <c r="A265">
        <f t="shared" ref="A265:A328" si="18">YEAR(B265)</f>
        <v>1900</v>
      </c>
      <c r="C265" s="12"/>
      <c r="E265" s="12"/>
    </row>
    <row r="266" spans="1:5" x14ac:dyDescent="0.25">
      <c r="A266">
        <f t="shared" si="18"/>
        <v>1900</v>
      </c>
      <c r="C266" s="12"/>
      <c r="E266" s="12"/>
    </row>
    <row r="267" spans="1:5" x14ac:dyDescent="0.25">
      <c r="A267">
        <f t="shared" si="18"/>
        <v>1900</v>
      </c>
      <c r="C267" s="12"/>
      <c r="E267" s="12"/>
    </row>
    <row r="268" spans="1:5" x14ac:dyDescent="0.25">
      <c r="A268">
        <f t="shared" si="18"/>
        <v>1900</v>
      </c>
      <c r="C268" s="12"/>
      <c r="E268" s="12"/>
    </row>
    <row r="269" spans="1:5" x14ac:dyDescent="0.25">
      <c r="A269">
        <f t="shared" si="18"/>
        <v>1900</v>
      </c>
      <c r="C269" s="12"/>
      <c r="E269" s="12"/>
    </row>
    <row r="270" spans="1:5" x14ac:dyDescent="0.25">
      <c r="A270">
        <f t="shared" si="18"/>
        <v>1900</v>
      </c>
      <c r="C270" s="12"/>
      <c r="E270" s="12"/>
    </row>
    <row r="271" spans="1:5" x14ac:dyDescent="0.25">
      <c r="A271">
        <f t="shared" si="18"/>
        <v>1900</v>
      </c>
      <c r="C271" s="12"/>
      <c r="E271" s="12"/>
    </row>
    <row r="272" spans="1:5" x14ac:dyDescent="0.25">
      <c r="A272">
        <f t="shared" si="18"/>
        <v>1900</v>
      </c>
      <c r="C272" s="12"/>
      <c r="E272" s="12"/>
    </row>
    <row r="273" spans="1:5" x14ac:dyDescent="0.25">
      <c r="A273">
        <f t="shared" si="18"/>
        <v>1900</v>
      </c>
      <c r="C273" s="12"/>
      <c r="E273" s="12"/>
    </row>
    <row r="274" spans="1:5" x14ac:dyDescent="0.25">
      <c r="A274">
        <f t="shared" si="18"/>
        <v>1900</v>
      </c>
      <c r="C274" s="12"/>
      <c r="E274" s="12"/>
    </row>
    <row r="275" spans="1:5" x14ac:dyDescent="0.25">
      <c r="A275">
        <f t="shared" si="18"/>
        <v>1900</v>
      </c>
      <c r="C275" s="12"/>
      <c r="E275" s="12"/>
    </row>
    <row r="276" spans="1:5" x14ac:dyDescent="0.25">
      <c r="A276">
        <f t="shared" si="18"/>
        <v>1900</v>
      </c>
      <c r="C276" s="12"/>
      <c r="E276" s="12"/>
    </row>
    <row r="277" spans="1:5" x14ac:dyDescent="0.25">
      <c r="A277">
        <f t="shared" si="18"/>
        <v>1900</v>
      </c>
      <c r="C277" s="12"/>
      <c r="E277" s="12"/>
    </row>
    <row r="278" spans="1:5" x14ac:dyDescent="0.25">
      <c r="A278">
        <f t="shared" si="18"/>
        <v>1900</v>
      </c>
      <c r="C278" s="12"/>
      <c r="E278" s="12"/>
    </row>
    <row r="279" spans="1:5" x14ac:dyDescent="0.25">
      <c r="A279">
        <f t="shared" si="18"/>
        <v>1900</v>
      </c>
      <c r="C279" s="12"/>
      <c r="E279" s="12"/>
    </row>
    <row r="280" spans="1:5" x14ac:dyDescent="0.25">
      <c r="A280">
        <f t="shared" si="18"/>
        <v>1900</v>
      </c>
      <c r="C280" s="12"/>
      <c r="E280" s="12"/>
    </row>
    <row r="281" spans="1:5" x14ac:dyDescent="0.25">
      <c r="A281">
        <f t="shared" si="18"/>
        <v>1900</v>
      </c>
      <c r="C281" s="12"/>
      <c r="E281" s="12"/>
    </row>
    <row r="282" spans="1:5" x14ac:dyDescent="0.25">
      <c r="A282">
        <f t="shared" si="18"/>
        <v>1900</v>
      </c>
      <c r="C282" s="12"/>
      <c r="E282" s="12"/>
    </row>
    <row r="283" spans="1:5" x14ac:dyDescent="0.25">
      <c r="A283">
        <f t="shared" si="18"/>
        <v>1900</v>
      </c>
      <c r="C283" s="12"/>
      <c r="E283" s="12"/>
    </row>
    <row r="284" spans="1:5" x14ac:dyDescent="0.25">
      <c r="A284">
        <f t="shared" si="18"/>
        <v>1900</v>
      </c>
      <c r="C284" s="12"/>
      <c r="E284" s="12"/>
    </row>
    <row r="285" spans="1:5" x14ac:dyDescent="0.25">
      <c r="A285">
        <f t="shared" si="18"/>
        <v>1900</v>
      </c>
      <c r="C285" s="12"/>
      <c r="E285" s="12"/>
    </row>
    <row r="286" spans="1:5" x14ac:dyDescent="0.25">
      <c r="A286">
        <f t="shared" si="18"/>
        <v>1900</v>
      </c>
      <c r="C286" s="12"/>
      <c r="E286" s="12"/>
    </row>
    <row r="287" spans="1:5" x14ac:dyDescent="0.25">
      <c r="A287">
        <f t="shared" si="18"/>
        <v>1900</v>
      </c>
      <c r="C287" s="12"/>
      <c r="E287" s="12"/>
    </row>
    <row r="288" spans="1:5" x14ac:dyDescent="0.25">
      <c r="A288">
        <f t="shared" si="18"/>
        <v>1900</v>
      </c>
      <c r="C288" s="12"/>
      <c r="E288" s="12"/>
    </row>
    <row r="289" spans="1:5" x14ac:dyDescent="0.25">
      <c r="A289">
        <f t="shared" si="18"/>
        <v>1900</v>
      </c>
      <c r="C289" s="12"/>
      <c r="E289" s="12"/>
    </row>
    <row r="290" spans="1:5" x14ac:dyDescent="0.25">
      <c r="A290">
        <f t="shared" si="18"/>
        <v>1900</v>
      </c>
      <c r="C290" s="12"/>
      <c r="E290" s="12"/>
    </row>
    <row r="291" spans="1:5" x14ac:dyDescent="0.25">
      <c r="A291">
        <f t="shared" si="18"/>
        <v>1900</v>
      </c>
      <c r="C291" s="12"/>
      <c r="E291" s="12"/>
    </row>
    <row r="292" spans="1:5" x14ac:dyDescent="0.25">
      <c r="A292">
        <f t="shared" si="18"/>
        <v>1900</v>
      </c>
      <c r="C292" s="12"/>
      <c r="E292" s="12"/>
    </row>
    <row r="293" spans="1:5" x14ac:dyDescent="0.25">
      <c r="A293">
        <f t="shared" si="18"/>
        <v>1900</v>
      </c>
      <c r="C293" s="12"/>
      <c r="E293" s="12"/>
    </row>
    <row r="294" spans="1:5" x14ac:dyDescent="0.25">
      <c r="A294">
        <f t="shared" si="18"/>
        <v>1900</v>
      </c>
      <c r="C294" s="12"/>
      <c r="E294" s="12"/>
    </row>
    <row r="295" spans="1:5" x14ac:dyDescent="0.25">
      <c r="A295">
        <f t="shared" si="18"/>
        <v>1900</v>
      </c>
      <c r="C295" s="12"/>
      <c r="E295" s="12"/>
    </row>
    <row r="296" spans="1:5" x14ac:dyDescent="0.25">
      <c r="A296">
        <f t="shared" si="18"/>
        <v>1900</v>
      </c>
      <c r="C296" s="12"/>
      <c r="E296" s="12"/>
    </row>
    <row r="297" spans="1:5" x14ac:dyDescent="0.25">
      <c r="A297">
        <f t="shared" si="18"/>
        <v>1900</v>
      </c>
      <c r="C297" s="12"/>
      <c r="E297" s="12"/>
    </row>
    <row r="298" spans="1:5" x14ac:dyDescent="0.25">
      <c r="A298">
        <f t="shared" si="18"/>
        <v>1900</v>
      </c>
      <c r="C298" s="12"/>
      <c r="E298" s="12"/>
    </row>
    <row r="299" spans="1:5" x14ac:dyDescent="0.25">
      <c r="A299">
        <f t="shared" si="18"/>
        <v>1900</v>
      </c>
      <c r="C299" s="12"/>
      <c r="E299" s="12"/>
    </row>
    <row r="300" spans="1:5" x14ac:dyDescent="0.25">
      <c r="A300">
        <f t="shared" si="18"/>
        <v>1900</v>
      </c>
      <c r="C300" s="12"/>
      <c r="E300" s="12"/>
    </row>
    <row r="301" spans="1:5" x14ac:dyDescent="0.25">
      <c r="A301">
        <f t="shared" si="18"/>
        <v>1900</v>
      </c>
      <c r="C301" s="12"/>
      <c r="E301" s="12"/>
    </row>
    <row r="302" spans="1:5" x14ac:dyDescent="0.25">
      <c r="A302">
        <f t="shared" si="18"/>
        <v>1900</v>
      </c>
      <c r="C302" s="12"/>
      <c r="E302" s="12"/>
    </row>
    <row r="303" spans="1:5" x14ac:dyDescent="0.25">
      <c r="A303">
        <f t="shared" si="18"/>
        <v>1900</v>
      </c>
      <c r="C303" s="12"/>
      <c r="E303" s="12"/>
    </row>
    <row r="304" spans="1:5" x14ac:dyDescent="0.25">
      <c r="A304">
        <f t="shared" si="18"/>
        <v>1900</v>
      </c>
      <c r="C304" s="12"/>
      <c r="E304" s="12"/>
    </row>
    <row r="305" spans="1:5" x14ac:dyDescent="0.25">
      <c r="A305">
        <f t="shared" si="18"/>
        <v>1900</v>
      </c>
      <c r="C305" s="12"/>
      <c r="E305" s="12"/>
    </row>
    <row r="306" spans="1:5" x14ac:dyDescent="0.25">
      <c r="A306">
        <f t="shared" si="18"/>
        <v>1900</v>
      </c>
      <c r="C306" s="12"/>
      <c r="E306" s="12"/>
    </row>
    <row r="307" spans="1:5" x14ac:dyDescent="0.25">
      <c r="A307">
        <f t="shared" si="18"/>
        <v>1900</v>
      </c>
      <c r="C307" s="12"/>
      <c r="E307" s="12"/>
    </row>
    <row r="308" spans="1:5" x14ac:dyDescent="0.25">
      <c r="A308">
        <f t="shared" si="18"/>
        <v>1900</v>
      </c>
      <c r="C308" s="12"/>
      <c r="E308" s="12"/>
    </row>
    <row r="309" spans="1:5" x14ac:dyDescent="0.25">
      <c r="A309">
        <f t="shared" si="18"/>
        <v>1900</v>
      </c>
      <c r="C309" s="12"/>
      <c r="E309" s="12"/>
    </row>
    <row r="310" spans="1:5" x14ac:dyDescent="0.25">
      <c r="A310">
        <f t="shared" si="18"/>
        <v>1900</v>
      </c>
      <c r="C310" s="12"/>
      <c r="E310" s="12"/>
    </row>
    <row r="311" spans="1:5" x14ac:dyDescent="0.25">
      <c r="A311">
        <f t="shared" si="18"/>
        <v>1900</v>
      </c>
      <c r="C311" s="12"/>
      <c r="E311" s="12"/>
    </row>
    <row r="312" spans="1:5" x14ac:dyDescent="0.25">
      <c r="A312">
        <f t="shared" si="18"/>
        <v>1900</v>
      </c>
      <c r="C312" s="12"/>
      <c r="E312" s="12"/>
    </row>
    <row r="313" spans="1:5" x14ac:dyDescent="0.25">
      <c r="A313">
        <f t="shared" si="18"/>
        <v>1900</v>
      </c>
      <c r="C313" s="12"/>
      <c r="E313" s="12"/>
    </row>
    <row r="314" spans="1:5" x14ac:dyDescent="0.25">
      <c r="A314">
        <f t="shared" si="18"/>
        <v>1900</v>
      </c>
      <c r="C314" s="12"/>
      <c r="E314" s="12"/>
    </row>
    <row r="315" spans="1:5" x14ac:dyDescent="0.25">
      <c r="A315">
        <f t="shared" si="18"/>
        <v>1900</v>
      </c>
      <c r="C315" s="12"/>
      <c r="E315" s="12"/>
    </row>
    <row r="316" spans="1:5" x14ac:dyDescent="0.25">
      <c r="A316">
        <f t="shared" si="18"/>
        <v>1900</v>
      </c>
      <c r="C316" s="12"/>
      <c r="E316" s="12"/>
    </row>
    <row r="317" spans="1:5" x14ac:dyDescent="0.25">
      <c r="A317">
        <f t="shared" si="18"/>
        <v>1900</v>
      </c>
      <c r="C317" s="12"/>
      <c r="E317" s="12"/>
    </row>
    <row r="318" spans="1:5" x14ac:dyDescent="0.25">
      <c r="A318">
        <f t="shared" si="18"/>
        <v>1900</v>
      </c>
      <c r="C318" s="12"/>
      <c r="E318" s="12"/>
    </row>
    <row r="319" spans="1:5" x14ac:dyDescent="0.25">
      <c r="A319">
        <f t="shared" si="18"/>
        <v>1900</v>
      </c>
      <c r="C319" s="12"/>
      <c r="E319" s="12"/>
    </row>
    <row r="320" spans="1:5" x14ac:dyDescent="0.25">
      <c r="A320">
        <f t="shared" si="18"/>
        <v>1900</v>
      </c>
      <c r="C320" s="12"/>
      <c r="E320" s="12"/>
    </row>
    <row r="321" spans="1:5" x14ac:dyDescent="0.25">
      <c r="A321">
        <f t="shared" si="18"/>
        <v>1900</v>
      </c>
      <c r="C321" s="12"/>
      <c r="E321" s="12"/>
    </row>
    <row r="322" spans="1:5" x14ac:dyDescent="0.25">
      <c r="A322">
        <f t="shared" si="18"/>
        <v>1900</v>
      </c>
      <c r="C322" s="12"/>
      <c r="E322" s="12"/>
    </row>
    <row r="323" spans="1:5" x14ac:dyDescent="0.25">
      <c r="A323">
        <f t="shared" si="18"/>
        <v>1900</v>
      </c>
      <c r="C323" s="12"/>
      <c r="E323" s="12"/>
    </row>
    <row r="324" spans="1:5" x14ac:dyDescent="0.25">
      <c r="A324">
        <f t="shared" si="18"/>
        <v>1900</v>
      </c>
      <c r="C324" s="12"/>
      <c r="E324" s="12"/>
    </row>
    <row r="325" spans="1:5" x14ac:dyDescent="0.25">
      <c r="A325">
        <f t="shared" si="18"/>
        <v>1900</v>
      </c>
      <c r="C325" s="12"/>
      <c r="E325" s="12"/>
    </row>
    <row r="326" spans="1:5" x14ac:dyDescent="0.25">
      <c r="A326">
        <f t="shared" si="18"/>
        <v>1900</v>
      </c>
      <c r="C326" s="12"/>
      <c r="E326" s="12"/>
    </row>
    <row r="327" spans="1:5" x14ac:dyDescent="0.25">
      <c r="A327">
        <f t="shared" si="18"/>
        <v>1900</v>
      </c>
      <c r="C327" s="12"/>
      <c r="E327" s="12"/>
    </row>
    <row r="328" spans="1:5" x14ac:dyDescent="0.25">
      <c r="A328">
        <f t="shared" si="18"/>
        <v>1900</v>
      </c>
      <c r="C328" s="12"/>
      <c r="E328" s="12"/>
    </row>
    <row r="329" spans="1:5" x14ac:dyDescent="0.25">
      <c r="A329">
        <f t="shared" ref="A329:A392" si="19">YEAR(B329)</f>
        <v>1900</v>
      </c>
      <c r="C329" s="12"/>
      <c r="E329" s="12"/>
    </row>
    <row r="330" spans="1:5" x14ac:dyDescent="0.25">
      <c r="A330">
        <f t="shared" si="19"/>
        <v>1900</v>
      </c>
      <c r="C330" s="12"/>
      <c r="E330" s="12"/>
    </row>
    <row r="331" spans="1:5" x14ac:dyDescent="0.25">
      <c r="A331">
        <f t="shared" si="19"/>
        <v>1900</v>
      </c>
      <c r="C331" s="12"/>
      <c r="E331" s="12"/>
    </row>
    <row r="332" spans="1:5" x14ac:dyDescent="0.25">
      <c r="A332">
        <f t="shared" si="19"/>
        <v>1900</v>
      </c>
      <c r="C332" s="12"/>
      <c r="E332" s="12"/>
    </row>
    <row r="333" spans="1:5" x14ac:dyDescent="0.25">
      <c r="A333">
        <f t="shared" si="19"/>
        <v>1900</v>
      </c>
      <c r="C333" s="12"/>
      <c r="E333" s="12"/>
    </row>
    <row r="334" spans="1:5" x14ac:dyDescent="0.25">
      <c r="A334">
        <f t="shared" si="19"/>
        <v>1900</v>
      </c>
      <c r="C334" s="12"/>
      <c r="E334" s="12"/>
    </row>
    <row r="335" spans="1:5" x14ac:dyDescent="0.25">
      <c r="A335">
        <f t="shared" si="19"/>
        <v>1900</v>
      </c>
      <c r="C335" s="12"/>
      <c r="E335" s="12"/>
    </row>
    <row r="336" spans="1:5" x14ac:dyDescent="0.25">
      <c r="A336">
        <f t="shared" si="19"/>
        <v>1900</v>
      </c>
      <c r="C336" s="12"/>
      <c r="E336" s="12"/>
    </row>
    <row r="337" spans="1:5" x14ac:dyDescent="0.25">
      <c r="A337">
        <f t="shared" si="19"/>
        <v>1900</v>
      </c>
      <c r="C337" s="12"/>
      <c r="E337" s="12"/>
    </row>
    <row r="338" spans="1:5" x14ac:dyDescent="0.25">
      <c r="A338">
        <f t="shared" si="19"/>
        <v>1900</v>
      </c>
      <c r="C338" s="12"/>
      <c r="E338" s="12"/>
    </row>
    <row r="339" spans="1:5" x14ac:dyDescent="0.25">
      <c r="A339">
        <f t="shared" si="19"/>
        <v>1900</v>
      </c>
      <c r="C339" s="12"/>
      <c r="E339" s="12"/>
    </row>
    <row r="340" spans="1:5" x14ac:dyDescent="0.25">
      <c r="A340">
        <f t="shared" si="19"/>
        <v>1900</v>
      </c>
      <c r="C340" s="12"/>
      <c r="E340" s="12"/>
    </row>
    <row r="341" spans="1:5" x14ac:dyDescent="0.25">
      <c r="A341">
        <f t="shared" si="19"/>
        <v>1900</v>
      </c>
      <c r="C341" s="12"/>
      <c r="E341" s="12"/>
    </row>
    <row r="342" spans="1:5" x14ac:dyDescent="0.25">
      <c r="A342">
        <f t="shared" si="19"/>
        <v>1900</v>
      </c>
      <c r="C342" s="12"/>
      <c r="E342" s="12"/>
    </row>
    <row r="343" spans="1:5" x14ac:dyDescent="0.25">
      <c r="A343">
        <f t="shared" si="19"/>
        <v>1900</v>
      </c>
      <c r="C343" s="12"/>
      <c r="E343" s="12"/>
    </row>
    <row r="344" spans="1:5" x14ac:dyDescent="0.25">
      <c r="A344">
        <f t="shared" si="19"/>
        <v>1900</v>
      </c>
      <c r="C344" s="12"/>
      <c r="E344" s="12"/>
    </row>
    <row r="345" spans="1:5" x14ac:dyDescent="0.25">
      <c r="A345">
        <f t="shared" si="19"/>
        <v>1900</v>
      </c>
      <c r="C345" s="12"/>
      <c r="E345" s="12"/>
    </row>
    <row r="346" spans="1:5" x14ac:dyDescent="0.25">
      <c r="A346">
        <f t="shared" si="19"/>
        <v>1900</v>
      </c>
      <c r="C346" s="12"/>
      <c r="E346" s="12"/>
    </row>
    <row r="347" spans="1:5" x14ac:dyDescent="0.25">
      <c r="A347">
        <f t="shared" si="19"/>
        <v>1900</v>
      </c>
      <c r="C347" s="12"/>
      <c r="E347" s="12"/>
    </row>
    <row r="348" spans="1:5" x14ac:dyDescent="0.25">
      <c r="A348">
        <f t="shared" si="19"/>
        <v>1900</v>
      </c>
      <c r="C348" s="12"/>
      <c r="E348" s="12"/>
    </row>
    <row r="349" spans="1:5" x14ac:dyDescent="0.25">
      <c r="A349">
        <f t="shared" si="19"/>
        <v>1900</v>
      </c>
      <c r="C349" s="12"/>
      <c r="E349" s="12"/>
    </row>
    <row r="350" spans="1:5" x14ac:dyDescent="0.25">
      <c r="A350">
        <f t="shared" si="19"/>
        <v>1900</v>
      </c>
      <c r="C350" s="12"/>
      <c r="E350" s="12"/>
    </row>
    <row r="351" spans="1:5" x14ac:dyDescent="0.25">
      <c r="A351">
        <f t="shared" si="19"/>
        <v>1900</v>
      </c>
      <c r="C351" s="12"/>
      <c r="E351" s="12"/>
    </row>
    <row r="352" spans="1:5" x14ac:dyDescent="0.25">
      <c r="A352">
        <f t="shared" si="19"/>
        <v>1900</v>
      </c>
      <c r="C352" s="12"/>
      <c r="E352" s="12"/>
    </row>
    <row r="353" spans="1:5" x14ac:dyDescent="0.25">
      <c r="A353">
        <f t="shared" si="19"/>
        <v>1900</v>
      </c>
      <c r="C353" s="12"/>
      <c r="E353" s="12"/>
    </row>
    <row r="354" spans="1:5" x14ac:dyDescent="0.25">
      <c r="A354">
        <f t="shared" si="19"/>
        <v>1900</v>
      </c>
      <c r="C354" s="12"/>
      <c r="E354" s="12"/>
    </row>
    <row r="355" spans="1:5" x14ac:dyDescent="0.25">
      <c r="A355">
        <f t="shared" si="19"/>
        <v>1900</v>
      </c>
      <c r="C355" s="12"/>
      <c r="E355" s="12"/>
    </row>
    <row r="356" spans="1:5" x14ac:dyDescent="0.25">
      <c r="A356">
        <f t="shared" si="19"/>
        <v>1900</v>
      </c>
      <c r="C356" s="12"/>
      <c r="E356" s="12"/>
    </row>
    <row r="357" spans="1:5" x14ac:dyDescent="0.25">
      <c r="A357">
        <f t="shared" si="19"/>
        <v>1900</v>
      </c>
      <c r="C357" s="12"/>
      <c r="E357" s="12"/>
    </row>
    <row r="358" spans="1:5" x14ac:dyDescent="0.25">
      <c r="A358">
        <f t="shared" si="19"/>
        <v>1900</v>
      </c>
      <c r="C358" s="12"/>
      <c r="E358" s="12"/>
    </row>
    <row r="359" spans="1:5" x14ac:dyDescent="0.25">
      <c r="A359">
        <f t="shared" si="19"/>
        <v>1900</v>
      </c>
      <c r="C359" s="12"/>
      <c r="E359" s="12"/>
    </row>
    <row r="360" spans="1:5" x14ac:dyDescent="0.25">
      <c r="A360">
        <f t="shared" si="19"/>
        <v>1900</v>
      </c>
      <c r="C360" s="12"/>
      <c r="E360" s="12"/>
    </row>
    <row r="361" spans="1:5" x14ac:dyDescent="0.25">
      <c r="A361">
        <f t="shared" si="19"/>
        <v>1900</v>
      </c>
      <c r="C361" s="12"/>
      <c r="E361" s="12"/>
    </row>
    <row r="362" spans="1:5" x14ac:dyDescent="0.25">
      <c r="A362">
        <f t="shared" si="19"/>
        <v>1900</v>
      </c>
      <c r="C362" s="12"/>
      <c r="E362" s="12"/>
    </row>
    <row r="363" spans="1:5" x14ac:dyDescent="0.25">
      <c r="A363">
        <f t="shared" si="19"/>
        <v>1900</v>
      </c>
      <c r="C363" s="12"/>
      <c r="E363" s="12"/>
    </row>
    <row r="364" spans="1:5" x14ac:dyDescent="0.25">
      <c r="A364">
        <f t="shared" si="19"/>
        <v>1900</v>
      </c>
      <c r="C364" s="12"/>
      <c r="E364" s="12"/>
    </row>
    <row r="365" spans="1:5" x14ac:dyDescent="0.25">
      <c r="A365">
        <f t="shared" si="19"/>
        <v>1900</v>
      </c>
      <c r="C365" s="12"/>
      <c r="E365" s="12"/>
    </row>
    <row r="366" spans="1:5" x14ac:dyDescent="0.25">
      <c r="A366">
        <f t="shared" si="19"/>
        <v>1900</v>
      </c>
      <c r="C366" s="12"/>
      <c r="E366" s="12"/>
    </row>
    <row r="367" spans="1:5" x14ac:dyDescent="0.25">
      <c r="A367">
        <f t="shared" si="19"/>
        <v>1900</v>
      </c>
      <c r="C367" s="12"/>
      <c r="E367" s="12"/>
    </row>
    <row r="368" spans="1:5" x14ac:dyDescent="0.25">
      <c r="A368">
        <f t="shared" si="19"/>
        <v>1900</v>
      </c>
      <c r="C368" s="12"/>
      <c r="E368" s="12"/>
    </row>
    <row r="369" spans="1:5" x14ac:dyDescent="0.25">
      <c r="A369">
        <f t="shared" si="19"/>
        <v>1900</v>
      </c>
      <c r="C369" s="12"/>
      <c r="E369" s="12"/>
    </row>
    <row r="370" spans="1:5" x14ac:dyDescent="0.25">
      <c r="A370">
        <f t="shared" si="19"/>
        <v>1900</v>
      </c>
      <c r="C370" s="12"/>
      <c r="E370" s="12"/>
    </row>
    <row r="371" spans="1:5" x14ac:dyDescent="0.25">
      <c r="A371">
        <f t="shared" si="19"/>
        <v>1900</v>
      </c>
      <c r="C371" s="12"/>
      <c r="E371" s="12"/>
    </row>
    <row r="372" spans="1:5" x14ac:dyDescent="0.25">
      <c r="A372">
        <f t="shared" si="19"/>
        <v>1900</v>
      </c>
      <c r="C372" s="12"/>
      <c r="E372" s="12"/>
    </row>
    <row r="373" spans="1:5" x14ac:dyDescent="0.25">
      <c r="A373">
        <f t="shared" si="19"/>
        <v>1900</v>
      </c>
      <c r="C373" s="12"/>
      <c r="E373" s="12"/>
    </row>
    <row r="374" spans="1:5" x14ac:dyDescent="0.25">
      <c r="A374">
        <f t="shared" si="19"/>
        <v>1900</v>
      </c>
      <c r="C374" s="12"/>
      <c r="E374" s="12"/>
    </row>
    <row r="375" spans="1:5" x14ac:dyDescent="0.25">
      <c r="A375">
        <f t="shared" si="19"/>
        <v>1900</v>
      </c>
      <c r="C375" s="12"/>
      <c r="E375" s="12"/>
    </row>
    <row r="376" spans="1:5" x14ac:dyDescent="0.25">
      <c r="A376">
        <f t="shared" si="19"/>
        <v>1900</v>
      </c>
      <c r="C376" s="12"/>
      <c r="E376" s="12"/>
    </row>
    <row r="377" spans="1:5" x14ac:dyDescent="0.25">
      <c r="A377">
        <f t="shared" si="19"/>
        <v>1900</v>
      </c>
      <c r="C377" s="12"/>
      <c r="E377" s="12"/>
    </row>
    <row r="378" spans="1:5" x14ac:dyDescent="0.25">
      <c r="A378">
        <f t="shared" si="19"/>
        <v>1900</v>
      </c>
      <c r="C378" s="12"/>
      <c r="E378" s="12"/>
    </row>
    <row r="379" spans="1:5" x14ac:dyDescent="0.25">
      <c r="A379">
        <f t="shared" si="19"/>
        <v>1900</v>
      </c>
      <c r="C379" s="12"/>
      <c r="E379" s="12"/>
    </row>
    <row r="380" spans="1:5" x14ac:dyDescent="0.25">
      <c r="A380">
        <f t="shared" si="19"/>
        <v>1900</v>
      </c>
      <c r="C380" s="12"/>
      <c r="E380" s="12"/>
    </row>
    <row r="381" spans="1:5" x14ac:dyDescent="0.25">
      <c r="A381">
        <f t="shared" si="19"/>
        <v>1900</v>
      </c>
      <c r="C381" s="12"/>
      <c r="E381" s="12"/>
    </row>
    <row r="382" spans="1:5" x14ac:dyDescent="0.25">
      <c r="A382">
        <f t="shared" si="19"/>
        <v>1900</v>
      </c>
      <c r="C382" s="12"/>
      <c r="E382" s="12"/>
    </row>
    <row r="383" spans="1:5" x14ac:dyDescent="0.25">
      <c r="A383">
        <f t="shared" si="19"/>
        <v>1900</v>
      </c>
      <c r="C383" s="12"/>
      <c r="E383" s="12"/>
    </row>
    <row r="384" spans="1:5" x14ac:dyDescent="0.25">
      <c r="A384">
        <f t="shared" si="19"/>
        <v>1900</v>
      </c>
      <c r="C384" s="12"/>
      <c r="E384" s="12"/>
    </row>
    <row r="385" spans="1:5" x14ac:dyDescent="0.25">
      <c r="A385">
        <f t="shared" si="19"/>
        <v>1900</v>
      </c>
      <c r="C385" s="12"/>
      <c r="E385" s="12"/>
    </row>
    <row r="386" spans="1:5" x14ac:dyDescent="0.25">
      <c r="A386">
        <f t="shared" si="19"/>
        <v>1900</v>
      </c>
      <c r="C386" s="12"/>
      <c r="E386" s="12"/>
    </row>
    <row r="387" spans="1:5" x14ac:dyDescent="0.25">
      <c r="A387">
        <f t="shared" si="19"/>
        <v>1900</v>
      </c>
      <c r="C387" s="12"/>
      <c r="E387" s="12"/>
    </row>
    <row r="388" spans="1:5" x14ac:dyDescent="0.25">
      <c r="A388">
        <f t="shared" si="19"/>
        <v>1900</v>
      </c>
      <c r="C388" s="12"/>
      <c r="E388" s="12"/>
    </row>
    <row r="389" spans="1:5" x14ac:dyDescent="0.25">
      <c r="A389">
        <f t="shared" si="19"/>
        <v>1900</v>
      </c>
      <c r="C389" s="12"/>
      <c r="E389" s="12"/>
    </row>
    <row r="390" spans="1:5" x14ac:dyDescent="0.25">
      <c r="A390">
        <f t="shared" si="19"/>
        <v>1900</v>
      </c>
      <c r="C390" s="12"/>
      <c r="E390" s="12"/>
    </row>
    <row r="391" spans="1:5" x14ac:dyDescent="0.25">
      <c r="A391">
        <f t="shared" si="19"/>
        <v>1900</v>
      </c>
      <c r="C391" s="12"/>
      <c r="E391" s="12"/>
    </row>
    <row r="392" spans="1:5" x14ac:dyDescent="0.25">
      <c r="A392">
        <f t="shared" si="19"/>
        <v>1900</v>
      </c>
      <c r="C392" s="12"/>
      <c r="E392" s="12"/>
    </row>
    <row r="393" spans="1:5" x14ac:dyDescent="0.25">
      <c r="A393">
        <f t="shared" ref="A393:A456" si="20">YEAR(B393)</f>
        <v>1900</v>
      </c>
      <c r="C393" s="12"/>
      <c r="E393" s="12"/>
    </row>
    <row r="394" spans="1:5" x14ac:dyDescent="0.25">
      <c r="A394">
        <f t="shared" si="20"/>
        <v>1900</v>
      </c>
      <c r="C394" s="12"/>
      <c r="E394" s="12"/>
    </row>
    <row r="395" spans="1:5" x14ac:dyDescent="0.25">
      <c r="A395">
        <f t="shared" si="20"/>
        <v>1900</v>
      </c>
      <c r="C395" s="12"/>
      <c r="E395" s="12"/>
    </row>
    <row r="396" spans="1:5" x14ac:dyDescent="0.25">
      <c r="A396">
        <f t="shared" si="20"/>
        <v>1900</v>
      </c>
      <c r="C396" s="12"/>
      <c r="E396" s="12"/>
    </row>
    <row r="397" spans="1:5" x14ac:dyDescent="0.25">
      <c r="A397">
        <f t="shared" si="20"/>
        <v>1900</v>
      </c>
      <c r="C397" s="12"/>
      <c r="E397" s="12"/>
    </row>
    <row r="398" spans="1:5" x14ac:dyDescent="0.25">
      <c r="A398">
        <f t="shared" si="20"/>
        <v>1900</v>
      </c>
      <c r="C398" s="12"/>
      <c r="E398" s="12"/>
    </row>
    <row r="399" spans="1:5" x14ac:dyDescent="0.25">
      <c r="A399">
        <f t="shared" si="20"/>
        <v>1900</v>
      </c>
      <c r="C399" s="12"/>
      <c r="E399" s="12"/>
    </row>
    <row r="400" spans="1:5" x14ac:dyDescent="0.25">
      <c r="A400">
        <f t="shared" si="20"/>
        <v>1900</v>
      </c>
      <c r="C400" s="12"/>
      <c r="E400" s="12"/>
    </row>
    <row r="401" spans="1:5" x14ac:dyDescent="0.25">
      <c r="A401">
        <f t="shared" si="20"/>
        <v>1900</v>
      </c>
      <c r="C401" s="12"/>
      <c r="E401" s="12"/>
    </row>
    <row r="402" spans="1:5" x14ac:dyDescent="0.25">
      <c r="A402">
        <f t="shared" si="20"/>
        <v>1900</v>
      </c>
      <c r="C402" s="12"/>
      <c r="E402" s="12"/>
    </row>
    <row r="403" spans="1:5" x14ac:dyDescent="0.25">
      <c r="A403">
        <f t="shared" si="20"/>
        <v>1900</v>
      </c>
      <c r="C403" s="12"/>
      <c r="E403" s="12"/>
    </row>
    <row r="404" spans="1:5" x14ac:dyDescent="0.25">
      <c r="A404">
        <f t="shared" si="20"/>
        <v>1900</v>
      </c>
      <c r="C404" s="12"/>
      <c r="E404" s="12"/>
    </row>
    <row r="405" spans="1:5" x14ac:dyDescent="0.25">
      <c r="A405">
        <f t="shared" si="20"/>
        <v>1900</v>
      </c>
      <c r="C405" s="12"/>
      <c r="E405" s="12"/>
    </row>
    <row r="406" spans="1:5" x14ac:dyDescent="0.25">
      <c r="A406">
        <f t="shared" si="20"/>
        <v>1900</v>
      </c>
      <c r="C406" s="12"/>
      <c r="E406" s="12"/>
    </row>
    <row r="407" spans="1:5" x14ac:dyDescent="0.25">
      <c r="A407">
        <f t="shared" si="20"/>
        <v>1900</v>
      </c>
      <c r="C407" s="12"/>
      <c r="E407" s="12"/>
    </row>
    <row r="408" spans="1:5" x14ac:dyDescent="0.25">
      <c r="A408">
        <f t="shared" si="20"/>
        <v>1900</v>
      </c>
      <c r="C408" s="12"/>
      <c r="E408" s="12"/>
    </row>
    <row r="409" spans="1:5" x14ac:dyDescent="0.25">
      <c r="A409">
        <f t="shared" si="20"/>
        <v>1900</v>
      </c>
      <c r="C409" s="12"/>
      <c r="E409" s="12"/>
    </row>
    <row r="410" spans="1:5" x14ac:dyDescent="0.25">
      <c r="A410">
        <f t="shared" si="20"/>
        <v>1900</v>
      </c>
      <c r="C410" s="12"/>
      <c r="E410" s="12"/>
    </row>
    <row r="411" spans="1:5" x14ac:dyDescent="0.25">
      <c r="A411">
        <f t="shared" si="20"/>
        <v>1900</v>
      </c>
      <c r="C411" s="12"/>
      <c r="E411" s="12"/>
    </row>
    <row r="412" spans="1:5" x14ac:dyDescent="0.25">
      <c r="A412">
        <f t="shared" si="20"/>
        <v>1900</v>
      </c>
      <c r="C412" s="12"/>
      <c r="E412" s="12"/>
    </row>
    <row r="413" spans="1:5" x14ac:dyDescent="0.25">
      <c r="A413">
        <f t="shared" si="20"/>
        <v>1900</v>
      </c>
      <c r="C413" s="12"/>
      <c r="E413" s="12"/>
    </row>
    <row r="414" spans="1:5" x14ac:dyDescent="0.25">
      <c r="A414">
        <f t="shared" si="20"/>
        <v>1900</v>
      </c>
      <c r="C414" s="12"/>
      <c r="E414" s="12"/>
    </row>
    <row r="415" spans="1:5" x14ac:dyDescent="0.25">
      <c r="A415">
        <f t="shared" si="20"/>
        <v>1900</v>
      </c>
      <c r="C415" s="12"/>
      <c r="E415" s="12"/>
    </row>
    <row r="416" spans="1:5" x14ac:dyDescent="0.25">
      <c r="A416">
        <f t="shared" si="20"/>
        <v>1900</v>
      </c>
      <c r="C416" s="12"/>
      <c r="E416" s="12"/>
    </row>
    <row r="417" spans="1:5" x14ac:dyDescent="0.25">
      <c r="A417">
        <f t="shared" si="20"/>
        <v>1900</v>
      </c>
      <c r="C417" s="12"/>
      <c r="E417" s="12"/>
    </row>
    <row r="418" spans="1:5" x14ac:dyDescent="0.25">
      <c r="A418">
        <f t="shared" si="20"/>
        <v>1900</v>
      </c>
      <c r="C418" s="12"/>
      <c r="E418" s="12"/>
    </row>
    <row r="419" spans="1:5" x14ac:dyDescent="0.25">
      <c r="A419">
        <f t="shared" si="20"/>
        <v>1900</v>
      </c>
      <c r="C419" s="12"/>
      <c r="E419" s="12"/>
    </row>
    <row r="420" spans="1:5" x14ac:dyDescent="0.25">
      <c r="A420">
        <f t="shared" si="20"/>
        <v>1900</v>
      </c>
      <c r="C420" s="12"/>
      <c r="E420" s="12"/>
    </row>
    <row r="421" spans="1:5" x14ac:dyDescent="0.25">
      <c r="A421">
        <f t="shared" si="20"/>
        <v>1900</v>
      </c>
      <c r="C421" s="12"/>
      <c r="E421" s="12"/>
    </row>
    <row r="422" spans="1:5" x14ac:dyDescent="0.25">
      <c r="A422">
        <f t="shared" si="20"/>
        <v>1900</v>
      </c>
      <c r="C422" s="12"/>
      <c r="E422" s="12"/>
    </row>
    <row r="423" spans="1:5" x14ac:dyDescent="0.25">
      <c r="A423">
        <f t="shared" si="20"/>
        <v>1900</v>
      </c>
      <c r="C423" s="12"/>
      <c r="E423" s="12"/>
    </row>
    <row r="424" spans="1:5" x14ac:dyDescent="0.25">
      <c r="A424">
        <f t="shared" si="20"/>
        <v>1900</v>
      </c>
      <c r="C424" s="12"/>
      <c r="E424" s="12"/>
    </row>
    <row r="425" spans="1:5" x14ac:dyDescent="0.25">
      <c r="A425">
        <f t="shared" si="20"/>
        <v>1900</v>
      </c>
      <c r="C425" s="12"/>
      <c r="E425" s="12"/>
    </row>
    <row r="426" spans="1:5" x14ac:dyDescent="0.25">
      <c r="A426">
        <f t="shared" si="20"/>
        <v>1900</v>
      </c>
      <c r="C426" s="12"/>
      <c r="E426" s="12"/>
    </row>
    <row r="427" spans="1:5" x14ac:dyDescent="0.25">
      <c r="A427">
        <f t="shared" si="20"/>
        <v>1900</v>
      </c>
      <c r="C427" s="12"/>
      <c r="E427" s="12"/>
    </row>
    <row r="428" spans="1:5" x14ac:dyDescent="0.25">
      <c r="A428">
        <f t="shared" si="20"/>
        <v>1900</v>
      </c>
      <c r="C428" s="12"/>
      <c r="E428" s="12"/>
    </row>
    <row r="429" spans="1:5" x14ac:dyDescent="0.25">
      <c r="A429">
        <f t="shared" si="20"/>
        <v>1900</v>
      </c>
      <c r="C429" s="12"/>
      <c r="E429" s="12"/>
    </row>
    <row r="430" spans="1:5" x14ac:dyDescent="0.25">
      <c r="A430">
        <f t="shared" si="20"/>
        <v>1900</v>
      </c>
      <c r="C430" s="12"/>
      <c r="E430" s="12"/>
    </row>
    <row r="431" spans="1:5" x14ac:dyDescent="0.25">
      <c r="A431">
        <f t="shared" si="20"/>
        <v>1900</v>
      </c>
      <c r="C431" s="12"/>
      <c r="E431" s="12"/>
    </row>
    <row r="432" spans="1:5" x14ac:dyDescent="0.25">
      <c r="A432">
        <f t="shared" si="20"/>
        <v>1900</v>
      </c>
      <c r="C432" s="12"/>
      <c r="E432" s="12"/>
    </row>
    <row r="433" spans="1:5" x14ac:dyDescent="0.25">
      <c r="A433">
        <f t="shared" si="20"/>
        <v>1900</v>
      </c>
      <c r="C433" s="12"/>
      <c r="E433" s="12"/>
    </row>
    <row r="434" spans="1:5" x14ac:dyDescent="0.25">
      <c r="A434">
        <f t="shared" si="20"/>
        <v>1900</v>
      </c>
      <c r="C434" s="12"/>
      <c r="E434" s="12"/>
    </row>
    <row r="435" spans="1:5" x14ac:dyDescent="0.25">
      <c r="A435">
        <f t="shared" si="20"/>
        <v>1900</v>
      </c>
      <c r="C435" s="12"/>
      <c r="E435" s="12"/>
    </row>
    <row r="436" spans="1:5" x14ac:dyDescent="0.25">
      <c r="A436">
        <f t="shared" si="20"/>
        <v>1900</v>
      </c>
      <c r="C436" s="12"/>
      <c r="E436" s="12"/>
    </row>
    <row r="437" spans="1:5" x14ac:dyDescent="0.25">
      <c r="A437">
        <f t="shared" si="20"/>
        <v>1900</v>
      </c>
      <c r="C437" s="12"/>
      <c r="E437" s="12"/>
    </row>
    <row r="438" spans="1:5" x14ac:dyDescent="0.25">
      <c r="A438">
        <f t="shared" si="20"/>
        <v>1900</v>
      </c>
      <c r="C438" s="12"/>
      <c r="E438" s="12"/>
    </row>
    <row r="439" spans="1:5" x14ac:dyDescent="0.25">
      <c r="A439">
        <f t="shared" si="20"/>
        <v>1900</v>
      </c>
      <c r="C439" s="12"/>
      <c r="E439" s="12"/>
    </row>
    <row r="440" spans="1:5" x14ac:dyDescent="0.25">
      <c r="A440">
        <f t="shared" si="20"/>
        <v>1900</v>
      </c>
      <c r="C440" s="12"/>
      <c r="E440" s="12"/>
    </row>
    <row r="441" spans="1:5" x14ac:dyDescent="0.25">
      <c r="A441">
        <f t="shared" si="20"/>
        <v>1900</v>
      </c>
      <c r="C441" s="12"/>
      <c r="E441" s="12"/>
    </row>
    <row r="442" spans="1:5" x14ac:dyDescent="0.25">
      <c r="A442">
        <f t="shared" si="20"/>
        <v>1900</v>
      </c>
      <c r="C442" s="12"/>
      <c r="E442" s="12"/>
    </row>
    <row r="443" spans="1:5" x14ac:dyDescent="0.25">
      <c r="A443">
        <f t="shared" si="20"/>
        <v>1900</v>
      </c>
      <c r="C443" s="12"/>
      <c r="E443" s="12"/>
    </row>
    <row r="444" spans="1:5" x14ac:dyDescent="0.25">
      <c r="A444">
        <f t="shared" si="20"/>
        <v>1900</v>
      </c>
      <c r="C444" s="12"/>
      <c r="E444" s="12"/>
    </row>
    <row r="445" spans="1:5" x14ac:dyDescent="0.25">
      <c r="A445">
        <f t="shared" si="20"/>
        <v>1900</v>
      </c>
      <c r="C445" s="12"/>
      <c r="E445" s="12"/>
    </row>
    <row r="446" spans="1:5" x14ac:dyDescent="0.25">
      <c r="A446">
        <f t="shared" si="20"/>
        <v>1900</v>
      </c>
      <c r="C446" s="12"/>
      <c r="E446" s="12"/>
    </row>
    <row r="447" spans="1:5" x14ac:dyDescent="0.25">
      <c r="A447">
        <f t="shared" si="20"/>
        <v>1900</v>
      </c>
      <c r="C447" s="12"/>
      <c r="E447" s="12"/>
    </row>
    <row r="448" spans="1:5" x14ac:dyDescent="0.25">
      <c r="A448">
        <f t="shared" si="20"/>
        <v>1900</v>
      </c>
      <c r="C448" s="12"/>
      <c r="E448" s="12"/>
    </row>
    <row r="449" spans="1:5" x14ac:dyDescent="0.25">
      <c r="A449">
        <f t="shared" si="20"/>
        <v>1900</v>
      </c>
      <c r="C449" s="12"/>
      <c r="E449" s="12"/>
    </row>
    <row r="450" spans="1:5" x14ac:dyDescent="0.25">
      <c r="A450">
        <f t="shared" si="20"/>
        <v>1900</v>
      </c>
      <c r="C450" s="12"/>
      <c r="E450" s="12"/>
    </row>
    <row r="451" spans="1:5" x14ac:dyDescent="0.25">
      <c r="A451">
        <f t="shared" si="20"/>
        <v>1900</v>
      </c>
      <c r="C451" s="12"/>
      <c r="E451" s="12"/>
    </row>
    <row r="452" spans="1:5" x14ac:dyDescent="0.25">
      <c r="A452">
        <f t="shared" si="20"/>
        <v>1900</v>
      </c>
      <c r="C452" s="12"/>
      <c r="E452" s="12"/>
    </row>
    <row r="453" spans="1:5" x14ac:dyDescent="0.25">
      <c r="A453">
        <f t="shared" si="20"/>
        <v>1900</v>
      </c>
      <c r="C453" s="12"/>
      <c r="E453" s="12"/>
    </row>
    <row r="454" spans="1:5" x14ac:dyDescent="0.25">
      <c r="A454">
        <f t="shared" si="20"/>
        <v>1900</v>
      </c>
      <c r="C454" s="12"/>
      <c r="E454" s="12"/>
    </row>
    <row r="455" spans="1:5" x14ac:dyDescent="0.25">
      <c r="A455">
        <f t="shared" si="20"/>
        <v>1900</v>
      </c>
      <c r="C455" s="12"/>
      <c r="E455" s="12"/>
    </row>
    <row r="456" spans="1:5" x14ac:dyDescent="0.25">
      <c r="A456">
        <f t="shared" si="20"/>
        <v>1900</v>
      </c>
      <c r="C456" s="12"/>
      <c r="E456" s="12"/>
    </row>
    <row r="457" spans="1:5" x14ac:dyDescent="0.25">
      <c r="A457">
        <f t="shared" ref="A457:A509" si="21">YEAR(B457)</f>
        <v>1900</v>
      </c>
      <c r="C457" s="12"/>
      <c r="E457" s="12"/>
    </row>
    <row r="458" spans="1:5" x14ac:dyDescent="0.25">
      <c r="A458">
        <f t="shared" si="21"/>
        <v>1900</v>
      </c>
      <c r="C458" s="12"/>
      <c r="E458" s="12"/>
    </row>
    <row r="459" spans="1:5" x14ac:dyDescent="0.25">
      <c r="A459">
        <f t="shared" si="21"/>
        <v>1900</v>
      </c>
      <c r="C459" s="12"/>
      <c r="E459" s="12"/>
    </row>
    <row r="460" spans="1:5" x14ac:dyDescent="0.25">
      <c r="A460">
        <f t="shared" si="21"/>
        <v>1900</v>
      </c>
      <c r="C460" s="12"/>
      <c r="E460" s="12"/>
    </row>
    <row r="461" spans="1:5" x14ac:dyDescent="0.25">
      <c r="A461">
        <f t="shared" si="21"/>
        <v>1900</v>
      </c>
      <c r="C461" s="12"/>
      <c r="E461" s="12"/>
    </row>
    <row r="462" spans="1:5" x14ac:dyDescent="0.25">
      <c r="A462">
        <f t="shared" si="21"/>
        <v>1900</v>
      </c>
      <c r="C462" s="12"/>
      <c r="E462" s="12"/>
    </row>
    <row r="463" spans="1:5" x14ac:dyDescent="0.25">
      <c r="A463">
        <f t="shared" si="21"/>
        <v>1900</v>
      </c>
      <c r="C463" s="12"/>
      <c r="E463" s="12"/>
    </row>
    <row r="464" spans="1:5" x14ac:dyDescent="0.25">
      <c r="A464">
        <f t="shared" si="21"/>
        <v>1900</v>
      </c>
      <c r="C464" s="12"/>
      <c r="E464" s="12"/>
    </row>
    <row r="465" spans="1:5" x14ac:dyDescent="0.25">
      <c r="A465">
        <f t="shared" si="21"/>
        <v>1900</v>
      </c>
      <c r="C465" s="12"/>
      <c r="E465" s="12"/>
    </row>
    <row r="466" spans="1:5" x14ac:dyDescent="0.25">
      <c r="A466">
        <f t="shared" si="21"/>
        <v>1900</v>
      </c>
      <c r="C466" s="12"/>
      <c r="E466" s="12"/>
    </row>
    <row r="467" spans="1:5" x14ac:dyDescent="0.25">
      <c r="A467">
        <f t="shared" si="21"/>
        <v>1900</v>
      </c>
      <c r="C467" s="12"/>
      <c r="E467" s="12"/>
    </row>
    <row r="468" spans="1:5" x14ac:dyDescent="0.25">
      <c r="A468">
        <f t="shared" si="21"/>
        <v>1900</v>
      </c>
      <c r="C468" s="12"/>
      <c r="E468" s="12"/>
    </row>
    <row r="469" spans="1:5" x14ac:dyDescent="0.25">
      <c r="A469">
        <f t="shared" si="21"/>
        <v>1900</v>
      </c>
      <c r="C469" s="12"/>
      <c r="E469" s="12"/>
    </row>
    <row r="470" spans="1:5" x14ac:dyDescent="0.25">
      <c r="A470">
        <f t="shared" si="21"/>
        <v>1900</v>
      </c>
      <c r="C470" s="12"/>
      <c r="E470" s="12"/>
    </row>
    <row r="471" spans="1:5" x14ac:dyDescent="0.25">
      <c r="A471">
        <f t="shared" si="21"/>
        <v>1900</v>
      </c>
      <c r="C471" s="12"/>
      <c r="E471" s="12"/>
    </row>
    <row r="472" spans="1:5" x14ac:dyDescent="0.25">
      <c r="A472">
        <f t="shared" si="21"/>
        <v>1900</v>
      </c>
      <c r="C472" s="12"/>
      <c r="E472" s="12"/>
    </row>
    <row r="473" spans="1:5" x14ac:dyDescent="0.25">
      <c r="A473">
        <f t="shared" si="21"/>
        <v>1900</v>
      </c>
      <c r="C473" s="12"/>
      <c r="E473" s="12"/>
    </row>
    <row r="474" spans="1:5" x14ac:dyDescent="0.25">
      <c r="A474">
        <f t="shared" si="21"/>
        <v>1900</v>
      </c>
      <c r="C474" s="12"/>
      <c r="E474" s="12"/>
    </row>
    <row r="475" spans="1:5" x14ac:dyDescent="0.25">
      <c r="A475">
        <f t="shared" si="21"/>
        <v>1900</v>
      </c>
      <c r="C475" s="12"/>
      <c r="E475" s="12"/>
    </row>
    <row r="476" spans="1:5" x14ac:dyDescent="0.25">
      <c r="A476">
        <f t="shared" si="21"/>
        <v>1900</v>
      </c>
      <c r="C476" s="12"/>
      <c r="E476" s="12"/>
    </row>
    <row r="477" spans="1:5" x14ac:dyDescent="0.25">
      <c r="A477">
        <f t="shared" si="21"/>
        <v>1900</v>
      </c>
      <c r="C477" s="12"/>
      <c r="E477" s="12"/>
    </row>
    <row r="478" spans="1:5" x14ac:dyDescent="0.25">
      <c r="A478">
        <f t="shared" si="21"/>
        <v>1900</v>
      </c>
      <c r="C478" s="12"/>
      <c r="E478" s="12"/>
    </row>
    <row r="479" spans="1:5" x14ac:dyDescent="0.25">
      <c r="A479">
        <f t="shared" si="21"/>
        <v>1900</v>
      </c>
      <c r="C479" s="12"/>
      <c r="E479" s="12"/>
    </row>
    <row r="480" spans="1:5" x14ac:dyDescent="0.25">
      <c r="A480">
        <f t="shared" si="21"/>
        <v>1900</v>
      </c>
      <c r="C480" s="12"/>
      <c r="E480" s="12"/>
    </row>
    <row r="481" spans="1:5" x14ac:dyDescent="0.25">
      <c r="A481">
        <f t="shared" si="21"/>
        <v>1900</v>
      </c>
      <c r="C481" s="12"/>
      <c r="E481" s="12"/>
    </row>
    <row r="482" spans="1:5" x14ac:dyDescent="0.25">
      <c r="A482">
        <f t="shared" si="21"/>
        <v>1900</v>
      </c>
      <c r="C482" s="12"/>
      <c r="E482" s="12"/>
    </row>
    <row r="483" spans="1:5" x14ac:dyDescent="0.25">
      <c r="A483">
        <f t="shared" si="21"/>
        <v>1900</v>
      </c>
      <c r="C483" s="12"/>
      <c r="E483" s="12"/>
    </row>
    <row r="484" spans="1:5" x14ac:dyDescent="0.25">
      <c r="A484">
        <f t="shared" si="21"/>
        <v>1900</v>
      </c>
      <c r="C484" s="12"/>
      <c r="E484" s="12"/>
    </row>
    <row r="485" spans="1:5" x14ac:dyDescent="0.25">
      <c r="A485">
        <f t="shared" si="21"/>
        <v>1900</v>
      </c>
      <c r="C485" s="12"/>
      <c r="E485" s="12"/>
    </row>
    <row r="486" spans="1:5" x14ac:dyDescent="0.25">
      <c r="A486">
        <f t="shared" si="21"/>
        <v>1900</v>
      </c>
      <c r="C486" s="12"/>
      <c r="E486" s="12"/>
    </row>
    <row r="487" spans="1:5" x14ac:dyDescent="0.25">
      <c r="A487">
        <f t="shared" si="21"/>
        <v>1900</v>
      </c>
      <c r="C487" s="12"/>
      <c r="E487" s="12"/>
    </row>
    <row r="488" spans="1:5" x14ac:dyDescent="0.25">
      <c r="A488">
        <f t="shared" si="21"/>
        <v>1900</v>
      </c>
      <c r="C488" s="12"/>
      <c r="E488" s="12"/>
    </row>
    <row r="489" spans="1:5" x14ac:dyDescent="0.25">
      <c r="A489">
        <f t="shared" si="21"/>
        <v>1900</v>
      </c>
      <c r="C489" s="12"/>
      <c r="E489" s="12"/>
    </row>
    <row r="490" spans="1:5" x14ac:dyDescent="0.25">
      <c r="A490">
        <f t="shared" si="21"/>
        <v>1900</v>
      </c>
      <c r="C490" s="12"/>
      <c r="E490" s="12"/>
    </row>
    <row r="491" spans="1:5" x14ac:dyDescent="0.25">
      <c r="A491">
        <f t="shared" si="21"/>
        <v>1900</v>
      </c>
      <c r="C491" s="12"/>
      <c r="E491" s="12"/>
    </row>
    <row r="492" spans="1:5" x14ac:dyDescent="0.25">
      <c r="A492">
        <f t="shared" si="21"/>
        <v>1900</v>
      </c>
      <c r="C492" s="12"/>
      <c r="E492" s="12"/>
    </row>
    <row r="493" spans="1:5" x14ac:dyDescent="0.25">
      <c r="A493">
        <f t="shared" si="21"/>
        <v>1900</v>
      </c>
      <c r="C493" s="12"/>
      <c r="E493" s="12"/>
    </row>
    <row r="494" spans="1:5" x14ac:dyDescent="0.25">
      <c r="A494">
        <f t="shared" si="21"/>
        <v>1900</v>
      </c>
      <c r="C494" s="12"/>
      <c r="E494" s="12"/>
    </row>
    <row r="495" spans="1:5" x14ac:dyDescent="0.25">
      <c r="A495">
        <f t="shared" si="21"/>
        <v>1900</v>
      </c>
      <c r="C495" s="12"/>
      <c r="E495" s="12"/>
    </row>
    <row r="496" spans="1:5" x14ac:dyDescent="0.25">
      <c r="A496">
        <f t="shared" si="21"/>
        <v>1900</v>
      </c>
      <c r="C496" s="12"/>
      <c r="E496" s="12"/>
    </row>
    <row r="497" spans="1:5" x14ac:dyDescent="0.25">
      <c r="A497">
        <f t="shared" si="21"/>
        <v>1900</v>
      </c>
      <c r="C497" s="12"/>
      <c r="E497" s="12"/>
    </row>
    <row r="498" spans="1:5" x14ac:dyDescent="0.25">
      <c r="A498">
        <f t="shared" si="21"/>
        <v>1900</v>
      </c>
      <c r="C498" s="12"/>
      <c r="E498" s="12"/>
    </row>
    <row r="499" spans="1:5" x14ac:dyDescent="0.25">
      <c r="A499">
        <f t="shared" si="21"/>
        <v>1900</v>
      </c>
      <c r="C499" s="12"/>
      <c r="E499" s="12"/>
    </row>
    <row r="500" spans="1:5" x14ac:dyDescent="0.25">
      <c r="A500">
        <f t="shared" si="21"/>
        <v>1900</v>
      </c>
      <c r="C500" s="12"/>
      <c r="E500" s="12"/>
    </row>
    <row r="501" spans="1:5" x14ac:dyDescent="0.25">
      <c r="A501">
        <f t="shared" si="21"/>
        <v>1900</v>
      </c>
      <c r="C501" s="12"/>
      <c r="E501" s="12"/>
    </row>
    <row r="502" spans="1:5" x14ac:dyDescent="0.25">
      <c r="A502">
        <f t="shared" si="21"/>
        <v>1900</v>
      </c>
      <c r="C502" s="12"/>
      <c r="E502" s="12"/>
    </row>
    <row r="503" spans="1:5" x14ac:dyDescent="0.25">
      <c r="A503">
        <f t="shared" si="21"/>
        <v>1900</v>
      </c>
      <c r="C503" s="12"/>
      <c r="E503" s="12"/>
    </row>
    <row r="504" spans="1:5" x14ac:dyDescent="0.25">
      <c r="A504">
        <f t="shared" si="21"/>
        <v>1900</v>
      </c>
    </row>
    <row r="505" spans="1:5" x14ac:dyDescent="0.25">
      <c r="A505">
        <f t="shared" si="21"/>
        <v>1900</v>
      </c>
    </row>
    <row r="506" spans="1:5" x14ac:dyDescent="0.25">
      <c r="A506">
        <f t="shared" si="21"/>
        <v>1900</v>
      </c>
    </row>
    <row r="507" spans="1:5" x14ac:dyDescent="0.25">
      <c r="A507">
        <f t="shared" si="21"/>
        <v>1900</v>
      </c>
    </row>
    <row r="508" spans="1:5" x14ac:dyDescent="0.25">
      <c r="A508">
        <f t="shared" si="21"/>
        <v>1900</v>
      </c>
    </row>
    <row r="509" spans="1:5" x14ac:dyDescent="0.25">
      <c r="A509">
        <f t="shared" si="21"/>
        <v>1900</v>
      </c>
    </row>
  </sheetData>
  <mergeCells count="3">
    <mergeCell ref="B7:F7"/>
    <mergeCell ref="H7:L7"/>
    <mergeCell ref="N7:R7"/>
  </mergeCells>
  <pageMargins left="0.7" right="0.7" top="0.75" bottom="0.75" header="0.3" footer="0.3"/>
  <pageSetup paperSize="9" orientation="portrait" r:id="rId1"/>
  <ignoredErrors>
    <ignoredError sqref="J9:J18 P9:P18"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E82D4-997E-410D-A31A-6CD4F8CC9C12}">
  <sheetPr codeName="Sheet13"/>
  <dimension ref="A1:AF278"/>
  <sheetViews>
    <sheetView showGridLines="0" topLeftCell="D1" zoomScale="85" zoomScaleNormal="85" workbookViewId="0">
      <pane ySplit="8" topLeftCell="A9" activePane="bottomLeft" state="frozen"/>
      <selection activeCell="D1" sqref="D1"/>
      <selection pane="bottomLeft" activeCell="D1" sqref="D1"/>
    </sheetView>
  </sheetViews>
  <sheetFormatPr defaultColWidth="14.7109375" defaultRowHeight="11.25" x14ac:dyDescent="0.2"/>
  <cols>
    <col min="1" max="3" width="14.7109375" style="204" hidden="1" customWidth="1"/>
    <col min="4" max="4" width="12.7109375" style="204" customWidth="1"/>
    <col min="5" max="10" width="15.7109375" style="204" customWidth="1"/>
    <col min="11" max="11" width="15.7109375" style="204" hidden="1" customWidth="1"/>
    <col min="12" max="12" width="15.7109375" style="204" customWidth="1"/>
    <col min="13" max="13" width="8.7109375" style="205" customWidth="1"/>
    <col min="14" max="14" width="12.7109375" style="204" customWidth="1"/>
    <col min="15" max="21" width="15.7109375" style="204" customWidth="1"/>
    <col min="22" max="22" width="8.7109375" style="204" customWidth="1"/>
    <col min="23" max="23" width="12.7109375" style="204" customWidth="1"/>
    <col min="24" max="30" width="15.7109375" style="204" customWidth="1"/>
    <col min="31" max="16384" width="14.7109375" style="204"/>
  </cols>
  <sheetData>
    <row r="1" spans="1:30" ht="18" x14ac:dyDescent="0.3">
      <c r="H1" s="226"/>
      <c r="I1" s="227"/>
      <c r="J1" s="227"/>
      <c r="K1" s="227"/>
      <c r="L1" s="205"/>
      <c r="N1" s="228">
        <f>(LARGE(A191:A280,1))</f>
        <v>2025</v>
      </c>
      <c r="O1" s="3"/>
      <c r="P1"/>
      <c r="Q1"/>
      <c r="R1"/>
      <c r="S1" s="50"/>
      <c r="T1"/>
      <c r="U1"/>
      <c r="V1"/>
    </row>
    <row r="2" spans="1:30" ht="15.75" x14ac:dyDescent="0.25">
      <c r="H2" s="229"/>
      <c r="I2" s="230"/>
      <c r="J2" s="227"/>
      <c r="K2" s="227"/>
      <c r="L2" s="205"/>
      <c r="N2" s="228">
        <f>COUNTIF($A$191:$A$269,N1)</f>
        <v>4</v>
      </c>
      <c r="O2" s="3"/>
      <c r="P2"/>
      <c r="Q2"/>
      <c r="R2"/>
      <c r="S2"/>
      <c r="T2"/>
      <c r="U2"/>
      <c r="V2"/>
      <c r="W2"/>
      <c r="X2"/>
      <c r="Y2"/>
    </row>
    <row r="3" spans="1:30" ht="15.75" x14ac:dyDescent="0.25">
      <c r="H3" s="229"/>
      <c r="I3" s="227"/>
      <c r="J3" s="227"/>
      <c r="K3" s="227"/>
      <c r="L3" s="205"/>
      <c r="N3" s="228" t="str">
        <f>IF(N2=2,"Financial Year","Calendar Year")</f>
        <v>Calendar Year</v>
      </c>
      <c r="O3" s="3"/>
      <c r="P3"/>
      <c r="Q3"/>
      <c r="R3"/>
      <c r="S3"/>
      <c r="T3"/>
      <c r="U3"/>
      <c r="V3"/>
      <c r="W3"/>
      <c r="X3"/>
      <c r="Y3"/>
    </row>
    <row r="4" spans="1:30" ht="15" x14ac:dyDescent="0.25">
      <c r="L4" s="205"/>
      <c r="N4" s="3"/>
      <c r="O4" s="3"/>
      <c r="P4"/>
      <c r="Q4"/>
      <c r="R4"/>
      <c r="S4"/>
      <c r="T4"/>
      <c r="U4"/>
      <c r="V4"/>
      <c r="W4"/>
      <c r="X4"/>
      <c r="Y4"/>
    </row>
    <row r="5" spans="1:30" ht="15" x14ac:dyDescent="0.25">
      <c r="M5" s="204"/>
      <c r="N5" s="2"/>
      <c r="O5"/>
      <c r="P5"/>
      <c r="Q5"/>
      <c r="R5"/>
      <c r="S5"/>
      <c r="T5"/>
      <c r="U5"/>
      <c r="V5"/>
      <c r="W5"/>
      <c r="X5"/>
      <c r="Y5"/>
    </row>
    <row r="6" spans="1:30" ht="15" x14ac:dyDescent="0.25">
      <c r="M6" s="204"/>
      <c r="N6" s="2"/>
      <c r="O6"/>
      <c r="P6"/>
      <c r="Q6"/>
      <c r="R6"/>
      <c r="S6"/>
      <c r="T6"/>
      <c r="U6"/>
      <c r="V6"/>
      <c r="W6"/>
      <c r="X6"/>
      <c r="Y6"/>
    </row>
    <row r="7" spans="1:30" ht="15.75" thickBot="1" x14ac:dyDescent="0.3">
      <c r="D7" s="586" t="s">
        <v>114</v>
      </c>
      <c r="E7" s="586"/>
      <c r="F7" s="586"/>
      <c r="G7" s="586"/>
      <c r="H7" s="586"/>
      <c r="I7" s="586"/>
      <c r="J7" s="586"/>
      <c r="K7" s="586"/>
      <c r="L7" s="586"/>
      <c r="M7" s="204"/>
      <c r="N7" s="585" t="s">
        <v>92</v>
      </c>
      <c r="O7" s="585"/>
      <c r="P7" s="585"/>
      <c r="Q7" s="585"/>
      <c r="R7" s="585"/>
      <c r="S7" s="585"/>
      <c r="T7" s="585"/>
      <c r="U7" s="585"/>
      <c r="V7" s="11"/>
      <c r="W7" s="585" t="s">
        <v>54</v>
      </c>
      <c r="X7" s="585"/>
      <c r="Y7" s="585"/>
      <c r="Z7" s="585"/>
      <c r="AA7" s="585"/>
      <c r="AB7" s="585"/>
      <c r="AC7" s="585"/>
      <c r="AD7" s="585"/>
    </row>
    <row r="8" spans="1:30" ht="60" customHeight="1" x14ac:dyDescent="0.25">
      <c r="A8" s="208"/>
      <c r="B8" s="208"/>
      <c r="C8" s="208"/>
      <c r="D8" s="133" t="s">
        <v>93</v>
      </c>
      <c r="E8" s="172" t="s">
        <v>578</v>
      </c>
      <c r="F8" s="134" t="s">
        <v>579</v>
      </c>
      <c r="G8" s="134" t="s">
        <v>580</v>
      </c>
      <c r="H8" s="134" t="s">
        <v>581</v>
      </c>
      <c r="I8" s="134" t="s">
        <v>582</v>
      </c>
      <c r="J8" s="134" t="s">
        <v>583</v>
      </c>
      <c r="K8" s="134" t="s">
        <v>584</v>
      </c>
      <c r="L8" s="231" t="s">
        <v>115</v>
      </c>
      <c r="M8" s="204"/>
      <c r="N8" s="232" t="s">
        <v>55</v>
      </c>
      <c r="O8" s="134" t="s">
        <v>578</v>
      </c>
      <c r="P8" s="134" t="s">
        <v>579</v>
      </c>
      <c r="Q8" s="134" t="s">
        <v>580</v>
      </c>
      <c r="R8" s="134" t="s">
        <v>581</v>
      </c>
      <c r="S8" s="134" t="s">
        <v>582</v>
      </c>
      <c r="T8" s="134" t="s">
        <v>583</v>
      </c>
      <c r="U8" s="231" t="s">
        <v>115</v>
      </c>
      <c r="V8" s="138"/>
      <c r="W8" s="232" t="s">
        <v>55</v>
      </c>
      <c r="X8" s="134" t="s">
        <v>578</v>
      </c>
      <c r="Y8" s="134" t="s">
        <v>579</v>
      </c>
      <c r="Z8" s="134" t="s">
        <v>580</v>
      </c>
      <c r="AA8" s="134" t="s">
        <v>581</v>
      </c>
      <c r="AB8" s="134" t="s">
        <v>582</v>
      </c>
      <c r="AC8" s="134" t="s">
        <v>583</v>
      </c>
      <c r="AD8" s="231" t="s">
        <v>115</v>
      </c>
    </row>
    <row r="9" spans="1:30" ht="15" x14ac:dyDescent="0.25">
      <c r="A9" s="210">
        <f t="shared" ref="A9:A72" si="0">YEAR(D9)</f>
        <v>1978</v>
      </c>
      <c r="B9" s="211" t="str">
        <f t="shared" ref="B9:B72" si="1">IF(MONTH(D9)&lt;4,"1",IF(MONTH(D9)&lt;7,"2",IF(MONTH(D9)&lt;10,"3","4")))</f>
        <v>2</v>
      </c>
      <c r="C9" s="233">
        <f>_xlfn.NUMBERVALUE(CONCATENATE(A9,B9))</f>
        <v>19782</v>
      </c>
      <c r="D9" s="192">
        <v>28642</v>
      </c>
      <c r="E9" s="512">
        <v>2.2000000000000002</v>
      </c>
      <c r="F9" s="513">
        <v>3.8</v>
      </c>
      <c r="G9" s="513">
        <v>6</v>
      </c>
      <c r="H9" s="513">
        <v>15.1</v>
      </c>
      <c r="I9" s="513">
        <v>5.2</v>
      </c>
      <c r="J9" s="513">
        <v>20.9</v>
      </c>
      <c r="K9" s="513">
        <f t="shared" ref="K9:K72" si="2">SUM(J9,G9)</f>
        <v>26.9</v>
      </c>
      <c r="L9" s="18">
        <f t="shared" ref="L9:L72" si="3">G9/K9</f>
        <v>0.22304832713754649</v>
      </c>
      <c r="M9" s="204"/>
      <c r="N9" s="141">
        <f t="shared" ref="N9:N17" si="4">N10-1</f>
        <v>2016</v>
      </c>
      <c r="O9" s="520">
        <f t="shared" ref="O9:O18" si="5">SUMIFS(E:E, $D:$D, "&gt;=" &amp; DATE($N9, 1, 1), $D:$D, "&lt;" &amp; DATE($N9+1, 1, 1))</f>
        <v>156.9</v>
      </c>
      <c r="P9" s="520">
        <f t="shared" ref="P9:P18" si="6">SUMIFS(F:F, $D:$D, "&gt;=" &amp; DATE($N9, 1, 1), $D:$D, "&lt;" &amp; DATE($N9+1, 1, 1))</f>
        <v>164.6</v>
      </c>
      <c r="Q9" s="520">
        <f t="shared" ref="Q9:Q18" si="7">SUMIFS(G:G, $D:$D, "&gt;=" &amp; DATE($N9, 1, 1), $D:$D, "&lt;" &amp; DATE($N9+1, 1, 1))</f>
        <v>321.39999999999998</v>
      </c>
      <c r="R9" s="520">
        <f t="shared" ref="R9:R18" si="8">SUMIFS(H:H, $D:$D, "&gt;=" &amp; DATE($N9, 1, 1), $D:$D, "&lt;" &amp; DATE($N9+1, 1, 1))</f>
        <v>696</v>
      </c>
      <c r="S9" s="520">
        <f t="shared" ref="S9:S18" si="9">SUMIFS(I:I, $D:$D, "&gt;=" &amp; DATE($N9, 1, 1), $D:$D, "&lt;" &amp; DATE($N9+1, 1, 1))</f>
        <v>386.5</v>
      </c>
      <c r="T9" s="520">
        <f t="shared" ref="T9:T18" si="10">SUMIFS(J:J, $D:$D, "&gt;=" &amp; DATE($N9, 1, 1), $D:$D, "&lt;" &amp; DATE($N9+1, 1, 1))</f>
        <v>1082.5</v>
      </c>
      <c r="U9" s="234">
        <f t="shared" ref="U9:U18" si="11">Q9/(T9+Q9)</f>
        <v>0.22893368473537998</v>
      </c>
      <c r="V9" s="106"/>
      <c r="W9" s="149" t="str">
        <f t="shared" ref="W9:W16" si="12">LEFT(W10,4)-1 &amp; "-" &amp; RIGHT(W10,2)-1</f>
        <v>2015-16</v>
      </c>
      <c r="X9" s="521">
        <f t="shared" ref="X9:X18" si="13">SUMIFS(E:E, $D:$D, "&gt;=" &amp; DATE(LEFT($W9, 4), 7, 1), $D:$D, "&lt;" &amp; DATE(LEFT($W9, 4)+1, 7, 1))</f>
        <v>240.49999999999997</v>
      </c>
      <c r="Y9" s="521">
        <f t="shared" ref="Y9:Y18" si="14">SUMIFS(F:F, $D:$D, "&gt;=" &amp; DATE(LEFT($W9, 4), 7, 1), $D:$D, "&lt;" &amp; DATE(LEFT($W9, 4)+1, 7, 1))</f>
        <v>249</v>
      </c>
      <c r="Z9" s="521">
        <f t="shared" ref="Z9:Z18" si="15">SUMIFS(G:G, $D:$D, "&gt;=" &amp; DATE(LEFT($W9, 4), 7, 1), $D:$D, "&lt;" &amp; DATE(LEFT($W9, 4)+1, 7, 1))</f>
        <v>489.49999999999994</v>
      </c>
      <c r="AA9" s="521">
        <f t="shared" ref="AA9:AA18" si="16">SUMIFS(H:H, $D:$D, "&gt;=" &amp; DATE(LEFT($W9, 4), 7, 1), $D:$D, "&lt;" &amp; DATE(LEFT($W9, 4)+1, 7, 1))</f>
        <v>888.2</v>
      </c>
      <c r="AB9" s="521">
        <f t="shared" ref="AB9:AB18" si="17">SUMIFS(I:I, $D:$D, "&gt;=" &amp; DATE(LEFT($W9, 4), 7, 1), $D:$D, "&lt;" &amp; DATE(LEFT($W9, 4)+1, 7, 1))</f>
        <v>397.40000000000003</v>
      </c>
      <c r="AC9" s="521">
        <f t="shared" ref="AC9:AC18" si="18">SUMIFS(J:J, $D:$D, "&gt;=" &amp; DATE(LEFT($W9, 4), 7, 1), $D:$D, "&lt;" &amp; DATE(LEFT($W9, 4)+1, 7, 1))</f>
        <v>1285.5999999999999</v>
      </c>
      <c r="AD9" s="235">
        <f>Z9/(AC9+Z9)</f>
        <v>0.27575911216269505</v>
      </c>
    </row>
    <row r="10" spans="1:30" ht="15" x14ac:dyDescent="0.25">
      <c r="A10" s="210">
        <f t="shared" si="0"/>
        <v>1978</v>
      </c>
      <c r="B10" s="211" t="str">
        <f t="shared" si="1"/>
        <v>3</v>
      </c>
      <c r="C10" s="233">
        <f t="shared" ref="C10:C73" si="19">_xlfn.NUMBERVALUE(CONCATENATE(A10,B10))</f>
        <v>19783</v>
      </c>
      <c r="D10" s="192">
        <v>28734</v>
      </c>
      <c r="E10" s="514">
        <v>2.2000000000000002</v>
      </c>
      <c r="F10" s="515">
        <v>4.3</v>
      </c>
      <c r="G10" s="515">
        <v>6.7</v>
      </c>
      <c r="H10" s="515">
        <v>17.399999999999999</v>
      </c>
      <c r="I10" s="515">
        <v>5.5</v>
      </c>
      <c r="J10" s="515">
        <v>23.1</v>
      </c>
      <c r="K10" s="515">
        <f t="shared" si="2"/>
        <v>29.8</v>
      </c>
      <c r="L10" s="183">
        <f t="shared" si="3"/>
        <v>0.22483221476510068</v>
      </c>
      <c r="M10" s="204"/>
      <c r="N10" s="149">
        <f t="shared" si="4"/>
        <v>2017</v>
      </c>
      <c r="O10" s="521">
        <f t="shared" si="5"/>
        <v>244.59999999999997</v>
      </c>
      <c r="P10" s="521">
        <f t="shared" si="6"/>
        <v>187.3</v>
      </c>
      <c r="Q10" s="521">
        <f t="shared" si="7"/>
        <v>431.9</v>
      </c>
      <c r="R10" s="521">
        <f t="shared" si="8"/>
        <v>422.1</v>
      </c>
      <c r="S10" s="521">
        <f t="shared" si="9"/>
        <v>366.49999999999994</v>
      </c>
      <c r="T10" s="521">
        <f t="shared" si="10"/>
        <v>788.6</v>
      </c>
      <c r="U10" s="236">
        <f t="shared" si="11"/>
        <v>0.35387136419500204</v>
      </c>
      <c r="V10" s="106"/>
      <c r="W10" s="141" t="str">
        <f t="shared" si="12"/>
        <v>2016-17</v>
      </c>
      <c r="X10" s="520">
        <f t="shared" si="13"/>
        <v>244.5</v>
      </c>
      <c r="Y10" s="520">
        <f t="shared" si="14"/>
        <v>190.20000000000002</v>
      </c>
      <c r="Z10" s="520">
        <f t="shared" si="15"/>
        <v>434.6</v>
      </c>
      <c r="AA10" s="520">
        <f t="shared" si="16"/>
        <v>541</v>
      </c>
      <c r="AB10" s="520">
        <f t="shared" si="17"/>
        <v>405.5</v>
      </c>
      <c r="AC10" s="520">
        <f t="shared" si="18"/>
        <v>946.5</v>
      </c>
      <c r="AD10" s="94">
        <f t="shared" ref="AD10:AD18" si="20">Z10/(AC10+Z10)</f>
        <v>0.31467670697270295</v>
      </c>
    </row>
    <row r="11" spans="1:30" ht="15" x14ac:dyDescent="0.25">
      <c r="A11" s="210">
        <f t="shared" si="0"/>
        <v>1978</v>
      </c>
      <c r="B11" s="211" t="str">
        <f t="shared" si="1"/>
        <v>4</v>
      </c>
      <c r="C11" s="233">
        <f t="shared" si="19"/>
        <v>19784</v>
      </c>
      <c r="D11" s="192">
        <v>28825</v>
      </c>
      <c r="E11" s="512">
        <v>2.9</v>
      </c>
      <c r="F11" s="513">
        <v>5.5</v>
      </c>
      <c r="G11" s="513">
        <v>8.5</v>
      </c>
      <c r="H11" s="513">
        <v>14.1</v>
      </c>
      <c r="I11" s="513">
        <v>10.6</v>
      </c>
      <c r="J11" s="513">
        <v>25.4</v>
      </c>
      <c r="K11" s="513">
        <f t="shared" si="2"/>
        <v>33.9</v>
      </c>
      <c r="L11" s="18">
        <f t="shared" si="3"/>
        <v>0.2507374631268437</v>
      </c>
      <c r="M11" s="204"/>
      <c r="N11" s="141">
        <f t="shared" si="4"/>
        <v>2018</v>
      </c>
      <c r="O11" s="520">
        <f t="shared" si="5"/>
        <v>278.39999999999998</v>
      </c>
      <c r="P11" s="520">
        <f t="shared" si="6"/>
        <v>115.49999999999999</v>
      </c>
      <c r="Q11" s="520">
        <f t="shared" si="7"/>
        <v>393.90000000000003</v>
      </c>
      <c r="R11" s="520">
        <f t="shared" si="8"/>
        <v>373.9</v>
      </c>
      <c r="S11" s="520">
        <f t="shared" si="9"/>
        <v>372</v>
      </c>
      <c r="T11" s="520">
        <f t="shared" si="10"/>
        <v>745.90000000000009</v>
      </c>
      <c r="U11" s="234">
        <f t="shared" si="11"/>
        <v>0.34558694507808385</v>
      </c>
      <c r="V11" s="106"/>
      <c r="W11" s="149" t="str">
        <f t="shared" si="12"/>
        <v>2017-18</v>
      </c>
      <c r="X11" s="521">
        <f t="shared" si="13"/>
        <v>206.2</v>
      </c>
      <c r="Y11" s="521">
        <f t="shared" si="14"/>
        <v>144.4</v>
      </c>
      <c r="Z11" s="521">
        <f t="shared" si="15"/>
        <v>350.6</v>
      </c>
      <c r="AA11" s="521">
        <f t="shared" si="16"/>
        <v>314.5</v>
      </c>
      <c r="AB11" s="521">
        <f t="shared" si="17"/>
        <v>358.80000000000007</v>
      </c>
      <c r="AC11" s="521">
        <f t="shared" si="18"/>
        <v>673.4</v>
      </c>
      <c r="AD11" s="235">
        <f t="shared" si="20"/>
        <v>0.34238281250000002</v>
      </c>
    </row>
    <row r="12" spans="1:30" ht="15" x14ac:dyDescent="0.25">
      <c r="A12" s="210">
        <f t="shared" si="0"/>
        <v>1979</v>
      </c>
      <c r="B12" s="211" t="str">
        <f t="shared" si="1"/>
        <v>1</v>
      </c>
      <c r="C12" s="233">
        <f t="shared" si="19"/>
        <v>19791</v>
      </c>
      <c r="D12" s="192">
        <v>28915</v>
      </c>
      <c r="E12" s="514">
        <v>1.6</v>
      </c>
      <c r="F12" s="515">
        <v>5</v>
      </c>
      <c r="G12" s="515">
        <v>6.5</v>
      </c>
      <c r="H12" s="515">
        <v>29.7</v>
      </c>
      <c r="I12" s="515">
        <v>10.199999999999999</v>
      </c>
      <c r="J12" s="515">
        <v>38.700000000000003</v>
      </c>
      <c r="K12" s="515">
        <f t="shared" si="2"/>
        <v>45.2</v>
      </c>
      <c r="L12" s="183">
        <f t="shared" si="3"/>
        <v>0.14380530973451328</v>
      </c>
      <c r="M12" s="204"/>
      <c r="N12" s="149">
        <f t="shared" si="4"/>
        <v>2019</v>
      </c>
      <c r="O12" s="521">
        <f t="shared" si="5"/>
        <v>390.9</v>
      </c>
      <c r="P12" s="521">
        <f t="shared" si="6"/>
        <v>188.7</v>
      </c>
      <c r="Q12" s="521">
        <f t="shared" si="7"/>
        <v>579.59999999999991</v>
      </c>
      <c r="R12" s="521">
        <f t="shared" si="8"/>
        <v>386.40000000000003</v>
      </c>
      <c r="S12" s="521">
        <f t="shared" si="9"/>
        <v>397.70000000000005</v>
      </c>
      <c r="T12" s="521">
        <f t="shared" si="10"/>
        <v>784.1</v>
      </c>
      <c r="U12" s="236">
        <f t="shared" si="11"/>
        <v>0.42502016572559947</v>
      </c>
      <c r="V12" s="106"/>
      <c r="W12" s="141" t="str">
        <f t="shared" si="12"/>
        <v>2018-19</v>
      </c>
      <c r="X12" s="520">
        <f t="shared" si="13"/>
        <v>298.5</v>
      </c>
      <c r="Y12" s="520">
        <f t="shared" si="14"/>
        <v>140.70000000000002</v>
      </c>
      <c r="Z12" s="520">
        <f t="shared" si="15"/>
        <v>439.20000000000005</v>
      </c>
      <c r="AA12" s="520">
        <f t="shared" si="16"/>
        <v>396.79999999999995</v>
      </c>
      <c r="AB12" s="520">
        <f t="shared" si="17"/>
        <v>415.9</v>
      </c>
      <c r="AC12" s="520">
        <f t="shared" si="18"/>
        <v>812.49999999999989</v>
      </c>
      <c r="AD12" s="94">
        <f t="shared" si="20"/>
        <v>0.35088279939282585</v>
      </c>
    </row>
    <row r="13" spans="1:30" ht="15" x14ac:dyDescent="0.25">
      <c r="A13" s="210">
        <f t="shared" si="0"/>
        <v>1979</v>
      </c>
      <c r="B13" s="211" t="str">
        <f t="shared" si="1"/>
        <v>2</v>
      </c>
      <c r="C13" s="233">
        <f t="shared" si="19"/>
        <v>19792</v>
      </c>
      <c r="D13" s="192">
        <v>29007</v>
      </c>
      <c r="E13" s="512">
        <v>2.4</v>
      </c>
      <c r="F13" s="513">
        <v>6.1</v>
      </c>
      <c r="G13" s="513">
        <v>8.3000000000000007</v>
      </c>
      <c r="H13" s="513">
        <v>34.9</v>
      </c>
      <c r="I13" s="513">
        <v>9.5</v>
      </c>
      <c r="J13" s="513">
        <v>45.5</v>
      </c>
      <c r="K13" s="513">
        <f t="shared" si="2"/>
        <v>53.8</v>
      </c>
      <c r="L13" s="18">
        <f t="shared" si="3"/>
        <v>0.154275092936803</v>
      </c>
      <c r="M13" s="204"/>
      <c r="N13" s="141">
        <f t="shared" si="4"/>
        <v>2020</v>
      </c>
      <c r="O13" s="520">
        <f t="shared" si="5"/>
        <v>385.7</v>
      </c>
      <c r="P13" s="520">
        <f t="shared" si="6"/>
        <v>218.8</v>
      </c>
      <c r="Q13" s="520">
        <f t="shared" si="7"/>
        <v>604.5</v>
      </c>
      <c r="R13" s="520">
        <f t="shared" si="8"/>
        <v>80.5</v>
      </c>
      <c r="S13" s="520">
        <f t="shared" si="9"/>
        <v>314.39999999999998</v>
      </c>
      <c r="T13" s="520">
        <f t="shared" si="10"/>
        <v>394.80000000000007</v>
      </c>
      <c r="U13" s="234">
        <f t="shared" si="11"/>
        <v>0.60492344641248874</v>
      </c>
      <c r="V13" s="106"/>
      <c r="W13" s="149" t="str">
        <f t="shared" si="12"/>
        <v>2019-20</v>
      </c>
      <c r="X13" s="523">
        <f t="shared" si="13"/>
        <v>474.1</v>
      </c>
      <c r="Y13" s="523">
        <f t="shared" si="14"/>
        <v>194.7</v>
      </c>
      <c r="Z13" s="523">
        <f t="shared" si="15"/>
        <v>668.9</v>
      </c>
      <c r="AA13" s="523">
        <f t="shared" si="16"/>
        <v>234.20000000000002</v>
      </c>
      <c r="AB13" s="523">
        <f t="shared" si="17"/>
        <v>353</v>
      </c>
      <c r="AC13" s="523">
        <f t="shared" si="18"/>
        <v>587.29999999999995</v>
      </c>
      <c r="AD13" s="235">
        <f t="shared" si="20"/>
        <v>0.53247890463302028</v>
      </c>
    </row>
    <row r="14" spans="1:30" ht="15" x14ac:dyDescent="0.25">
      <c r="A14" s="210">
        <f t="shared" si="0"/>
        <v>1979</v>
      </c>
      <c r="B14" s="211" t="str">
        <f t="shared" si="1"/>
        <v>3</v>
      </c>
      <c r="C14" s="233">
        <f t="shared" si="19"/>
        <v>19793</v>
      </c>
      <c r="D14" s="192">
        <v>29099</v>
      </c>
      <c r="E14" s="514">
        <v>4.7</v>
      </c>
      <c r="F14" s="515">
        <v>7.3</v>
      </c>
      <c r="G14" s="515">
        <v>12.5</v>
      </c>
      <c r="H14" s="515">
        <v>38.9</v>
      </c>
      <c r="I14" s="515">
        <v>8.6999999999999993</v>
      </c>
      <c r="J14" s="515">
        <v>47.9</v>
      </c>
      <c r="K14" s="515">
        <f t="shared" si="2"/>
        <v>60.4</v>
      </c>
      <c r="L14" s="183">
        <f t="shared" si="3"/>
        <v>0.20695364238410596</v>
      </c>
      <c r="M14" s="204"/>
      <c r="N14" s="149">
        <f t="shared" si="4"/>
        <v>2021</v>
      </c>
      <c r="O14" s="521">
        <f t="shared" si="5"/>
        <v>479.5</v>
      </c>
      <c r="P14" s="521">
        <f t="shared" si="6"/>
        <v>245.5</v>
      </c>
      <c r="Q14" s="521">
        <f t="shared" si="7"/>
        <v>725.09999999999991</v>
      </c>
      <c r="R14" s="521">
        <f t="shared" si="8"/>
        <v>112</v>
      </c>
      <c r="S14" s="521">
        <f t="shared" si="9"/>
        <v>285</v>
      </c>
      <c r="T14" s="521">
        <f t="shared" si="10"/>
        <v>397.00000000000006</v>
      </c>
      <c r="U14" s="236">
        <f t="shared" si="11"/>
        <v>0.64619909099010775</v>
      </c>
      <c r="V14" s="106"/>
      <c r="W14" s="141" t="str">
        <f t="shared" si="12"/>
        <v>2020-21</v>
      </c>
      <c r="X14" s="524">
        <f t="shared" si="13"/>
        <v>389.09999999999997</v>
      </c>
      <c r="Y14" s="524">
        <f t="shared" si="14"/>
        <v>240.1</v>
      </c>
      <c r="Z14" s="524">
        <f t="shared" si="15"/>
        <v>629.09999999999991</v>
      </c>
      <c r="AA14" s="524">
        <f t="shared" si="16"/>
        <v>79.199999999999989</v>
      </c>
      <c r="AB14" s="524">
        <f t="shared" si="17"/>
        <v>292.8</v>
      </c>
      <c r="AC14" s="524">
        <f t="shared" si="18"/>
        <v>371.8</v>
      </c>
      <c r="AD14" s="94">
        <f t="shared" si="20"/>
        <v>0.62853431911279845</v>
      </c>
    </row>
    <row r="15" spans="1:30" ht="15" x14ac:dyDescent="0.25">
      <c r="A15" s="210">
        <f t="shared" si="0"/>
        <v>1979</v>
      </c>
      <c r="B15" s="211" t="str">
        <f t="shared" si="1"/>
        <v>4</v>
      </c>
      <c r="C15" s="233">
        <f t="shared" si="19"/>
        <v>19794</v>
      </c>
      <c r="D15" s="192">
        <v>29190</v>
      </c>
      <c r="E15" s="512">
        <v>7.3</v>
      </c>
      <c r="F15" s="513">
        <v>10.5</v>
      </c>
      <c r="G15" s="513">
        <v>18</v>
      </c>
      <c r="H15" s="513">
        <v>36.299999999999997</v>
      </c>
      <c r="I15" s="513">
        <v>11.3</v>
      </c>
      <c r="J15" s="513">
        <v>47.3</v>
      </c>
      <c r="K15" s="513">
        <f t="shared" si="2"/>
        <v>65.3</v>
      </c>
      <c r="L15" s="18">
        <f t="shared" si="3"/>
        <v>0.27565084226646247</v>
      </c>
      <c r="M15" s="204"/>
      <c r="N15" s="141">
        <f t="shared" si="4"/>
        <v>2022</v>
      </c>
      <c r="O15" s="520">
        <f t="shared" si="5"/>
        <v>368.4</v>
      </c>
      <c r="P15" s="520">
        <f t="shared" si="6"/>
        <v>227.89999999999998</v>
      </c>
      <c r="Q15" s="520">
        <f t="shared" si="7"/>
        <v>596.4</v>
      </c>
      <c r="R15" s="520">
        <f t="shared" si="8"/>
        <v>175.20000000000002</v>
      </c>
      <c r="S15" s="520">
        <f t="shared" si="9"/>
        <v>213.1</v>
      </c>
      <c r="T15" s="520">
        <f t="shared" si="10"/>
        <v>388.4</v>
      </c>
      <c r="U15" s="234">
        <f t="shared" si="11"/>
        <v>0.60560519902518273</v>
      </c>
      <c r="V15" s="106"/>
      <c r="W15" s="149" t="str">
        <f t="shared" si="12"/>
        <v>2021-22</v>
      </c>
      <c r="X15" s="523">
        <f t="shared" si="13"/>
        <v>441.90000000000003</v>
      </c>
      <c r="Y15" s="523">
        <f t="shared" si="14"/>
        <v>239.09999999999997</v>
      </c>
      <c r="Z15" s="523">
        <f t="shared" si="15"/>
        <v>681.3</v>
      </c>
      <c r="AA15" s="523">
        <f t="shared" si="16"/>
        <v>221.50000000000003</v>
      </c>
      <c r="AB15" s="523">
        <f t="shared" si="17"/>
        <v>246.39999999999998</v>
      </c>
      <c r="AC15" s="523">
        <f t="shared" si="18"/>
        <v>468.1</v>
      </c>
      <c r="AD15" s="235">
        <f t="shared" si="20"/>
        <v>0.59274404036888806</v>
      </c>
    </row>
    <row r="16" spans="1:30" ht="15" x14ac:dyDescent="0.25">
      <c r="A16" s="210">
        <f t="shared" si="0"/>
        <v>1980</v>
      </c>
      <c r="B16" s="211" t="str">
        <f t="shared" si="1"/>
        <v>1</v>
      </c>
      <c r="C16" s="233">
        <f t="shared" si="19"/>
        <v>19801</v>
      </c>
      <c r="D16" s="192">
        <v>29281</v>
      </c>
      <c r="E16" s="514">
        <v>10.8</v>
      </c>
      <c r="F16" s="515">
        <v>10.9</v>
      </c>
      <c r="G16" s="515">
        <v>21.4</v>
      </c>
      <c r="H16" s="515">
        <v>43.6</v>
      </c>
      <c r="I16" s="515">
        <v>7</v>
      </c>
      <c r="J16" s="515">
        <v>50.2</v>
      </c>
      <c r="K16" s="515">
        <f t="shared" si="2"/>
        <v>71.599999999999994</v>
      </c>
      <c r="L16" s="183">
        <f t="shared" si="3"/>
        <v>0.2988826815642458</v>
      </c>
      <c r="M16" s="204"/>
      <c r="N16" s="149">
        <f t="shared" si="4"/>
        <v>2023</v>
      </c>
      <c r="O16" s="521">
        <f t="shared" si="5"/>
        <v>370.09999999999997</v>
      </c>
      <c r="P16" s="521">
        <f t="shared" si="6"/>
        <v>286.60000000000002</v>
      </c>
      <c r="Q16" s="521">
        <f t="shared" si="7"/>
        <v>656.5</v>
      </c>
      <c r="R16" s="521">
        <f t="shared" si="8"/>
        <v>169.8</v>
      </c>
      <c r="S16" s="521">
        <f t="shared" si="9"/>
        <v>232.6</v>
      </c>
      <c r="T16" s="521">
        <f t="shared" si="10"/>
        <v>402.5</v>
      </c>
      <c r="U16" s="236">
        <f t="shared" si="11"/>
        <v>0.61992445703493859</v>
      </c>
      <c r="V16" s="106"/>
      <c r="W16" s="141" t="str">
        <f t="shared" si="12"/>
        <v>2022-23</v>
      </c>
      <c r="X16" s="524">
        <f t="shared" si="13"/>
        <v>344.4</v>
      </c>
      <c r="Y16" s="524">
        <f t="shared" si="14"/>
        <v>250.1</v>
      </c>
      <c r="Z16" s="524">
        <f t="shared" si="15"/>
        <v>594.29999999999995</v>
      </c>
      <c r="AA16" s="524">
        <f t="shared" si="16"/>
        <v>100.6</v>
      </c>
      <c r="AB16" s="524">
        <f t="shared" si="17"/>
        <v>222.3</v>
      </c>
      <c r="AC16" s="524">
        <f t="shared" si="18"/>
        <v>322.89999999999998</v>
      </c>
      <c r="AD16" s="94">
        <f t="shared" si="20"/>
        <v>0.6479502834714348</v>
      </c>
    </row>
    <row r="17" spans="1:32" ht="15" x14ac:dyDescent="0.25">
      <c r="A17" s="210">
        <f t="shared" si="0"/>
        <v>1980</v>
      </c>
      <c r="B17" s="211" t="str">
        <f t="shared" si="1"/>
        <v>2</v>
      </c>
      <c r="C17" s="233">
        <f t="shared" si="19"/>
        <v>19802</v>
      </c>
      <c r="D17" s="192">
        <v>29373</v>
      </c>
      <c r="E17" s="512">
        <v>13.3</v>
      </c>
      <c r="F17" s="513">
        <v>21.3</v>
      </c>
      <c r="G17" s="513">
        <v>32.799999999999997</v>
      </c>
      <c r="H17" s="513">
        <v>51.4</v>
      </c>
      <c r="I17" s="513">
        <v>12.1</v>
      </c>
      <c r="J17" s="513">
        <v>65</v>
      </c>
      <c r="K17" s="513">
        <f t="shared" si="2"/>
        <v>97.8</v>
      </c>
      <c r="L17" s="18">
        <f t="shared" si="3"/>
        <v>0.33537832310838445</v>
      </c>
      <c r="M17" s="204"/>
      <c r="N17" s="141">
        <f t="shared" si="4"/>
        <v>2024</v>
      </c>
      <c r="O17" s="520">
        <f t="shared" si="5"/>
        <v>547.20000000000005</v>
      </c>
      <c r="P17" s="520">
        <f t="shared" si="6"/>
        <v>334.9</v>
      </c>
      <c r="Q17" s="520">
        <f t="shared" si="7"/>
        <v>882.10000000000014</v>
      </c>
      <c r="R17" s="520">
        <f t="shared" si="8"/>
        <v>283.89999999999998</v>
      </c>
      <c r="S17" s="520">
        <f t="shared" si="9"/>
        <v>245.6</v>
      </c>
      <c r="T17" s="520">
        <f t="shared" si="10"/>
        <v>529.6</v>
      </c>
      <c r="U17" s="234">
        <f t="shared" si="11"/>
        <v>0.62484947226747889</v>
      </c>
      <c r="V17" s="106"/>
      <c r="W17" s="149" t="str">
        <f>LEFT(W18,4)-1 &amp; "-" &amp; RIGHT(W18,2)-1</f>
        <v>2023-24</v>
      </c>
      <c r="X17" s="523">
        <f t="shared" si="13"/>
        <v>498.4</v>
      </c>
      <c r="Y17" s="523">
        <f t="shared" si="14"/>
        <v>312.5</v>
      </c>
      <c r="Z17" s="523">
        <f t="shared" si="15"/>
        <v>810.80000000000007</v>
      </c>
      <c r="AA17" s="523">
        <f t="shared" si="16"/>
        <v>234.59999999999997</v>
      </c>
      <c r="AB17" s="523">
        <f t="shared" si="17"/>
        <v>241.7</v>
      </c>
      <c r="AC17" s="523">
        <f t="shared" si="18"/>
        <v>476.5</v>
      </c>
      <c r="AD17" s="235">
        <f t="shared" si="20"/>
        <v>0.62984541287967055</v>
      </c>
    </row>
    <row r="18" spans="1:32" ht="15.75" thickBot="1" x14ac:dyDescent="0.3">
      <c r="A18" s="210">
        <f t="shared" si="0"/>
        <v>1980</v>
      </c>
      <c r="B18" s="211" t="str">
        <f t="shared" si="1"/>
        <v>3</v>
      </c>
      <c r="C18" s="233">
        <f t="shared" si="19"/>
        <v>19803</v>
      </c>
      <c r="D18" s="192">
        <v>29465</v>
      </c>
      <c r="E18" s="514">
        <v>13.9</v>
      </c>
      <c r="F18" s="515">
        <v>16.5</v>
      </c>
      <c r="G18" s="515">
        <v>32</v>
      </c>
      <c r="H18" s="515">
        <v>52.6</v>
      </c>
      <c r="I18" s="515">
        <v>15.6</v>
      </c>
      <c r="J18" s="515">
        <v>67.3</v>
      </c>
      <c r="K18" s="515">
        <f t="shared" si="2"/>
        <v>99.3</v>
      </c>
      <c r="L18" s="183">
        <f t="shared" si="3"/>
        <v>0.32225579053373615</v>
      </c>
      <c r="M18" s="204"/>
      <c r="N18" s="237">
        <f>YEAR(LARGE(D:D, 4))</f>
        <v>2025</v>
      </c>
      <c r="O18" s="522">
        <f t="shared" si="5"/>
        <v>414.4</v>
      </c>
      <c r="P18" s="522">
        <f t="shared" si="6"/>
        <v>471.70000000000005</v>
      </c>
      <c r="Q18" s="522">
        <f t="shared" si="7"/>
        <v>886.3</v>
      </c>
      <c r="R18" s="522">
        <f t="shared" si="8"/>
        <v>493.5</v>
      </c>
      <c r="S18" s="522">
        <f t="shared" si="9"/>
        <v>199.8</v>
      </c>
      <c r="T18" s="522">
        <f t="shared" si="10"/>
        <v>693.3</v>
      </c>
      <c r="U18" s="238">
        <f t="shared" si="11"/>
        <v>0.56109141554824005</v>
      </c>
      <c r="V18" s="106"/>
      <c r="W18" s="155" t="str">
        <f>IF(MONTH(LARGE(D:D,4))&gt;=7, YEAR(LARGE(D:D,4)) &amp; "-" &amp; RIGHT(YEAR(LARGE(D:D,4))+1, 2),
                                                               YEAR(LARGE(D:D,4))-1 &amp; "-" &amp; RIGHT(YEAR(LARGE(D:D,4)), 2)
)</f>
        <v>2024-25</v>
      </c>
      <c r="X18" s="525">
        <f t="shared" si="13"/>
        <v>456.19999999999993</v>
      </c>
      <c r="Y18" s="525">
        <f t="shared" si="14"/>
        <v>390.1</v>
      </c>
      <c r="Z18" s="525">
        <f t="shared" si="15"/>
        <v>846.3</v>
      </c>
      <c r="AA18" s="525">
        <f t="shared" si="16"/>
        <v>291.5</v>
      </c>
      <c r="AB18" s="525">
        <f t="shared" si="17"/>
        <v>219.70000000000002</v>
      </c>
      <c r="AC18" s="525">
        <f t="shared" si="18"/>
        <v>511.20000000000005</v>
      </c>
      <c r="AD18" s="239">
        <f t="shared" si="20"/>
        <v>0.62342541436464083</v>
      </c>
      <c r="AF18" s="561"/>
    </row>
    <row r="19" spans="1:32" ht="15" x14ac:dyDescent="0.25">
      <c r="A19" s="210">
        <f t="shared" si="0"/>
        <v>1980</v>
      </c>
      <c r="B19" s="211" t="str">
        <f t="shared" si="1"/>
        <v>4</v>
      </c>
      <c r="C19" s="233">
        <f t="shared" si="19"/>
        <v>19804</v>
      </c>
      <c r="D19" s="192">
        <v>29556</v>
      </c>
      <c r="E19" s="512">
        <v>14.1</v>
      </c>
      <c r="F19" s="513">
        <v>21.2</v>
      </c>
      <c r="G19" s="513">
        <v>35.1</v>
      </c>
      <c r="H19" s="513">
        <v>40.4</v>
      </c>
      <c r="I19" s="513">
        <v>12.5</v>
      </c>
      <c r="J19" s="513">
        <v>53.4</v>
      </c>
      <c r="K19" s="513">
        <f t="shared" si="2"/>
        <v>88.5</v>
      </c>
      <c r="L19" s="18">
        <f t="shared" si="3"/>
        <v>0.39661016949152544</v>
      </c>
      <c r="M19" s="204"/>
      <c r="S19" s="207"/>
    </row>
    <row r="20" spans="1:32" ht="15" x14ac:dyDescent="0.25">
      <c r="A20" s="210">
        <f t="shared" si="0"/>
        <v>1981</v>
      </c>
      <c r="B20" s="211" t="str">
        <f t="shared" si="1"/>
        <v>1</v>
      </c>
      <c r="C20" s="233">
        <f t="shared" si="19"/>
        <v>19811</v>
      </c>
      <c r="D20" s="192">
        <v>29646</v>
      </c>
      <c r="E20" s="514">
        <v>19.899999999999999</v>
      </c>
      <c r="F20" s="515">
        <v>26.1</v>
      </c>
      <c r="G20" s="515">
        <v>46.6</v>
      </c>
      <c r="H20" s="515">
        <v>23</v>
      </c>
      <c r="I20" s="515">
        <v>17.399999999999999</v>
      </c>
      <c r="J20" s="515">
        <v>39.1</v>
      </c>
      <c r="K20" s="515">
        <f t="shared" si="2"/>
        <v>85.7</v>
      </c>
      <c r="L20" s="183">
        <f t="shared" si="3"/>
        <v>0.54375729288214703</v>
      </c>
      <c r="V20" s="207"/>
    </row>
    <row r="21" spans="1:32" ht="15" x14ac:dyDescent="0.25">
      <c r="A21" s="210">
        <f t="shared" si="0"/>
        <v>1981</v>
      </c>
      <c r="B21" s="211" t="str">
        <f t="shared" si="1"/>
        <v>2</v>
      </c>
      <c r="C21" s="233">
        <f t="shared" si="19"/>
        <v>19812</v>
      </c>
      <c r="D21" s="192">
        <v>29738</v>
      </c>
      <c r="E21" s="512">
        <v>30.6</v>
      </c>
      <c r="F21" s="513">
        <v>32.6</v>
      </c>
      <c r="G21" s="513">
        <v>58.8</v>
      </c>
      <c r="H21" s="513">
        <v>24</v>
      </c>
      <c r="I21" s="513">
        <v>14.6</v>
      </c>
      <c r="J21" s="513">
        <v>38.9</v>
      </c>
      <c r="K21" s="513">
        <f t="shared" si="2"/>
        <v>97.699999999999989</v>
      </c>
      <c r="L21" s="18">
        <f t="shared" si="3"/>
        <v>0.60184237461617196</v>
      </c>
      <c r="V21" s="207"/>
    </row>
    <row r="22" spans="1:32" ht="15" x14ac:dyDescent="0.25">
      <c r="A22" s="210">
        <f t="shared" si="0"/>
        <v>1981</v>
      </c>
      <c r="B22" s="211" t="str">
        <f t="shared" si="1"/>
        <v>3</v>
      </c>
      <c r="C22" s="233">
        <f t="shared" si="19"/>
        <v>19813</v>
      </c>
      <c r="D22" s="192">
        <v>29830</v>
      </c>
      <c r="E22" s="514">
        <v>21.4</v>
      </c>
      <c r="F22" s="515">
        <v>40.6</v>
      </c>
      <c r="G22" s="515">
        <v>66.099999999999994</v>
      </c>
      <c r="H22" s="515">
        <v>34.200000000000003</v>
      </c>
      <c r="I22" s="515">
        <v>17.7</v>
      </c>
      <c r="J22" s="515">
        <v>50.9</v>
      </c>
      <c r="K22" s="515">
        <f t="shared" si="2"/>
        <v>117</v>
      </c>
      <c r="L22" s="183">
        <f t="shared" si="3"/>
        <v>0.56495726495726495</v>
      </c>
      <c r="V22" s="207"/>
    </row>
    <row r="23" spans="1:32" ht="15" x14ac:dyDescent="0.25">
      <c r="A23" s="210">
        <f t="shared" si="0"/>
        <v>1981</v>
      </c>
      <c r="B23" s="211" t="str">
        <f t="shared" si="1"/>
        <v>4</v>
      </c>
      <c r="C23" s="233">
        <f t="shared" si="19"/>
        <v>19814</v>
      </c>
      <c r="D23" s="192">
        <v>29921</v>
      </c>
      <c r="E23" s="512">
        <v>42.5</v>
      </c>
      <c r="F23" s="513">
        <v>46.5</v>
      </c>
      <c r="G23" s="513">
        <v>88.3</v>
      </c>
      <c r="H23" s="513">
        <v>70.8</v>
      </c>
      <c r="I23" s="513">
        <v>26.8</v>
      </c>
      <c r="J23" s="513">
        <v>99.8</v>
      </c>
      <c r="K23" s="513">
        <f t="shared" si="2"/>
        <v>188.1</v>
      </c>
      <c r="L23" s="18">
        <f t="shared" si="3"/>
        <v>0.46943115364167998</v>
      </c>
      <c r="V23" s="207"/>
    </row>
    <row r="24" spans="1:32" ht="15" x14ac:dyDescent="0.25">
      <c r="A24" s="210">
        <f t="shared" si="0"/>
        <v>1982</v>
      </c>
      <c r="B24" s="211" t="str">
        <f t="shared" si="1"/>
        <v>1</v>
      </c>
      <c r="C24" s="233">
        <f t="shared" si="19"/>
        <v>19821</v>
      </c>
      <c r="D24" s="192">
        <v>30011</v>
      </c>
      <c r="E24" s="514">
        <v>61</v>
      </c>
      <c r="F24" s="515">
        <v>61.2</v>
      </c>
      <c r="G24" s="515">
        <v>124</v>
      </c>
      <c r="H24" s="515">
        <v>111.9</v>
      </c>
      <c r="I24" s="515">
        <v>22.9</v>
      </c>
      <c r="J24" s="515">
        <v>135.30000000000001</v>
      </c>
      <c r="K24" s="515">
        <f t="shared" si="2"/>
        <v>259.3</v>
      </c>
      <c r="L24" s="183">
        <f t="shared" si="3"/>
        <v>0.47821056691091396</v>
      </c>
      <c r="V24" s="207"/>
    </row>
    <row r="25" spans="1:32" ht="15" x14ac:dyDescent="0.25">
      <c r="A25" s="210">
        <f t="shared" si="0"/>
        <v>1982</v>
      </c>
      <c r="B25" s="211" t="str">
        <f t="shared" si="1"/>
        <v>2</v>
      </c>
      <c r="C25" s="233">
        <f t="shared" si="19"/>
        <v>19822</v>
      </c>
      <c r="D25" s="192">
        <v>30103</v>
      </c>
      <c r="E25" s="512">
        <v>59.7</v>
      </c>
      <c r="F25" s="513">
        <v>56.3</v>
      </c>
      <c r="G25" s="513">
        <v>108.8</v>
      </c>
      <c r="H25" s="513">
        <v>113.8</v>
      </c>
      <c r="I25" s="513">
        <v>23.5</v>
      </c>
      <c r="J25" s="513">
        <v>138.19999999999999</v>
      </c>
      <c r="K25" s="513">
        <f t="shared" si="2"/>
        <v>247</v>
      </c>
      <c r="L25" s="18">
        <f t="shared" si="3"/>
        <v>0.44048582995951419</v>
      </c>
      <c r="V25" s="207"/>
    </row>
    <row r="26" spans="1:32" ht="15" x14ac:dyDescent="0.25">
      <c r="A26" s="210">
        <f t="shared" si="0"/>
        <v>1982</v>
      </c>
      <c r="B26" s="211" t="str">
        <f t="shared" si="1"/>
        <v>3</v>
      </c>
      <c r="C26" s="233">
        <f t="shared" si="19"/>
        <v>19823</v>
      </c>
      <c r="D26" s="192">
        <v>30195</v>
      </c>
      <c r="E26" s="514">
        <v>63.4</v>
      </c>
      <c r="F26" s="515">
        <v>63.2</v>
      </c>
      <c r="G26" s="515">
        <v>133.19999999999999</v>
      </c>
      <c r="H26" s="515">
        <v>99.8</v>
      </c>
      <c r="I26" s="515">
        <v>26.8</v>
      </c>
      <c r="J26" s="515">
        <v>122.6</v>
      </c>
      <c r="K26" s="515">
        <f t="shared" si="2"/>
        <v>255.79999999999998</v>
      </c>
      <c r="L26" s="183">
        <f t="shared" si="3"/>
        <v>0.52071931196247068</v>
      </c>
      <c r="V26" s="207"/>
    </row>
    <row r="27" spans="1:32" ht="15" x14ac:dyDescent="0.25">
      <c r="A27" s="210">
        <f t="shared" si="0"/>
        <v>1982</v>
      </c>
      <c r="B27" s="211" t="str">
        <f t="shared" si="1"/>
        <v>4</v>
      </c>
      <c r="C27" s="233">
        <f t="shared" si="19"/>
        <v>19824</v>
      </c>
      <c r="D27" s="192">
        <v>30286</v>
      </c>
      <c r="E27" s="512">
        <v>44.3</v>
      </c>
      <c r="F27" s="513">
        <v>43.3</v>
      </c>
      <c r="G27" s="513">
        <v>87.2</v>
      </c>
      <c r="H27" s="513">
        <v>144.4</v>
      </c>
      <c r="I27" s="513">
        <v>15.5</v>
      </c>
      <c r="J27" s="513">
        <v>164.1</v>
      </c>
      <c r="K27" s="513">
        <f t="shared" si="2"/>
        <v>251.3</v>
      </c>
      <c r="L27" s="18">
        <f t="shared" si="3"/>
        <v>0.34699562276163948</v>
      </c>
      <c r="V27" s="207"/>
    </row>
    <row r="28" spans="1:32" ht="15" x14ac:dyDescent="0.25">
      <c r="A28" s="210">
        <f t="shared" si="0"/>
        <v>1983</v>
      </c>
      <c r="B28" s="211" t="str">
        <f t="shared" si="1"/>
        <v>1</v>
      </c>
      <c r="C28" s="233">
        <f t="shared" si="19"/>
        <v>19831</v>
      </c>
      <c r="D28" s="192">
        <v>30376</v>
      </c>
      <c r="E28" s="514">
        <v>33</v>
      </c>
      <c r="F28" s="515">
        <v>31.2</v>
      </c>
      <c r="G28" s="515">
        <v>64.400000000000006</v>
      </c>
      <c r="H28" s="515">
        <v>144.6</v>
      </c>
      <c r="I28" s="515">
        <v>14.5</v>
      </c>
      <c r="J28" s="515">
        <v>158.80000000000001</v>
      </c>
      <c r="K28" s="515">
        <f t="shared" si="2"/>
        <v>223.20000000000002</v>
      </c>
      <c r="L28" s="183">
        <f t="shared" si="3"/>
        <v>0.28853046594982079</v>
      </c>
      <c r="V28" s="207"/>
    </row>
    <row r="29" spans="1:32" ht="15" x14ac:dyDescent="0.25">
      <c r="A29" s="210">
        <f t="shared" si="0"/>
        <v>1983</v>
      </c>
      <c r="B29" s="211" t="str">
        <f t="shared" si="1"/>
        <v>2</v>
      </c>
      <c r="C29" s="233">
        <f t="shared" si="19"/>
        <v>19832</v>
      </c>
      <c r="D29" s="192">
        <v>30468</v>
      </c>
      <c r="E29" s="512">
        <v>28.9</v>
      </c>
      <c r="F29" s="513">
        <v>24.6</v>
      </c>
      <c r="G29" s="513">
        <v>51.2</v>
      </c>
      <c r="H29" s="513">
        <v>121.9</v>
      </c>
      <c r="I29" s="513">
        <v>15.1</v>
      </c>
      <c r="J29" s="513">
        <v>136.6</v>
      </c>
      <c r="K29" s="513">
        <f t="shared" si="2"/>
        <v>187.8</v>
      </c>
      <c r="L29" s="18">
        <f t="shared" si="3"/>
        <v>0.27263045793397234</v>
      </c>
    </row>
    <row r="30" spans="1:32" ht="15" x14ac:dyDescent="0.25">
      <c r="A30" s="210">
        <f t="shared" si="0"/>
        <v>1983</v>
      </c>
      <c r="B30" s="211" t="str">
        <f t="shared" si="1"/>
        <v>3</v>
      </c>
      <c r="C30" s="233">
        <f t="shared" si="19"/>
        <v>19833</v>
      </c>
      <c r="D30" s="192">
        <v>30560</v>
      </c>
      <c r="E30" s="514">
        <v>26.4</v>
      </c>
      <c r="F30" s="515">
        <v>27.8</v>
      </c>
      <c r="G30" s="515">
        <v>56.5</v>
      </c>
      <c r="H30" s="515">
        <v>143.69999999999999</v>
      </c>
      <c r="I30" s="515">
        <v>16.899999999999999</v>
      </c>
      <c r="J30" s="515">
        <v>161.6</v>
      </c>
      <c r="K30" s="515">
        <f t="shared" si="2"/>
        <v>218.1</v>
      </c>
      <c r="L30" s="183">
        <f t="shared" si="3"/>
        <v>0.25905547913801008</v>
      </c>
    </row>
    <row r="31" spans="1:32" ht="15" x14ac:dyDescent="0.25">
      <c r="A31" s="210">
        <f t="shared" si="0"/>
        <v>1983</v>
      </c>
      <c r="B31" s="211" t="str">
        <f t="shared" si="1"/>
        <v>4</v>
      </c>
      <c r="C31" s="233">
        <f t="shared" si="19"/>
        <v>19834</v>
      </c>
      <c r="D31" s="192">
        <v>30651</v>
      </c>
      <c r="E31" s="512">
        <v>39.4</v>
      </c>
      <c r="F31" s="513">
        <v>30.4</v>
      </c>
      <c r="G31" s="513">
        <v>69.900000000000006</v>
      </c>
      <c r="H31" s="513">
        <v>117.1</v>
      </c>
      <c r="I31" s="513">
        <v>15.8</v>
      </c>
      <c r="J31" s="513">
        <v>131.9</v>
      </c>
      <c r="K31" s="513">
        <f t="shared" si="2"/>
        <v>201.8</v>
      </c>
      <c r="L31" s="18">
        <f t="shared" si="3"/>
        <v>0.34638255698711595</v>
      </c>
    </row>
    <row r="32" spans="1:32" ht="15" x14ac:dyDescent="0.25">
      <c r="A32" s="210">
        <f t="shared" si="0"/>
        <v>1984</v>
      </c>
      <c r="B32" s="211" t="str">
        <f t="shared" si="1"/>
        <v>1</v>
      </c>
      <c r="C32" s="233">
        <f t="shared" si="19"/>
        <v>19841</v>
      </c>
      <c r="D32" s="192">
        <v>30742</v>
      </c>
      <c r="E32" s="514">
        <v>33.700000000000003</v>
      </c>
      <c r="F32" s="515">
        <v>38.299999999999997</v>
      </c>
      <c r="G32" s="515">
        <v>71.599999999999994</v>
      </c>
      <c r="H32" s="515">
        <v>96.7</v>
      </c>
      <c r="I32" s="515">
        <v>16.100000000000001</v>
      </c>
      <c r="J32" s="515">
        <v>111.3</v>
      </c>
      <c r="K32" s="515">
        <f t="shared" si="2"/>
        <v>182.89999999999998</v>
      </c>
      <c r="L32" s="183">
        <f t="shared" si="3"/>
        <v>0.39147074904319301</v>
      </c>
    </row>
    <row r="33" spans="1:12" ht="15" x14ac:dyDescent="0.25">
      <c r="A33" s="210">
        <f t="shared" si="0"/>
        <v>1984</v>
      </c>
      <c r="B33" s="211" t="str">
        <f t="shared" si="1"/>
        <v>2</v>
      </c>
      <c r="C33" s="233">
        <f t="shared" si="19"/>
        <v>19842</v>
      </c>
      <c r="D33" s="192">
        <v>30834</v>
      </c>
      <c r="E33" s="512">
        <v>39.200000000000003</v>
      </c>
      <c r="F33" s="513">
        <v>47.6</v>
      </c>
      <c r="G33" s="513">
        <v>85.5</v>
      </c>
      <c r="H33" s="513">
        <v>114.4</v>
      </c>
      <c r="I33" s="513">
        <v>18.3</v>
      </c>
      <c r="J33" s="513">
        <v>134.4</v>
      </c>
      <c r="K33" s="513">
        <f t="shared" si="2"/>
        <v>219.9</v>
      </c>
      <c r="L33" s="18">
        <f t="shared" si="3"/>
        <v>0.38881309686221011</v>
      </c>
    </row>
    <row r="34" spans="1:12" ht="15" x14ac:dyDescent="0.25">
      <c r="A34" s="210">
        <f t="shared" si="0"/>
        <v>1984</v>
      </c>
      <c r="B34" s="211" t="str">
        <f t="shared" si="1"/>
        <v>3</v>
      </c>
      <c r="C34" s="233">
        <f t="shared" si="19"/>
        <v>19843</v>
      </c>
      <c r="D34" s="192">
        <v>30926</v>
      </c>
      <c r="E34" s="514">
        <v>57.1</v>
      </c>
      <c r="F34" s="515">
        <v>43.4</v>
      </c>
      <c r="G34" s="515">
        <v>103.1</v>
      </c>
      <c r="H34" s="515">
        <v>84.4</v>
      </c>
      <c r="I34" s="515">
        <v>14</v>
      </c>
      <c r="J34" s="515">
        <v>101</v>
      </c>
      <c r="K34" s="515">
        <f t="shared" si="2"/>
        <v>204.1</v>
      </c>
      <c r="L34" s="183">
        <f t="shared" si="3"/>
        <v>0.50514453699167072</v>
      </c>
    </row>
    <row r="35" spans="1:12" ht="15" x14ac:dyDescent="0.25">
      <c r="A35" s="210">
        <f t="shared" si="0"/>
        <v>1984</v>
      </c>
      <c r="B35" s="211" t="str">
        <f t="shared" si="1"/>
        <v>4</v>
      </c>
      <c r="C35" s="233">
        <f t="shared" si="19"/>
        <v>19844</v>
      </c>
      <c r="D35" s="192">
        <v>31017</v>
      </c>
      <c r="E35" s="512">
        <v>47.8</v>
      </c>
      <c r="F35" s="513">
        <v>46.5</v>
      </c>
      <c r="G35" s="513">
        <v>93.3</v>
      </c>
      <c r="H35" s="513">
        <v>60.5</v>
      </c>
      <c r="I35" s="513">
        <v>19.3</v>
      </c>
      <c r="J35" s="513">
        <v>76.900000000000006</v>
      </c>
      <c r="K35" s="513">
        <f t="shared" si="2"/>
        <v>170.2</v>
      </c>
      <c r="L35" s="18">
        <f t="shared" si="3"/>
        <v>0.54817861339600471</v>
      </c>
    </row>
    <row r="36" spans="1:12" ht="15" x14ac:dyDescent="0.25">
      <c r="A36" s="210">
        <f t="shared" si="0"/>
        <v>1985</v>
      </c>
      <c r="B36" s="211" t="str">
        <f t="shared" si="1"/>
        <v>1</v>
      </c>
      <c r="C36" s="233">
        <f t="shared" si="19"/>
        <v>19851</v>
      </c>
      <c r="D36" s="192">
        <v>31107</v>
      </c>
      <c r="E36" s="514">
        <v>52.4</v>
      </c>
      <c r="F36" s="515">
        <v>49.6</v>
      </c>
      <c r="G36" s="515">
        <v>100.7</v>
      </c>
      <c r="H36" s="515">
        <v>61.8</v>
      </c>
      <c r="I36" s="515">
        <v>25.4</v>
      </c>
      <c r="J36" s="515">
        <v>89.2</v>
      </c>
      <c r="K36" s="515">
        <f t="shared" si="2"/>
        <v>189.9</v>
      </c>
      <c r="L36" s="183">
        <f t="shared" si="3"/>
        <v>0.53027909426013686</v>
      </c>
    </row>
    <row r="37" spans="1:12" ht="15" x14ac:dyDescent="0.25">
      <c r="A37" s="210">
        <f t="shared" si="0"/>
        <v>1985</v>
      </c>
      <c r="B37" s="211" t="str">
        <f t="shared" si="1"/>
        <v>2</v>
      </c>
      <c r="C37" s="233">
        <f t="shared" si="19"/>
        <v>19852</v>
      </c>
      <c r="D37" s="192">
        <v>31199</v>
      </c>
      <c r="E37" s="512">
        <v>66.7</v>
      </c>
      <c r="F37" s="513">
        <v>55.2</v>
      </c>
      <c r="G37" s="513">
        <v>121.7</v>
      </c>
      <c r="H37" s="513">
        <v>77.400000000000006</v>
      </c>
      <c r="I37" s="513">
        <v>28.5</v>
      </c>
      <c r="J37" s="513">
        <v>106.1</v>
      </c>
      <c r="K37" s="513">
        <f t="shared" si="2"/>
        <v>227.8</v>
      </c>
      <c r="L37" s="18">
        <f t="shared" si="3"/>
        <v>0.53424056189640035</v>
      </c>
    </row>
    <row r="38" spans="1:12" ht="15" x14ac:dyDescent="0.25">
      <c r="A38" s="210">
        <f t="shared" si="0"/>
        <v>1985</v>
      </c>
      <c r="B38" s="211" t="str">
        <f t="shared" si="1"/>
        <v>3</v>
      </c>
      <c r="C38" s="233">
        <f t="shared" si="19"/>
        <v>19853</v>
      </c>
      <c r="D38" s="192">
        <v>31291</v>
      </c>
      <c r="E38" s="514">
        <v>54</v>
      </c>
      <c r="F38" s="515">
        <v>61.6</v>
      </c>
      <c r="G38" s="515">
        <v>118.3</v>
      </c>
      <c r="H38" s="515">
        <v>90.2</v>
      </c>
      <c r="I38" s="515">
        <v>25.6</v>
      </c>
      <c r="J38" s="515">
        <v>119.4</v>
      </c>
      <c r="K38" s="515">
        <f t="shared" si="2"/>
        <v>237.7</v>
      </c>
      <c r="L38" s="183">
        <f t="shared" si="3"/>
        <v>0.49768615902397983</v>
      </c>
    </row>
    <row r="39" spans="1:12" ht="15" x14ac:dyDescent="0.25">
      <c r="A39" s="210">
        <f t="shared" si="0"/>
        <v>1985</v>
      </c>
      <c r="B39" s="211" t="str">
        <f t="shared" si="1"/>
        <v>4</v>
      </c>
      <c r="C39" s="233">
        <f t="shared" si="19"/>
        <v>19854</v>
      </c>
      <c r="D39" s="192">
        <v>31382</v>
      </c>
      <c r="E39" s="512">
        <v>33.299999999999997</v>
      </c>
      <c r="F39" s="513">
        <v>60.5</v>
      </c>
      <c r="G39" s="513">
        <v>90.9</v>
      </c>
      <c r="H39" s="513">
        <v>53.1</v>
      </c>
      <c r="I39" s="513">
        <v>23.5</v>
      </c>
      <c r="J39" s="513">
        <v>73.3</v>
      </c>
      <c r="K39" s="513">
        <f t="shared" si="2"/>
        <v>164.2</v>
      </c>
      <c r="L39" s="18">
        <f t="shared" si="3"/>
        <v>0.55359317904993921</v>
      </c>
    </row>
    <row r="40" spans="1:12" ht="15" x14ac:dyDescent="0.25">
      <c r="A40" s="210">
        <f t="shared" si="0"/>
        <v>1986</v>
      </c>
      <c r="B40" s="211" t="str">
        <f t="shared" si="1"/>
        <v>1</v>
      </c>
      <c r="C40" s="233">
        <f t="shared" si="19"/>
        <v>19861</v>
      </c>
      <c r="D40" s="192">
        <v>31472</v>
      </c>
      <c r="E40" s="514">
        <v>42.2</v>
      </c>
      <c r="F40" s="515">
        <v>53.8</v>
      </c>
      <c r="G40" s="515">
        <v>95</v>
      </c>
      <c r="H40" s="515">
        <v>96.6</v>
      </c>
      <c r="I40" s="515">
        <v>49.4</v>
      </c>
      <c r="J40" s="515">
        <v>153.69999999999999</v>
      </c>
      <c r="K40" s="515">
        <f t="shared" si="2"/>
        <v>248.7</v>
      </c>
      <c r="L40" s="183">
        <f t="shared" si="3"/>
        <v>0.38198632891033374</v>
      </c>
    </row>
    <row r="41" spans="1:12" ht="15" x14ac:dyDescent="0.25">
      <c r="A41" s="210">
        <f t="shared" si="0"/>
        <v>1986</v>
      </c>
      <c r="B41" s="211" t="str">
        <f t="shared" si="1"/>
        <v>2</v>
      </c>
      <c r="C41" s="233">
        <f t="shared" si="19"/>
        <v>19862</v>
      </c>
      <c r="D41" s="192">
        <v>31564</v>
      </c>
      <c r="E41" s="512">
        <v>21.4</v>
      </c>
      <c r="F41" s="513">
        <v>41.2</v>
      </c>
      <c r="G41" s="513">
        <v>64.099999999999994</v>
      </c>
      <c r="H41" s="513">
        <v>44.2</v>
      </c>
      <c r="I41" s="513">
        <v>23</v>
      </c>
      <c r="J41" s="513">
        <v>66.599999999999994</v>
      </c>
      <c r="K41" s="513">
        <f t="shared" si="2"/>
        <v>130.69999999999999</v>
      </c>
      <c r="L41" s="18">
        <f t="shared" si="3"/>
        <v>0.49043611323641928</v>
      </c>
    </row>
    <row r="42" spans="1:12" ht="15" x14ac:dyDescent="0.25">
      <c r="A42" s="210">
        <f t="shared" si="0"/>
        <v>1986</v>
      </c>
      <c r="B42" s="211" t="str">
        <f t="shared" si="1"/>
        <v>3</v>
      </c>
      <c r="C42" s="233">
        <f t="shared" si="19"/>
        <v>19863</v>
      </c>
      <c r="D42" s="192">
        <v>31656</v>
      </c>
      <c r="E42" s="514">
        <v>11.5</v>
      </c>
      <c r="F42" s="515">
        <v>25.1</v>
      </c>
      <c r="G42" s="515">
        <v>37.4</v>
      </c>
      <c r="H42" s="515">
        <v>26.3</v>
      </c>
      <c r="I42" s="515">
        <v>17.100000000000001</v>
      </c>
      <c r="J42" s="515">
        <v>42.9</v>
      </c>
      <c r="K42" s="515">
        <f t="shared" si="2"/>
        <v>80.3</v>
      </c>
      <c r="L42" s="183">
        <f t="shared" si="3"/>
        <v>0.46575342465753422</v>
      </c>
    </row>
    <row r="43" spans="1:12" ht="15" x14ac:dyDescent="0.25">
      <c r="A43" s="210">
        <f t="shared" si="0"/>
        <v>1986</v>
      </c>
      <c r="B43" s="211" t="str">
        <f t="shared" si="1"/>
        <v>4</v>
      </c>
      <c r="C43" s="233">
        <f t="shared" si="19"/>
        <v>19864</v>
      </c>
      <c r="D43" s="192">
        <v>31747</v>
      </c>
      <c r="E43" s="512">
        <v>12.3</v>
      </c>
      <c r="F43" s="513">
        <v>25.4</v>
      </c>
      <c r="G43" s="513">
        <v>36.4</v>
      </c>
      <c r="H43" s="513">
        <v>16.7</v>
      </c>
      <c r="I43" s="513">
        <v>14.5</v>
      </c>
      <c r="J43" s="513">
        <v>30.5</v>
      </c>
      <c r="K43" s="513">
        <f t="shared" si="2"/>
        <v>66.900000000000006</v>
      </c>
      <c r="L43" s="18">
        <f t="shared" si="3"/>
        <v>0.54409566517189834</v>
      </c>
    </row>
    <row r="44" spans="1:12" ht="15" x14ac:dyDescent="0.25">
      <c r="A44" s="210">
        <f t="shared" si="0"/>
        <v>1987</v>
      </c>
      <c r="B44" s="211" t="str">
        <f t="shared" si="1"/>
        <v>1</v>
      </c>
      <c r="C44" s="233">
        <f t="shared" si="19"/>
        <v>19871</v>
      </c>
      <c r="D44" s="192">
        <v>31837</v>
      </c>
      <c r="E44" s="514">
        <v>18.3</v>
      </c>
      <c r="F44" s="515">
        <v>21.4</v>
      </c>
      <c r="G44" s="515">
        <v>39.299999999999997</v>
      </c>
      <c r="H44" s="515">
        <v>15.3</v>
      </c>
      <c r="I44" s="515">
        <v>11.9</v>
      </c>
      <c r="J44" s="515">
        <v>28.9</v>
      </c>
      <c r="K44" s="515">
        <f t="shared" si="2"/>
        <v>68.199999999999989</v>
      </c>
      <c r="L44" s="183">
        <f t="shared" si="3"/>
        <v>0.57624633431085048</v>
      </c>
    </row>
    <row r="45" spans="1:12" ht="15" x14ac:dyDescent="0.25">
      <c r="A45" s="210">
        <f t="shared" si="0"/>
        <v>1987</v>
      </c>
      <c r="B45" s="211" t="str">
        <f t="shared" si="1"/>
        <v>2</v>
      </c>
      <c r="C45" s="233">
        <f t="shared" si="19"/>
        <v>19872</v>
      </c>
      <c r="D45" s="192">
        <v>31929</v>
      </c>
      <c r="E45" s="512">
        <v>29.2</v>
      </c>
      <c r="F45" s="513">
        <v>27.9</v>
      </c>
      <c r="G45" s="513">
        <v>58</v>
      </c>
      <c r="H45" s="513">
        <v>19.399999999999999</v>
      </c>
      <c r="I45" s="513">
        <v>13.1</v>
      </c>
      <c r="J45" s="513">
        <v>32.1</v>
      </c>
      <c r="K45" s="513">
        <f t="shared" si="2"/>
        <v>90.1</v>
      </c>
      <c r="L45" s="18">
        <f t="shared" si="3"/>
        <v>0.64372918978912319</v>
      </c>
    </row>
    <row r="46" spans="1:12" ht="15" x14ac:dyDescent="0.25">
      <c r="A46" s="210">
        <f t="shared" si="0"/>
        <v>1987</v>
      </c>
      <c r="B46" s="211" t="str">
        <f t="shared" si="1"/>
        <v>3</v>
      </c>
      <c r="C46" s="233">
        <f t="shared" si="19"/>
        <v>19873</v>
      </c>
      <c r="D46" s="192">
        <v>32021</v>
      </c>
      <c r="E46" s="514">
        <v>33.1</v>
      </c>
      <c r="F46" s="515">
        <v>30.4</v>
      </c>
      <c r="G46" s="515">
        <v>63.8</v>
      </c>
      <c r="H46" s="515">
        <v>28</v>
      </c>
      <c r="I46" s="515">
        <v>16.8</v>
      </c>
      <c r="J46" s="515">
        <v>43.8</v>
      </c>
      <c r="K46" s="515">
        <f t="shared" si="2"/>
        <v>107.6</v>
      </c>
      <c r="L46" s="183">
        <f t="shared" si="3"/>
        <v>0.59293680297397766</v>
      </c>
    </row>
    <row r="47" spans="1:12" ht="15" x14ac:dyDescent="0.25">
      <c r="A47" s="210">
        <f t="shared" si="0"/>
        <v>1987</v>
      </c>
      <c r="B47" s="211" t="str">
        <f t="shared" si="1"/>
        <v>4</v>
      </c>
      <c r="C47" s="233">
        <f t="shared" si="19"/>
        <v>19874</v>
      </c>
      <c r="D47" s="192">
        <v>32112</v>
      </c>
      <c r="E47" s="512">
        <v>43.8</v>
      </c>
      <c r="F47" s="513">
        <v>32.700000000000003</v>
      </c>
      <c r="G47" s="513">
        <v>75.7</v>
      </c>
      <c r="H47" s="513">
        <v>34.799999999999997</v>
      </c>
      <c r="I47" s="513">
        <v>19.7</v>
      </c>
      <c r="J47" s="513">
        <v>54.1</v>
      </c>
      <c r="K47" s="513">
        <f t="shared" si="2"/>
        <v>129.80000000000001</v>
      </c>
      <c r="L47" s="18">
        <f t="shared" si="3"/>
        <v>0.58320493066255774</v>
      </c>
    </row>
    <row r="48" spans="1:12" ht="15" x14ac:dyDescent="0.25">
      <c r="A48" s="210">
        <f t="shared" si="0"/>
        <v>1988</v>
      </c>
      <c r="B48" s="211" t="str">
        <f t="shared" si="1"/>
        <v>1</v>
      </c>
      <c r="C48" s="233">
        <f t="shared" si="19"/>
        <v>19881</v>
      </c>
      <c r="D48" s="192">
        <v>32203</v>
      </c>
      <c r="E48" s="514">
        <v>40</v>
      </c>
      <c r="F48" s="515">
        <v>30.5</v>
      </c>
      <c r="G48" s="515">
        <v>70.2</v>
      </c>
      <c r="H48" s="515">
        <v>21.5</v>
      </c>
      <c r="I48" s="515">
        <v>23.6</v>
      </c>
      <c r="J48" s="515">
        <v>48.5</v>
      </c>
      <c r="K48" s="515">
        <f t="shared" si="2"/>
        <v>118.7</v>
      </c>
      <c r="L48" s="183">
        <f t="shared" si="3"/>
        <v>0.59140690817186181</v>
      </c>
    </row>
    <row r="49" spans="1:12" ht="15" x14ac:dyDescent="0.25">
      <c r="A49" s="210">
        <f t="shared" si="0"/>
        <v>1988</v>
      </c>
      <c r="B49" s="211" t="str">
        <f t="shared" si="1"/>
        <v>2</v>
      </c>
      <c r="C49" s="233">
        <f t="shared" si="19"/>
        <v>19882</v>
      </c>
      <c r="D49" s="192">
        <v>32295</v>
      </c>
      <c r="E49" s="512">
        <v>37.4</v>
      </c>
      <c r="F49" s="513">
        <v>23.8</v>
      </c>
      <c r="G49" s="513">
        <v>61.6</v>
      </c>
      <c r="H49" s="513">
        <v>50</v>
      </c>
      <c r="I49" s="513">
        <v>25.5</v>
      </c>
      <c r="J49" s="513">
        <v>75.5</v>
      </c>
      <c r="K49" s="513">
        <f t="shared" si="2"/>
        <v>137.1</v>
      </c>
      <c r="L49" s="18">
        <f t="shared" si="3"/>
        <v>0.44930707512764406</v>
      </c>
    </row>
    <row r="50" spans="1:12" ht="15" x14ac:dyDescent="0.25">
      <c r="A50" s="210">
        <f t="shared" si="0"/>
        <v>1988</v>
      </c>
      <c r="B50" s="211" t="str">
        <f t="shared" si="1"/>
        <v>3</v>
      </c>
      <c r="C50" s="233">
        <f t="shared" si="19"/>
        <v>19883</v>
      </c>
      <c r="D50" s="192">
        <v>32387</v>
      </c>
      <c r="E50" s="514">
        <v>43.8</v>
      </c>
      <c r="F50" s="515">
        <v>23.9</v>
      </c>
      <c r="G50" s="515">
        <v>67.3</v>
      </c>
      <c r="H50" s="515">
        <v>59.3</v>
      </c>
      <c r="I50" s="515">
        <v>28.8</v>
      </c>
      <c r="J50" s="515">
        <v>85.9</v>
      </c>
      <c r="K50" s="515">
        <f t="shared" si="2"/>
        <v>153.19999999999999</v>
      </c>
      <c r="L50" s="183">
        <f t="shared" si="3"/>
        <v>0.43929503916449086</v>
      </c>
    </row>
    <row r="51" spans="1:12" ht="15" x14ac:dyDescent="0.25">
      <c r="A51" s="210">
        <f t="shared" si="0"/>
        <v>1988</v>
      </c>
      <c r="B51" s="211" t="str">
        <f t="shared" si="1"/>
        <v>4</v>
      </c>
      <c r="C51" s="233">
        <f t="shared" si="19"/>
        <v>19884</v>
      </c>
      <c r="D51" s="192">
        <v>32478</v>
      </c>
      <c r="E51" s="512">
        <v>39.4</v>
      </c>
      <c r="F51" s="513">
        <v>27.1</v>
      </c>
      <c r="G51" s="513">
        <v>66.2</v>
      </c>
      <c r="H51" s="513">
        <v>80.900000000000006</v>
      </c>
      <c r="I51" s="513">
        <v>27.9</v>
      </c>
      <c r="J51" s="513">
        <v>107.5</v>
      </c>
      <c r="K51" s="513">
        <f t="shared" si="2"/>
        <v>173.7</v>
      </c>
      <c r="L51" s="18">
        <f t="shared" si="3"/>
        <v>0.38111686816350032</v>
      </c>
    </row>
    <row r="52" spans="1:12" ht="15" x14ac:dyDescent="0.25">
      <c r="A52" s="210">
        <f t="shared" si="0"/>
        <v>1989</v>
      </c>
      <c r="B52" s="211" t="str">
        <f t="shared" si="1"/>
        <v>1</v>
      </c>
      <c r="C52" s="233">
        <f t="shared" si="19"/>
        <v>19891</v>
      </c>
      <c r="D52" s="192">
        <v>32568</v>
      </c>
      <c r="E52" s="514">
        <v>26.4</v>
      </c>
      <c r="F52" s="515">
        <v>19.8</v>
      </c>
      <c r="G52" s="515">
        <v>46.2</v>
      </c>
      <c r="H52" s="515">
        <v>73.900000000000006</v>
      </c>
      <c r="I52" s="515">
        <v>24.7</v>
      </c>
      <c r="J52" s="515">
        <v>105.5</v>
      </c>
      <c r="K52" s="515">
        <f t="shared" si="2"/>
        <v>151.69999999999999</v>
      </c>
      <c r="L52" s="183">
        <f t="shared" si="3"/>
        <v>0.30454845088991433</v>
      </c>
    </row>
    <row r="53" spans="1:12" ht="15" x14ac:dyDescent="0.25">
      <c r="A53" s="210">
        <f t="shared" si="0"/>
        <v>1989</v>
      </c>
      <c r="B53" s="211" t="str">
        <f t="shared" si="1"/>
        <v>2</v>
      </c>
      <c r="C53" s="233">
        <f t="shared" si="19"/>
        <v>19892</v>
      </c>
      <c r="D53" s="192">
        <v>32660</v>
      </c>
      <c r="E53" s="512">
        <v>23.3</v>
      </c>
      <c r="F53" s="513">
        <v>20.3</v>
      </c>
      <c r="G53" s="513">
        <v>44.7</v>
      </c>
      <c r="H53" s="513">
        <v>83.7</v>
      </c>
      <c r="I53" s="513">
        <v>22.6</v>
      </c>
      <c r="J53" s="513">
        <v>107.1</v>
      </c>
      <c r="K53" s="513">
        <f t="shared" si="2"/>
        <v>151.80000000000001</v>
      </c>
      <c r="L53" s="18">
        <f t="shared" si="3"/>
        <v>0.29446640316205536</v>
      </c>
    </row>
    <row r="54" spans="1:12" ht="15" x14ac:dyDescent="0.25">
      <c r="A54" s="210">
        <f t="shared" si="0"/>
        <v>1989</v>
      </c>
      <c r="B54" s="211" t="str">
        <f t="shared" si="1"/>
        <v>3</v>
      </c>
      <c r="C54" s="233">
        <f t="shared" si="19"/>
        <v>19893</v>
      </c>
      <c r="D54" s="192">
        <v>32752</v>
      </c>
      <c r="E54" s="514">
        <v>19.100000000000001</v>
      </c>
      <c r="F54" s="515">
        <v>18.3</v>
      </c>
      <c r="G54" s="515">
        <v>36.799999999999997</v>
      </c>
      <c r="H54" s="515">
        <v>75.900000000000006</v>
      </c>
      <c r="I54" s="515">
        <v>23</v>
      </c>
      <c r="J54" s="515">
        <v>97.2</v>
      </c>
      <c r="K54" s="515">
        <f t="shared" si="2"/>
        <v>134</v>
      </c>
      <c r="L54" s="183">
        <f t="shared" si="3"/>
        <v>0.2746268656716418</v>
      </c>
    </row>
    <row r="55" spans="1:12" ht="15" x14ac:dyDescent="0.25">
      <c r="A55" s="210">
        <f t="shared" si="0"/>
        <v>1989</v>
      </c>
      <c r="B55" s="211" t="str">
        <f t="shared" si="1"/>
        <v>4</v>
      </c>
      <c r="C55" s="233">
        <f t="shared" si="19"/>
        <v>19894</v>
      </c>
      <c r="D55" s="192">
        <v>32843</v>
      </c>
      <c r="E55" s="512">
        <v>17.600000000000001</v>
      </c>
      <c r="F55" s="513">
        <v>17</v>
      </c>
      <c r="G55" s="513">
        <v>34.4</v>
      </c>
      <c r="H55" s="513">
        <v>79.2</v>
      </c>
      <c r="I55" s="513">
        <v>20.6</v>
      </c>
      <c r="J55" s="513">
        <v>95.1</v>
      </c>
      <c r="K55" s="513">
        <f t="shared" si="2"/>
        <v>129.5</v>
      </c>
      <c r="L55" s="18">
        <f t="shared" si="3"/>
        <v>0.26563706563706563</v>
      </c>
    </row>
    <row r="56" spans="1:12" ht="15" x14ac:dyDescent="0.25">
      <c r="A56" s="210">
        <f t="shared" si="0"/>
        <v>1990</v>
      </c>
      <c r="B56" s="211" t="str">
        <f t="shared" si="1"/>
        <v>1</v>
      </c>
      <c r="C56" s="233">
        <f t="shared" si="19"/>
        <v>19901</v>
      </c>
      <c r="D56" s="192">
        <v>32933</v>
      </c>
      <c r="E56" s="514">
        <v>19.7</v>
      </c>
      <c r="F56" s="515">
        <v>20.6</v>
      </c>
      <c r="G56" s="515">
        <v>40</v>
      </c>
      <c r="H56" s="515">
        <v>114.8</v>
      </c>
      <c r="I56" s="515">
        <v>26.4</v>
      </c>
      <c r="J56" s="515">
        <v>153.5</v>
      </c>
      <c r="K56" s="515">
        <f t="shared" si="2"/>
        <v>193.5</v>
      </c>
      <c r="L56" s="183">
        <f t="shared" si="3"/>
        <v>0.20671834625322996</v>
      </c>
    </row>
    <row r="57" spans="1:12" ht="15" x14ac:dyDescent="0.25">
      <c r="A57" s="210">
        <f t="shared" si="0"/>
        <v>1990</v>
      </c>
      <c r="B57" s="211" t="str">
        <f t="shared" si="1"/>
        <v>2</v>
      </c>
      <c r="C57" s="233">
        <f t="shared" si="19"/>
        <v>19902</v>
      </c>
      <c r="D57" s="192">
        <v>33025</v>
      </c>
      <c r="E57" s="512">
        <v>18.100000000000001</v>
      </c>
      <c r="F57" s="513">
        <v>14.6</v>
      </c>
      <c r="G57" s="513">
        <v>33.4</v>
      </c>
      <c r="H57" s="513">
        <v>84.2</v>
      </c>
      <c r="I57" s="513">
        <v>20</v>
      </c>
      <c r="J57" s="513">
        <v>101.3</v>
      </c>
      <c r="K57" s="513">
        <f t="shared" si="2"/>
        <v>134.69999999999999</v>
      </c>
      <c r="L57" s="18">
        <f t="shared" si="3"/>
        <v>0.24795842613214553</v>
      </c>
    </row>
    <row r="58" spans="1:12" ht="15" x14ac:dyDescent="0.25">
      <c r="A58" s="210">
        <f t="shared" si="0"/>
        <v>1990</v>
      </c>
      <c r="B58" s="211" t="str">
        <f t="shared" si="1"/>
        <v>3</v>
      </c>
      <c r="C58" s="233">
        <f t="shared" si="19"/>
        <v>19903</v>
      </c>
      <c r="D58" s="192">
        <v>33117</v>
      </c>
      <c r="E58" s="514">
        <v>24.5</v>
      </c>
      <c r="F58" s="515">
        <v>23.5</v>
      </c>
      <c r="G58" s="515">
        <v>46.9</v>
      </c>
      <c r="H58" s="515">
        <v>82.5</v>
      </c>
      <c r="I58" s="515">
        <v>36.9</v>
      </c>
      <c r="J58" s="515">
        <v>120.2</v>
      </c>
      <c r="K58" s="515">
        <f t="shared" si="2"/>
        <v>167.1</v>
      </c>
      <c r="L58" s="183">
        <f t="shared" si="3"/>
        <v>0.28067025733093953</v>
      </c>
    </row>
    <row r="59" spans="1:12" ht="15" x14ac:dyDescent="0.25">
      <c r="A59" s="210">
        <f t="shared" si="0"/>
        <v>1990</v>
      </c>
      <c r="B59" s="211" t="str">
        <f t="shared" si="1"/>
        <v>4</v>
      </c>
      <c r="C59" s="233">
        <f t="shared" si="19"/>
        <v>19904</v>
      </c>
      <c r="D59" s="192">
        <v>33208</v>
      </c>
      <c r="E59" s="512">
        <v>30.2</v>
      </c>
      <c r="F59" s="513">
        <v>17.5</v>
      </c>
      <c r="G59" s="513">
        <v>48.1</v>
      </c>
      <c r="H59" s="513">
        <v>60.4</v>
      </c>
      <c r="I59" s="513">
        <v>25.1</v>
      </c>
      <c r="J59" s="513">
        <v>81.5</v>
      </c>
      <c r="K59" s="513">
        <f t="shared" si="2"/>
        <v>129.6</v>
      </c>
      <c r="L59" s="18">
        <f t="shared" si="3"/>
        <v>0.37114197530864201</v>
      </c>
    </row>
    <row r="60" spans="1:12" ht="15" x14ac:dyDescent="0.25">
      <c r="A60" s="210">
        <f t="shared" si="0"/>
        <v>1991</v>
      </c>
      <c r="B60" s="211" t="str">
        <f t="shared" si="1"/>
        <v>1</v>
      </c>
      <c r="C60" s="233">
        <f t="shared" si="19"/>
        <v>19911</v>
      </c>
      <c r="D60" s="192">
        <v>33298</v>
      </c>
      <c r="E60" s="514">
        <v>45.6</v>
      </c>
      <c r="F60" s="515">
        <v>22.1</v>
      </c>
      <c r="G60" s="515">
        <v>67.900000000000006</v>
      </c>
      <c r="H60" s="515">
        <v>59.2</v>
      </c>
      <c r="I60" s="515">
        <v>16</v>
      </c>
      <c r="J60" s="515">
        <v>80.3</v>
      </c>
      <c r="K60" s="515">
        <f t="shared" si="2"/>
        <v>148.19999999999999</v>
      </c>
      <c r="L60" s="183">
        <f t="shared" si="3"/>
        <v>0.45816464237516874</v>
      </c>
    </row>
    <row r="61" spans="1:12" ht="15" x14ac:dyDescent="0.25">
      <c r="A61" s="210">
        <f t="shared" si="0"/>
        <v>1991</v>
      </c>
      <c r="B61" s="211" t="str">
        <f t="shared" si="1"/>
        <v>2</v>
      </c>
      <c r="C61" s="233">
        <f t="shared" si="19"/>
        <v>19912</v>
      </c>
      <c r="D61" s="192">
        <v>33390</v>
      </c>
      <c r="E61" s="512">
        <v>31.5</v>
      </c>
      <c r="F61" s="513">
        <v>25.6</v>
      </c>
      <c r="G61" s="513">
        <v>58.5</v>
      </c>
      <c r="H61" s="513">
        <v>55.4</v>
      </c>
      <c r="I61" s="513">
        <v>31.3</v>
      </c>
      <c r="J61" s="513">
        <v>84.2</v>
      </c>
      <c r="K61" s="513">
        <f t="shared" si="2"/>
        <v>142.69999999999999</v>
      </c>
      <c r="L61" s="18">
        <f t="shared" si="3"/>
        <v>0.40995094604064475</v>
      </c>
    </row>
    <row r="62" spans="1:12" ht="15" x14ac:dyDescent="0.25">
      <c r="A62" s="210">
        <f t="shared" si="0"/>
        <v>1991</v>
      </c>
      <c r="B62" s="211" t="str">
        <f t="shared" si="1"/>
        <v>3</v>
      </c>
      <c r="C62" s="233">
        <f t="shared" si="19"/>
        <v>19913</v>
      </c>
      <c r="D62" s="192">
        <v>33482</v>
      </c>
      <c r="E62" s="514">
        <v>16.5</v>
      </c>
      <c r="F62" s="515">
        <v>18</v>
      </c>
      <c r="G62" s="515">
        <v>33.700000000000003</v>
      </c>
      <c r="H62" s="515">
        <v>30.2</v>
      </c>
      <c r="I62" s="515">
        <v>35.6</v>
      </c>
      <c r="J62" s="515">
        <v>64.8</v>
      </c>
      <c r="K62" s="515">
        <f t="shared" si="2"/>
        <v>98.5</v>
      </c>
      <c r="L62" s="183">
        <f t="shared" si="3"/>
        <v>0.34213197969543152</v>
      </c>
    </row>
    <row r="63" spans="1:12" ht="15" x14ac:dyDescent="0.25">
      <c r="A63" s="210">
        <f t="shared" si="0"/>
        <v>1991</v>
      </c>
      <c r="B63" s="211" t="str">
        <f t="shared" si="1"/>
        <v>4</v>
      </c>
      <c r="C63" s="233">
        <f t="shared" si="19"/>
        <v>19914</v>
      </c>
      <c r="D63" s="192">
        <v>33573</v>
      </c>
      <c r="E63" s="512">
        <v>18.399999999999999</v>
      </c>
      <c r="F63" s="513">
        <v>22.3</v>
      </c>
      <c r="G63" s="513">
        <v>40.4</v>
      </c>
      <c r="H63" s="513">
        <v>61.2</v>
      </c>
      <c r="I63" s="513">
        <v>52.8</v>
      </c>
      <c r="J63" s="513">
        <v>112.4</v>
      </c>
      <c r="K63" s="513">
        <f t="shared" si="2"/>
        <v>152.80000000000001</v>
      </c>
      <c r="L63" s="18">
        <f t="shared" si="3"/>
        <v>0.26439790575916228</v>
      </c>
    </row>
    <row r="64" spans="1:12" ht="15" x14ac:dyDescent="0.25">
      <c r="A64" s="210">
        <f t="shared" si="0"/>
        <v>1992</v>
      </c>
      <c r="B64" s="211" t="str">
        <f t="shared" si="1"/>
        <v>1</v>
      </c>
      <c r="C64" s="233">
        <f t="shared" si="19"/>
        <v>19921</v>
      </c>
      <c r="D64" s="192">
        <v>33664</v>
      </c>
      <c r="E64" s="514">
        <v>13.8</v>
      </c>
      <c r="F64" s="515">
        <v>19.899999999999999</v>
      </c>
      <c r="G64" s="515">
        <v>33</v>
      </c>
      <c r="H64" s="515">
        <v>17</v>
      </c>
      <c r="I64" s="515">
        <v>56.2</v>
      </c>
      <c r="J64" s="515">
        <v>79.8</v>
      </c>
      <c r="K64" s="515">
        <f t="shared" si="2"/>
        <v>112.8</v>
      </c>
      <c r="L64" s="183">
        <f t="shared" si="3"/>
        <v>0.29255319148936171</v>
      </c>
    </row>
    <row r="65" spans="1:12" ht="15" x14ac:dyDescent="0.25">
      <c r="A65" s="210">
        <f t="shared" si="0"/>
        <v>1992</v>
      </c>
      <c r="B65" s="211" t="str">
        <f t="shared" si="1"/>
        <v>2</v>
      </c>
      <c r="C65" s="233">
        <f t="shared" si="19"/>
        <v>19922</v>
      </c>
      <c r="D65" s="192">
        <v>33756</v>
      </c>
      <c r="E65" s="512">
        <v>10.3</v>
      </c>
      <c r="F65" s="513">
        <v>14.9</v>
      </c>
      <c r="G65" s="513">
        <v>26.7</v>
      </c>
      <c r="H65" s="513">
        <v>30.4</v>
      </c>
      <c r="I65" s="513">
        <v>50</v>
      </c>
      <c r="J65" s="513">
        <v>77.8</v>
      </c>
      <c r="K65" s="513">
        <f t="shared" si="2"/>
        <v>104.5</v>
      </c>
      <c r="L65" s="18">
        <f t="shared" si="3"/>
        <v>0.25550239234449762</v>
      </c>
    </row>
    <row r="66" spans="1:12" ht="15" x14ac:dyDescent="0.25">
      <c r="A66" s="210">
        <f t="shared" si="0"/>
        <v>1992</v>
      </c>
      <c r="B66" s="211" t="str">
        <f t="shared" si="1"/>
        <v>3</v>
      </c>
      <c r="C66" s="233">
        <f t="shared" si="19"/>
        <v>19923</v>
      </c>
      <c r="D66" s="192">
        <v>33848</v>
      </c>
      <c r="E66" s="514">
        <v>15.8</v>
      </c>
      <c r="F66" s="515">
        <v>17</v>
      </c>
      <c r="G66" s="515">
        <v>31.9</v>
      </c>
      <c r="H66" s="515">
        <v>51.6</v>
      </c>
      <c r="I66" s="515">
        <v>53.8</v>
      </c>
      <c r="J66" s="515">
        <v>104.3</v>
      </c>
      <c r="K66" s="515">
        <f t="shared" si="2"/>
        <v>136.19999999999999</v>
      </c>
      <c r="L66" s="183">
        <f t="shared" si="3"/>
        <v>0.23421439060205582</v>
      </c>
    </row>
    <row r="67" spans="1:12" ht="15" x14ac:dyDescent="0.25">
      <c r="A67" s="210">
        <f t="shared" si="0"/>
        <v>1992</v>
      </c>
      <c r="B67" s="211" t="str">
        <f t="shared" si="1"/>
        <v>4</v>
      </c>
      <c r="C67" s="233">
        <f t="shared" si="19"/>
        <v>19924</v>
      </c>
      <c r="D67" s="192">
        <v>33939</v>
      </c>
      <c r="E67" s="512">
        <v>16.600000000000001</v>
      </c>
      <c r="F67" s="513">
        <v>13.3</v>
      </c>
      <c r="G67" s="513">
        <v>29.7</v>
      </c>
      <c r="H67" s="513">
        <v>68</v>
      </c>
      <c r="I67" s="513">
        <v>66.3</v>
      </c>
      <c r="J67" s="513">
        <v>134.4</v>
      </c>
      <c r="K67" s="513">
        <f t="shared" si="2"/>
        <v>164.1</v>
      </c>
      <c r="L67" s="18">
        <f t="shared" si="3"/>
        <v>0.18098720292504569</v>
      </c>
    </row>
    <row r="68" spans="1:12" ht="15" x14ac:dyDescent="0.25">
      <c r="A68" s="210">
        <f t="shared" si="0"/>
        <v>1993</v>
      </c>
      <c r="B68" s="211" t="str">
        <f t="shared" si="1"/>
        <v>1</v>
      </c>
      <c r="C68" s="233">
        <f t="shared" si="19"/>
        <v>19931</v>
      </c>
      <c r="D68" s="192">
        <v>34029</v>
      </c>
      <c r="E68" s="514">
        <v>15</v>
      </c>
      <c r="F68" s="515">
        <v>10.3</v>
      </c>
      <c r="G68" s="515">
        <v>25.1</v>
      </c>
      <c r="H68" s="515">
        <v>73.2</v>
      </c>
      <c r="I68" s="515">
        <v>53.2</v>
      </c>
      <c r="J68" s="515">
        <v>129.6</v>
      </c>
      <c r="K68" s="515">
        <f t="shared" si="2"/>
        <v>154.69999999999999</v>
      </c>
      <c r="L68" s="183">
        <f t="shared" si="3"/>
        <v>0.1622495151906917</v>
      </c>
    </row>
    <row r="69" spans="1:12" ht="15" x14ac:dyDescent="0.25">
      <c r="A69" s="210">
        <f t="shared" si="0"/>
        <v>1993</v>
      </c>
      <c r="B69" s="211" t="str">
        <f t="shared" si="1"/>
        <v>2</v>
      </c>
      <c r="C69" s="233">
        <f t="shared" si="19"/>
        <v>19932</v>
      </c>
      <c r="D69" s="192">
        <v>34121</v>
      </c>
      <c r="E69" s="512">
        <v>14.9</v>
      </c>
      <c r="F69" s="513">
        <v>11.6</v>
      </c>
      <c r="G69" s="513">
        <v>27.3</v>
      </c>
      <c r="H69" s="513">
        <v>96.6</v>
      </c>
      <c r="I69" s="513">
        <v>37</v>
      </c>
      <c r="J69" s="513">
        <v>128.69999999999999</v>
      </c>
      <c r="K69" s="513">
        <f t="shared" si="2"/>
        <v>156</v>
      </c>
      <c r="L69" s="18">
        <f t="shared" si="3"/>
        <v>0.17500000000000002</v>
      </c>
    </row>
    <row r="70" spans="1:12" ht="15" x14ac:dyDescent="0.25">
      <c r="A70" s="210">
        <f t="shared" si="0"/>
        <v>1993</v>
      </c>
      <c r="B70" s="211" t="str">
        <f t="shared" si="1"/>
        <v>3</v>
      </c>
      <c r="C70" s="233">
        <f t="shared" si="19"/>
        <v>19933</v>
      </c>
      <c r="D70" s="192">
        <v>34213</v>
      </c>
      <c r="E70" s="514">
        <v>20.3</v>
      </c>
      <c r="F70" s="515">
        <v>11.6</v>
      </c>
      <c r="G70" s="515">
        <v>32.1</v>
      </c>
      <c r="H70" s="515">
        <v>60.2</v>
      </c>
      <c r="I70" s="515">
        <v>40.4</v>
      </c>
      <c r="J70" s="515">
        <v>102.1</v>
      </c>
      <c r="K70" s="515">
        <f t="shared" si="2"/>
        <v>134.19999999999999</v>
      </c>
      <c r="L70" s="183">
        <f t="shared" si="3"/>
        <v>0.23919523099850973</v>
      </c>
    </row>
    <row r="71" spans="1:12" ht="15" x14ac:dyDescent="0.25">
      <c r="A71" s="210">
        <f t="shared" si="0"/>
        <v>1993</v>
      </c>
      <c r="B71" s="211" t="str">
        <f t="shared" si="1"/>
        <v>4</v>
      </c>
      <c r="C71" s="233">
        <f t="shared" si="19"/>
        <v>19934</v>
      </c>
      <c r="D71" s="192">
        <v>34304</v>
      </c>
      <c r="E71" s="512">
        <v>14.8</v>
      </c>
      <c r="F71" s="513">
        <v>12.2</v>
      </c>
      <c r="G71" s="513">
        <v>27</v>
      </c>
      <c r="H71" s="513">
        <v>51.1</v>
      </c>
      <c r="I71" s="513">
        <v>36.4</v>
      </c>
      <c r="J71" s="513">
        <v>88.3</v>
      </c>
      <c r="K71" s="513">
        <f t="shared" si="2"/>
        <v>115.3</v>
      </c>
      <c r="L71" s="18">
        <f t="shared" si="3"/>
        <v>0.23417172593235039</v>
      </c>
    </row>
    <row r="72" spans="1:12" ht="15" x14ac:dyDescent="0.25">
      <c r="A72" s="210">
        <f t="shared" si="0"/>
        <v>1994</v>
      </c>
      <c r="B72" s="211" t="str">
        <f t="shared" si="1"/>
        <v>1</v>
      </c>
      <c r="C72" s="233">
        <f t="shared" si="19"/>
        <v>19941</v>
      </c>
      <c r="D72" s="192">
        <v>34394</v>
      </c>
      <c r="E72" s="514">
        <v>19.899999999999999</v>
      </c>
      <c r="F72" s="515">
        <v>22.8</v>
      </c>
      <c r="G72" s="515">
        <v>42.7</v>
      </c>
      <c r="H72" s="515">
        <v>51.2</v>
      </c>
      <c r="I72" s="515">
        <v>41.4</v>
      </c>
      <c r="J72" s="515">
        <v>94.1</v>
      </c>
      <c r="K72" s="515">
        <f t="shared" si="2"/>
        <v>136.80000000000001</v>
      </c>
      <c r="L72" s="183">
        <f t="shared" si="3"/>
        <v>0.3121345029239766</v>
      </c>
    </row>
    <row r="73" spans="1:12" ht="15" x14ac:dyDescent="0.25">
      <c r="A73" s="210">
        <f t="shared" ref="A73:A136" si="21">YEAR(D73)</f>
        <v>1994</v>
      </c>
      <c r="B73" s="211" t="str">
        <f t="shared" ref="B73:B136" si="22">IF(MONTH(D73)&lt;4,"1",IF(MONTH(D73)&lt;7,"2",IF(MONTH(D73)&lt;10,"3","4")))</f>
        <v>2</v>
      </c>
      <c r="C73" s="233">
        <f t="shared" si="19"/>
        <v>19942</v>
      </c>
      <c r="D73" s="192">
        <v>34486</v>
      </c>
      <c r="E73" s="512">
        <v>29.9</v>
      </c>
      <c r="F73" s="513">
        <v>15.3</v>
      </c>
      <c r="G73" s="513">
        <v>45.2</v>
      </c>
      <c r="H73" s="513">
        <v>43</v>
      </c>
      <c r="I73" s="513">
        <v>33.700000000000003</v>
      </c>
      <c r="J73" s="513">
        <v>76.7</v>
      </c>
      <c r="K73" s="513">
        <f t="shared" ref="K73:K136" si="23">SUM(J73,G73)</f>
        <v>121.9</v>
      </c>
      <c r="L73" s="18">
        <f t="shared" ref="L73:L136" si="24">G73/K73</f>
        <v>0.37079573420836753</v>
      </c>
    </row>
    <row r="74" spans="1:12" ht="15" x14ac:dyDescent="0.25">
      <c r="A74" s="210">
        <f t="shared" si="21"/>
        <v>1994</v>
      </c>
      <c r="B74" s="211" t="str">
        <f t="shared" si="22"/>
        <v>3</v>
      </c>
      <c r="C74" s="233">
        <f t="shared" ref="C74:C137" si="25">_xlfn.NUMBERVALUE(CONCATENATE(A74,B74))</f>
        <v>19943</v>
      </c>
      <c r="D74" s="192">
        <v>34578</v>
      </c>
      <c r="E74" s="514">
        <v>22.8</v>
      </c>
      <c r="F74" s="515">
        <v>16.399999999999999</v>
      </c>
      <c r="G74" s="515">
        <v>39.1</v>
      </c>
      <c r="H74" s="515">
        <v>98.8</v>
      </c>
      <c r="I74" s="515">
        <v>38.200000000000003</v>
      </c>
      <c r="J74" s="515">
        <v>137</v>
      </c>
      <c r="K74" s="515">
        <f t="shared" si="23"/>
        <v>176.1</v>
      </c>
      <c r="L74" s="183">
        <f t="shared" si="24"/>
        <v>0.22203293583191369</v>
      </c>
    </row>
    <row r="75" spans="1:12" ht="15" x14ac:dyDescent="0.25">
      <c r="A75" s="210">
        <f t="shared" si="21"/>
        <v>1994</v>
      </c>
      <c r="B75" s="211" t="str">
        <f t="shared" si="22"/>
        <v>4</v>
      </c>
      <c r="C75" s="233">
        <f t="shared" si="25"/>
        <v>19944</v>
      </c>
      <c r="D75" s="192">
        <v>34669</v>
      </c>
      <c r="E75" s="512">
        <v>15.4</v>
      </c>
      <c r="F75" s="513">
        <v>21.9</v>
      </c>
      <c r="G75" s="513">
        <v>37.299999999999997</v>
      </c>
      <c r="H75" s="513">
        <v>89.5</v>
      </c>
      <c r="I75" s="513">
        <v>31</v>
      </c>
      <c r="J75" s="513">
        <v>120.5</v>
      </c>
      <c r="K75" s="513">
        <f t="shared" si="23"/>
        <v>157.80000000000001</v>
      </c>
      <c r="L75" s="18">
        <f t="shared" si="24"/>
        <v>0.23637515842839033</v>
      </c>
    </row>
    <row r="76" spans="1:12" ht="15" x14ac:dyDescent="0.25">
      <c r="A76" s="210">
        <f t="shared" si="21"/>
        <v>1995</v>
      </c>
      <c r="B76" s="211" t="str">
        <f t="shared" si="22"/>
        <v>1</v>
      </c>
      <c r="C76" s="233">
        <f t="shared" si="25"/>
        <v>19951</v>
      </c>
      <c r="D76" s="192">
        <v>34759</v>
      </c>
      <c r="E76" s="514">
        <v>17.2</v>
      </c>
      <c r="F76" s="515">
        <v>20.8</v>
      </c>
      <c r="G76" s="515">
        <v>38</v>
      </c>
      <c r="H76" s="515">
        <v>80</v>
      </c>
      <c r="I76" s="515">
        <v>26.2</v>
      </c>
      <c r="J76" s="515">
        <v>106.2</v>
      </c>
      <c r="K76" s="515">
        <f t="shared" si="23"/>
        <v>144.19999999999999</v>
      </c>
      <c r="L76" s="183">
        <f t="shared" si="24"/>
        <v>0.26352288488210818</v>
      </c>
    </row>
    <row r="77" spans="1:12" ht="15" x14ac:dyDescent="0.25">
      <c r="A77" s="210">
        <f t="shared" si="21"/>
        <v>1995</v>
      </c>
      <c r="B77" s="211" t="str">
        <f t="shared" si="22"/>
        <v>2</v>
      </c>
      <c r="C77" s="233">
        <f t="shared" si="25"/>
        <v>19952</v>
      </c>
      <c r="D77" s="192">
        <v>34851</v>
      </c>
      <c r="E77" s="512">
        <v>31.8</v>
      </c>
      <c r="F77" s="513">
        <v>23.2</v>
      </c>
      <c r="G77" s="513">
        <v>55</v>
      </c>
      <c r="H77" s="513">
        <v>96.2</v>
      </c>
      <c r="I77" s="513">
        <v>37.5</v>
      </c>
      <c r="J77" s="513">
        <v>133.69999999999999</v>
      </c>
      <c r="K77" s="513">
        <f t="shared" si="23"/>
        <v>188.7</v>
      </c>
      <c r="L77" s="18">
        <f t="shared" si="24"/>
        <v>0.29146793852676206</v>
      </c>
    </row>
    <row r="78" spans="1:12" ht="15" x14ac:dyDescent="0.25">
      <c r="A78" s="210">
        <f t="shared" si="21"/>
        <v>1995</v>
      </c>
      <c r="B78" s="211" t="str">
        <f t="shared" si="22"/>
        <v>3</v>
      </c>
      <c r="C78" s="233">
        <f t="shared" si="25"/>
        <v>19953</v>
      </c>
      <c r="D78" s="192">
        <v>34943</v>
      </c>
      <c r="E78" s="514">
        <v>28.5</v>
      </c>
      <c r="F78" s="515">
        <v>19.5</v>
      </c>
      <c r="G78" s="515">
        <v>47.9</v>
      </c>
      <c r="H78" s="515">
        <v>100.8</v>
      </c>
      <c r="I78" s="515">
        <v>41.5</v>
      </c>
      <c r="J78" s="515">
        <v>142.30000000000001</v>
      </c>
      <c r="K78" s="515">
        <f t="shared" si="23"/>
        <v>190.20000000000002</v>
      </c>
      <c r="L78" s="183">
        <f t="shared" si="24"/>
        <v>0.25184016824395372</v>
      </c>
    </row>
    <row r="79" spans="1:12" ht="15" x14ac:dyDescent="0.25">
      <c r="A79" s="210">
        <f t="shared" si="21"/>
        <v>1995</v>
      </c>
      <c r="B79" s="211" t="str">
        <f t="shared" si="22"/>
        <v>4</v>
      </c>
      <c r="C79" s="233">
        <f t="shared" si="25"/>
        <v>19954</v>
      </c>
      <c r="D79" s="192">
        <v>35034</v>
      </c>
      <c r="E79" s="512">
        <v>23.8</v>
      </c>
      <c r="F79" s="513">
        <v>22.2</v>
      </c>
      <c r="G79" s="513">
        <v>46</v>
      </c>
      <c r="H79" s="513">
        <v>88.5</v>
      </c>
      <c r="I79" s="513">
        <v>38.9</v>
      </c>
      <c r="J79" s="513">
        <v>127.4</v>
      </c>
      <c r="K79" s="513">
        <f t="shared" si="23"/>
        <v>173.4</v>
      </c>
      <c r="L79" s="18">
        <f t="shared" si="24"/>
        <v>0.26528258362168394</v>
      </c>
    </row>
    <row r="80" spans="1:12" ht="15" x14ac:dyDescent="0.25">
      <c r="A80" s="210">
        <f t="shared" si="21"/>
        <v>1996</v>
      </c>
      <c r="B80" s="211" t="str">
        <f t="shared" si="22"/>
        <v>1</v>
      </c>
      <c r="C80" s="233">
        <f t="shared" si="25"/>
        <v>19961</v>
      </c>
      <c r="D80" s="192">
        <v>35125</v>
      </c>
      <c r="E80" s="514">
        <v>19.600000000000001</v>
      </c>
      <c r="F80" s="515">
        <v>18.100000000000001</v>
      </c>
      <c r="G80" s="515">
        <v>37.700000000000003</v>
      </c>
      <c r="H80" s="515">
        <v>76.7</v>
      </c>
      <c r="I80" s="515">
        <v>49.9</v>
      </c>
      <c r="J80" s="515">
        <v>126.6</v>
      </c>
      <c r="K80" s="515">
        <f t="shared" si="23"/>
        <v>164.3</v>
      </c>
      <c r="L80" s="183">
        <f t="shared" si="24"/>
        <v>0.22945830797321973</v>
      </c>
    </row>
    <row r="81" spans="1:12" ht="15" x14ac:dyDescent="0.25">
      <c r="A81" s="210">
        <f t="shared" si="21"/>
        <v>1996</v>
      </c>
      <c r="B81" s="211" t="str">
        <f t="shared" si="22"/>
        <v>2</v>
      </c>
      <c r="C81" s="233">
        <f t="shared" si="25"/>
        <v>19962</v>
      </c>
      <c r="D81" s="192">
        <v>35217</v>
      </c>
      <c r="E81" s="512">
        <v>21.7</v>
      </c>
      <c r="F81" s="513">
        <v>18.8</v>
      </c>
      <c r="G81" s="513">
        <v>40.5</v>
      </c>
      <c r="H81" s="513">
        <v>69.2</v>
      </c>
      <c r="I81" s="513">
        <v>47.4</v>
      </c>
      <c r="J81" s="513">
        <v>116.6</v>
      </c>
      <c r="K81" s="513">
        <f t="shared" si="23"/>
        <v>157.1</v>
      </c>
      <c r="L81" s="18">
        <f t="shared" si="24"/>
        <v>0.25779758115849777</v>
      </c>
    </row>
    <row r="82" spans="1:12" ht="15" x14ac:dyDescent="0.25">
      <c r="A82" s="210">
        <f t="shared" si="21"/>
        <v>1996</v>
      </c>
      <c r="B82" s="211" t="str">
        <f t="shared" si="22"/>
        <v>3</v>
      </c>
      <c r="C82" s="233">
        <f t="shared" si="25"/>
        <v>19963</v>
      </c>
      <c r="D82" s="192">
        <v>35309</v>
      </c>
      <c r="E82" s="514">
        <v>38.4</v>
      </c>
      <c r="F82" s="515">
        <v>22.7</v>
      </c>
      <c r="G82" s="515">
        <v>61.1</v>
      </c>
      <c r="H82" s="515">
        <v>111.7</v>
      </c>
      <c r="I82" s="515">
        <v>30.8</v>
      </c>
      <c r="J82" s="515">
        <v>142.4</v>
      </c>
      <c r="K82" s="515">
        <f t="shared" si="23"/>
        <v>203.5</v>
      </c>
      <c r="L82" s="183">
        <f t="shared" si="24"/>
        <v>0.30024570024570024</v>
      </c>
    </row>
    <row r="83" spans="1:12" ht="15" x14ac:dyDescent="0.25">
      <c r="A83" s="210">
        <f t="shared" si="21"/>
        <v>1996</v>
      </c>
      <c r="B83" s="211" t="str">
        <f t="shared" si="22"/>
        <v>4</v>
      </c>
      <c r="C83" s="233">
        <f t="shared" si="25"/>
        <v>19964</v>
      </c>
      <c r="D83" s="192">
        <v>35400</v>
      </c>
      <c r="E83" s="512">
        <v>52.2</v>
      </c>
      <c r="F83" s="513">
        <v>15</v>
      </c>
      <c r="G83" s="513">
        <v>67.2</v>
      </c>
      <c r="H83" s="513">
        <v>112.2</v>
      </c>
      <c r="I83" s="513">
        <v>42.7</v>
      </c>
      <c r="J83" s="513">
        <v>155</v>
      </c>
      <c r="K83" s="513">
        <f t="shared" si="23"/>
        <v>222.2</v>
      </c>
      <c r="L83" s="18">
        <f t="shared" si="24"/>
        <v>0.30243024302430244</v>
      </c>
    </row>
    <row r="84" spans="1:12" ht="15" x14ac:dyDescent="0.25">
      <c r="A84" s="210">
        <f t="shared" si="21"/>
        <v>1997</v>
      </c>
      <c r="B84" s="211" t="str">
        <f t="shared" si="22"/>
        <v>1</v>
      </c>
      <c r="C84" s="233">
        <f t="shared" si="25"/>
        <v>19971</v>
      </c>
      <c r="D84" s="192">
        <v>35490</v>
      </c>
      <c r="E84" s="514">
        <v>29.8</v>
      </c>
      <c r="F84" s="515">
        <v>9.8000000000000007</v>
      </c>
      <c r="G84" s="515">
        <v>39.5</v>
      </c>
      <c r="H84" s="515">
        <v>96.7</v>
      </c>
      <c r="I84" s="515">
        <v>47.1</v>
      </c>
      <c r="J84" s="515">
        <v>143.80000000000001</v>
      </c>
      <c r="K84" s="515">
        <f t="shared" si="23"/>
        <v>183.3</v>
      </c>
      <c r="L84" s="183">
        <f t="shared" si="24"/>
        <v>0.215493726132024</v>
      </c>
    </row>
    <row r="85" spans="1:12" ht="15" x14ac:dyDescent="0.25">
      <c r="A85" s="210">
        <f t="shared" si="21"/>
        <v>1997</v>
      </c>
      <c r="B85" s="211" t="str">
        <f t="shared" si="22"/>
        <v>2</v>
      </c>
      <c r="C85" s="233">
        <f t="shared" si="25"/>
        <v>19972</v>
      </c>
      <c r="D85" s="192">
        <v>35582</v>
      </c>
      <c r="E85" s="512">
        <v>53.9</v>
      </c>
      <c r="F85" s="513">
        <v>23.7</v>
      </c>
      <c r="G85" s="513">
        <v>77.599999999999994</v>
      </c>
      <c r="H85" s="513">
        <v>68.400000000000006</v>
      </c>
      <c r="I85" s="513">
        <v>48.8</v>
      </c>
      <c r="J85" s="513">
        <v>117.2</v>
      </c>
      <c r="K85" s="513">
        <f t="shared" si="23"/>
        <v>194.8</v>
      </c>
      <c r="L85" s="18">
        <f t="shared" si="24"/>
        <v>0.3983572895277207</v>
      </c>
    </row>
    <row r="86" spans="1:12" ht="15" x14ac:dyDescent="0.25">
      <c r="A86" s="210">
        <f t="shared" si="21"/>
        <v>1997</v>
      </c>
      <c r="B86" s="211" t="str">
        <f t="shared" si="22"/>
        <v>3</v>
      </c>
      <c r="C86" s="233">
        <f t="shared" si="25"/>
        <v>19973</v>
      </c>
      <c r="D86" s="192">
        <v>35674</v>
      </c>
      <c r="E86" s="514">
        <v>39.6</v>
      </c>
      <c r="F86" s="515">
        <v>15.3</v>
      </c>
      <c r="G86" s="515">
        <v>54.9</v>
      </c>
      <c r="H86" s="515">
        <v>43.3</v>
      </c>
      <c r="I86" s="515">
        <v>27.7</v>
      </c>
      <c r="J86" s="515">
        <v>71</v>
      </c>
      <c r="K86" s="515">
        <f t="shared" si="23"/>
        <v>125.9</v>
      </c>
      <c r="L86" s="183">
        <f t="shared" si="24"/>
        <v>0.43606036536934073</v>
      </c>
    </row>
    <row r="87" spans="1:12" ht="15" x14ac:dyDescent="0.25">
      <c r="A87" s="210">
        <f t="shared" si="21"/>
        <v>1997</v>
      </c>
      <c r="B87" s="211" t="str">
        <f t="shared" si="22"/>
        <v>4</v>
      </c>
      <c r="C87" s="233">
        <f t="shared" si="25"/>
        <v>19974</v>
      </c>
      <c r="D87" s="192">
        <v>35765</v>
      </c>
      <c r="E87" s="512">
        <v>37.799999999999997</v>
      </c>
      <c r="F87" s="513">
        <v>14.8</v>
      </c>
      <c r="G87" s="513">
        <v>52.5</v>
      </c>
      <c r="H87" s="513">
        <v>82.2</v>
      </c>
      <c r="I87" s="513">
        <v>67.3</v>
      </c>
      <c r="J87" s="513">
        <v>149.5</v>
      </c>
      <c r="K87" s="513">
        <f t="shared" si="23"/>
        <v>202</v>
      </c>
      <c r="L87" s="18">
        <f t="shared" si="24"/>
        <v>0.25990099009900991</v>
      </c>
    </row>
    <row r="88" spans="1:12" ht="15" x14ac:dyDescent="0.25">
      <c r="A88" s="210">
        <f t="shared" si="21"/>
        <v>1998</v>
      </c>
      <c r="B88" s="211" t="str">
        <f t="shared" si="22"/>
        <v>1</v>
      </c>
      <c r="C88" s="233">
        <f t="shared" si="25"/>
        <v>19981</v>
      </c>
      <c r="D88" s="192">
        <v>35855</v>
      </c>
      <c r="E88" s="514">
        <v>48</v>
      </c>
      <c r="F88" s="515">
        <v>12.8</v>
      </c>
      <c r="G88" s="515">
        <v>60.9</v>
      </c>
      <c r="H88" s="515">
        <v>136.6</v>
      </c>
      <c r="I88" s="515">
        <v>78.599999999999994</v>
      </c>
      <c r="J88" s="515">
        <v>215.1</v>
      </c>
      <c r="K88" s="515">
        <f t="shared" si="23"/>
        <v>276</v>
      </c>
      <c r="L88" s="183">
        <f t="shared" si="24"/>
        <v>0.22065217391304348</v>
      </c>
    </row>
    <row r="89" spans="1:12" ht="15" x14ac:dyDescent="0.25">
      <c r="A89" s="210">
        <f t="shared" si="21"/>
        <v>1998</v>
      </c>
      <c r="B89" s="211" t="str">
        <f t="shared" si="22"/>
        <v>2</v>
      </c>
      <c r="C89" s="233">
        <f t="shared" si="25"/>
        <v>19982</v>
      </c>
      <c r="D89" s="192">
        <v>35947</v>
      </c>
      <c r="E89" s="512">
        <v>51.3</v>
      </c>
      <c r="F89" s="513">
        <v>14.7</v>
      </c>
      <c r="G89" s="513">
        <v>66</v>
      </c>
      <c r="H89" s="513">
        <v>196</v>
      </c>
      <c r="I89" s="513">
        <v>53.5</v>
      </c>
      <c r="J89" s="513">
        <v>249.5</v>
      </c>
      <c r="K89" s="513">
        <f t="shared" si="23"/>
        <v>315.5</v>
      </c>
      <c r="L89" s="18">
        <f t="shared" si="24"/>
        <v>0.2091917591125198</v>
      </c>
    </row>
    <row r="90" spans="1:12" ht="15" x14ac:dyDescent="0.25">
      <c r="A90" s="210">
        <f t="shared" si="21"/>
        <v>1998</v>
      </c>
      <c r="B90" s="211" t="str">
        <f t="shared" si="22"/>
        <v>3</v>
      </c>
      <c r="C90" s="233">
        <f t="shared" si="25"/>
        <v>19983</v>
      </c>
      <c r="D90" s="192">
        <v>36039</v>
      </c>
      <c r="E90" s="514">
        <v>35.9</v>
      </c>
      <c r="F90" s="515">
        <v>22.4</v>
      </c>
      <c r="G90" s="515">
        <v>58.3</v>
      </c>
      <c r="H90" s="515">
        <v>71.7</v>
      </c>
      <c r="I90" s="515">
        <v>59.9</v>
      </c>
      <c r="J90" s="515">
        <v>131.6</v>
      </c>
      <c r="K90" s="515">
        <f t="shared" si="23"/>
        <v>189.89999999999998</v>
      </c>
      <c r="L90" s="183">
        <f t="shared" si="24"/>
        <v>0.30700368615060558</v>
      </c>
    </row>
    <row r="91" spans="1:12" ht="15" x14ac:dyDescent="0.25">
      <c r="A91" s="210">
        <f t="shared" si="21"/>
        <v>1998</v>
      </c>
      <c r="B91" s="211" t="str">
        <f t="shared" si="22"/>
        <v>4</v>
      </c>
      <c r="C91" s="233">
        <f t="shared" si="25"/>
        <v>19984</v>
      </c>
      <c r="D91" s="192">
        <v>36130</v>
      </c>
      <c r="E91" s="512">
        <v>34.4</v>
      </c>
      <c r="F91" s="513">
        <v>16.2</v>
      </c>
      <c r="G91" s="513">
        <v>50.6</v>
      </c>
      <c r="H91" s="513">
        <v>124.7</v>
      </c>
      <c r="I91" s="513">
        <v>60.7</v>
      </c>
      <c r="J91" s="513">
        <v>185.4</v>
      </c>
      <c r="K91" s="513">
        <f t="shared" si="23"/>
        <v>236</v>
      </c>
      <c r="L91" s="18">
        <f t="shared" si="24"/>
        <v>0.21440677966101696</v>
      </c>
    </row>
    <row r="92" spans="1:12" ht="15" x14ac:dyDescent="0.25">
      <c r="A92" s="210">
        <f t="shared" si="21"/>
        <v>1999</v>
      </c>
      <c r="B92" s="211" t="str">
        <f t="shared" si="22"/>
        <v>1</v>
      </c>
      <c r="C92" s="233">
        <f t="shared" si="25"/>
        <v>19991</v>
      </c>
      <c r="D92" s="192">
        <v>36220</v>
      </c>
      <c r="E92" s="514">
        <v>25.7</v>
      </c>
      <c r="F92" s="515">
        <v>19.7</v>
      </c>
      <c r="G92" s="515">
        <v>45.4</v>
      </c>
      <c r="H92" s="515">
        <v>123.7</v>
      </c>
      <c r="I92" s="515">
        <v>64.099999999999994</v>
      </c>
      <c r="J92" s="515">
        <v>187.8</v>
      </c>
      <c r="K92" s="515">
        <f t="shared" si="23"/>
        <v>233.20000000000002</v>
      </c>
      <c r="L92" s="183">
        <f t="shared" si="24"/>
        <v>0.19468267581475127</v>
      </c>
    </row>
    <row r="93" spans="1:12" ht="15" x14ac:dyDescent="0.25">
      <c r="A93" s="210">
        <f t="shared" si="21"/>
        <v>1999</v>
      </c>
      <c r="B93" s="211" t="str">
        <f t="shared" si="22"/>
        <v>2</v>
      </c>
      <c r="C93" s="233">
        <f t="shared" si="25"/>
        <v>19992</v>
      </c>
      <c r="D93" s="192">
        <v>36312</v>
      </c>
      <c r="E93" s="512">
        <v>13.6</v>
      </c>
      <c r="F93" s="513">
        <v>13</v>
      </c>
      <c r="G93" s="513">
        <v>26.6</v>
      </c>
      <c r="H93" s="513">
        <v>100.2</v>
      </c>
      <c r="I93" s="513">
        <v>65.2</v>
      </c>
      <c r="J93" s="513">
        <v>165.5</v>
      </c>
      <c r="K93" s="513">
        <f t="shared" si="23"/>
        <v>192.1</v>
      </c>
      <c r="L93" s="18">
        <f t="shared" si="24"/>
        <v>0.13846954711087975</v>
      </c>
    </row>
    <row r="94" spans="1:12" ht="15" x14ac:dyDescent="0.25">
      <c r="A94" s="210">
        <f t="shared" si="21"/>
        <v>1999</v>
      </c>
      <c r="B94" s="211" t="str">
        <f t="shared" si="22"/>
        <v>3</v>
      </c>
      <c r="C94" s="233">
        <f t="shared" si="25"/>
        <v>19993</v>
      </c>
      <c r="D94" s="192">
        <v>36404</v>
      </c>
      <c r="E94" s="514">
        <v>11.4</v>
      </c>
      <c r="F94" s="515">
        <v>10.1</v>
      </c>
      <c r="G94" s="515">
        <v>21.4</v>
      </c>
      <c r="H94" s="515">
        <v>97.4</v>
      </c>
      <c r="I94" s="515">
        <v>83.5</v>
      </c>
      <c r="J94" s="515">
        <v>180.8</v>
      </c>
      <c r="K94" s="515">
        <f t="shared" si="23"/>
        <v>202.20000000000002</v>
      </c>
      <c r="L94" s="183">
        <f t="shared" si="24"/>
        <v>0.10583580613254202</v>
      </c>
    </row>
    <row r="95" spans="1:12" ht="15" x14ac:dyDescent="0.25">
      <c r="A95" s="210">
        <f t="shared" si="21"/>
        <v>1999</v>
      </c>
      <c r="B95" s="211" t="str">
        <f t="shared" si="22"/>
        <v>4</v>
      </c>
      <c r="C95" s="233">
        <f t="shared" si="25"/>
        <v>19994</v>
      </c>
      <c r="D95" s="192">
        <v>36495</v>
      </c>
      <c r="E95" s="512">
        <v>17.5</v>
      </c>
      <c r="F95" s="513">
        <v>15.8</v>
      </c>
      <c r="G95" s="513">
        <v>33.4</v>
      </c>
      <c r="H95" s="513">
        <v>92</v>
      </c>
      <c r="I95" s="513">
        <v>45.1</v>
      </c>
      <c r="J95" s="513">
        <v>137.1</v>
      </c>
      <c r="K95" s="513">
        <f t="shared" si="23"/>
        <v>170.5</v>
      </c>
      <c r="L95" s="18">
        <f t="shared" si="24"/>
        <v>0.19589442815249267</v>
      </c>
    </row>
    <row r="96" spans="1:12" ht="15" x14ac:dyDescent="0.25">
      <c r="A96" s="210">
        <f t="shared" si="21"/>
        <v>2000</v>
      </c>
      <c r="B96" s="211" t="str">
        <f t="shared" si="22"/>
        <v>1</v>
      </c>
      <c r="C96" s="233">
        <f t="shared" si="25"/>
        <v>20001</v>
      </c>
      <c r="D96" s="192">
        <v>36586</v>
      </c>
      <c r="E96" s="514">
        <v>13.1</v>
      </c>
      <c r="F96" s="515">
        <v>14.5</v>
      </c>
      <c r="G96" s="515">
        <v>27.6</v>
      </c>
      <c r="H96" s="515">
        <v>98.6</v>
      </c>
      <c r="I96" s="515">
        <v>33.6</v>
      </c>
      <c r="J96" s="515">
        <v>132.1</v>
      </c>
      <c r="K96" s="515">
        <f t="shared" si="23"/>
        <v>159.69999999999999</v>
      </c>
      <c r="L96" s="183">
        <f t="shared" si="24"/>
        <v>0.17282404508453353</v>
      </c>
    </row>
    <row r="97" spans="1:12" ht="15" x14ac:dyDescent="0.25">
      <c r="A97" s="210">
        <f t="shared" si="21"/>
        <v>2000</v>
      </c>
      <c r="B97" s="211" t="str">
        <f t="shared" si="22"/>
        <v>2</v>
      </c>
      <c r="C97" s="233">
        <f t="shared" si="25"/>
        <v>20002</v>
      </c>
      <c r="D97" s="192">
        <v>36678</v>
      </c>
      <c r="E97" s="512">
        <v>10.3</v>
      </c>
      <c r="F97" s="513">
        <v>15.8</v>
      </c>
      <c r="G97" s="513">
        <v>26.1</v>
      </c>
      <c r="H97" s="513">
        <v>84.5</v>
      </c>
      <c r="I97" s="513">
        <v>59.6</v>
      </c>
      <c r="J97" s="513">
        <v>144</v>
      </c>
      <c r="K97" s="513">
        <f t="shared" si="23"/>
        <v>170.1</v>
      </c>
      <c r="L97" s="18">
        <f t="shared" si="24"/>
        <v>0.15343915343915346</v>
      </c>
    </row>
    <row r="98" spans="1:12" ht="15" x14ac:dyDescent="0.25">
      <c r="A98" s="210">
        <f t="shared" si="21"/>
        <v>2000</v>
      </c>
      <c r="B98" s="211" t="str">
        <f t="shared" si="22"/>
        <v>3</v>
      </c>
      <c r="C98" s="233">
        <f t="shared" si="25"/>
        <v>20003</v>
      </c>
      <c r="D98" s="192">
        <v>36770</v>
      </c>
      <c r="E98" s="514">
        <v>17.899999999999999</v>
      </c>
      <c r="F98" s="515">
        <v>17.399999999999999</v>
      </c>
      <c r="G98" s="515">
        <v>35.299999999999997</v>
      </c>
      <c r="H98" s="515">
        <v>121.1</v>
      </c>
      <c r="I98" s="515">
        <v>67.900000000000006</v>
      </c>
      <c r="J98" s="515">
        <v>189</v>
      </c>
      <c r="K98" s="515">
        <f t="shared" si="23"/>
        <v>224.3</v>
      </c>
      <c r="L98" s="183">
        <f t="shared" si="24"/>
        <v>0.15737851092287114</v>
      </c>
    </row>
    <row r="99" spans="1:12" ht="15" x14ac:dyDescent="0.25">
      <c r="A99" s="210">
        <f t="shared" si="21"/>
        <v>2000</v>
      </c>
      <c r="B99" s="211" t="str">
        <f t="shared" si="22"/>
        <v>4</v>
      </c>
      <c r="C99" s="233">
        <f t="shared" si="25"/>
        <v>20004</v>
      </c>
      <c r="D99" s="192">
        <v>36861</v>
      </c>
      <c r="E99" s="512">
        <v>19.5</v>
      </c>
      <c r="F99" s="513">
        <v>19</v>
      </c>
      <c r="G99" s="513">
        <v>38.6</v>
      </c>
      <c r="H99" s="513">
        <v>102.5</v>
      </c>
      <c r="I99" s="513">
        <v>86.9</v>
      </c>
      <c r="J99" s="513">
        <v>189.3</v>
      </c>
      <c r="K99" s="513">
        <f t="shared" si="23"/>
        <v>227.9</v>
      </c>
      <c r="L99" s="18">
        <f t="shared" si="24"/>
        <v>0.16937253181219833</v>
      </c>
    </row>
    <row r="100" spans="1:12" ht="15" x14ac:dyDescent="0.25">
      <c r="A100" s="210">
        <f t="shared" si="21"/>
        <v>2001</v>
      </c>
      <c r="B100" s="211" t="str">
        <f t="shared" si="22"/>
        <v>1</v>
      </c>
      <c r="C100" s="233">
        <f t="shared" si="25"/>
        <v>20011</v>
      </c>
      <c r="D100" s="192">
        <v>36951</v>
      </c>
      <c r="E100" s="514">
        <v>34</v>
      </c>
      <c r="F100" s="515">
        <v>22.7</v>
      </c>
      <c r="G100" s="515">
        <v>56.7</v>
      </c>
      <c r="H100" s="515">
        <v>139</v>
      </c>
      <c r="I100" s="515">
        <v>98.9</v>
      </c>
      <c r="J100" s="515">
        <v>237.9</v>
      </c>
      <c r="K100" s="515">
        <f t="shared" si="23"/>
        <v>294.60000000000002</v>
      </c>
      <c r="L100" s="183">
        <f t="shared" si="24"/>
        <v>0.1924643584521385</v>
      </c>
    </row>
    <row r="101" spans="1:12" ht="15" x14ac:dyDescent="0.25">
      <c r="A101" s="210">
        <f t="shared" si="21"/>
        <v>2001</v>
      </c>
      <c r="B101" s="211" t="str">
        <f t="shared" si="22"/>
        <v>2</v>
      </c>
      <c r="C101" s="233">
        <f t="shared" si="25"/>
        <v>20012</v>
      </c>
      <c r="D101" s="192">
        <v>37043</v>
      </c>
      <c r="E101" s="512">
        <v>30.4</v>
      </c>
      <c r="F101" s="513">
        <v>18.399999999999999</v>
      </c>
      <c r="G101" s="513">
        <v>48.7</v>
      </c>
      <c r="H101" s="513">
        <v>163.9</v>
      </c>
      <c r="I101" s="513">
        <v>68.7</v>
      </c>
      <c r="J101" s="513">
        <v>232.6</v>
      </c>
      <c r="K101" s="513">
        <f t="shared" si="23"/>
        <v>281.3</v>
      </c>
      <c r="L101" s="18">
        <f t="shared" si="24"/>
        <v>0.17312477781727692</v>
      </c>
    </row>
    <row r="102" spans="1:12" ht="15" x14ac:dyDescent="0.25">
      <c r="A102" s="210">
        <f t="shared" si="21"/>
        <v>2001</v>
      </c>
      <c r="B102" s="211" t="str">
        <f t="shared" si="22"/>
        <v>3</v>
      </c>
      <c r="C102" s="233">
        <f t="shared" si="25"/>
        <v>20013</v>
      </c>
      <c r="D102" s="192">
        <v>37135</v>
      </c>
      <c r="E102" s="514">
        <v>29.6</v>
      </c>
      <c r="F102" s="515">
        <v>14.9</v>
      </c>
      <c r="G102" s="515">
        <v>44.5</v>
      </c>
      <c r="H102" s="515">
        <v>132.30000000000001</v>
      </c>
      <c r="I102" s="515">
        <v>61.5</v>
      </c>
      <c r="J102" s="515">
        <v>193.9</v>
      </c>
      <c r="K102" s="515">
        <f t="shared" si="23"/>
        <v>238.4</v>
      </c>
      <c r="L102" s="183">
        <f t="shared" si="24"/>
        <v>0.18666107382550334</v>
      </c>
    </row>
    <row r="103" spans="1:12" ht="15" x14ac:dyDescent="0.25">
      <c r="A103" s="210">
        <f t="shared" si="21"/>
        <v>2001</v>
      </c>
      <c r="B103" s="211" t="str">
        <f t="shared" si="22"/>
        <v>4</v>
      </c>
      <c r="C103" s="233">
        <f t="shared" si="25"/>
        <v>20014</v>
      </c>
      <c r="D103" s="192">
        <v>37226</v>
      </c>
      <c r="E103" s="512">
        <v>17</v>
      </c>
      <c r="F103" s="513">
        <v>13.7</v>
      </c>
      <c r="G103" s="513">
        <v>30.7</v>
      </c>
      <c r="H103" s="513">
        <v>155.80000000000001</v>
      </c>
      <c r="I103" s="513">
        <v>62.6</v>
      </c>
      <c r="J103" s="513">
        <v>218.4</v>
      </c>
      <c r="K103" s="513">
        <f t="shared" si="23"/>
        <v>249.1</v>
      </c>
      <c r="L103" s="18">
        <f t="shared" si="24"/>
        <v>0.123243677238057</v>
      </c>
    </row>
    <row r="104" spans="1:12" ht="15" x14ac:dyDescent="0.25">
      <c r="A104" s="210">
        <f t="shared" si="21"/>
        <v>2002</v>
      </c>
      <c r="B104" s="211" t="str">
        <f t="shared" si="22"/>
        <v>1</v>
      </c>
      <c r="C104" s="233">
        <f t="shared" si="25"/>
        <v>20021</v>
      </c>
      <c r="D104" s="192">
        <v>37316</v>
      </c>
      <c r="E104" s="514">
        <v>20.8</v>
      </c>
      <c r="F104" s="515">
        <v>19.7</v>
      </c>
      <c r="G104" s="515">
        <v>40.5</v>
      </c>
      <c r="H104" s="515">
        <v>85.4</v>
      </c>
      <c r="I104" s="515">
        <v>74.599999999999994</v>
      </c>
      <c r="J104" s="515">
        <v>160</v>
      </c>
      <c r="K104" s="515">
        <f t="shared" si="23"/>
        <v>200.5</v>
      </c>
      <c r="L104" s="183">
        <f t="shared" si="24"/>
        <v>0.20199501246882792</v>
      </c>
    </row>
    <row r="105" spans="1:12" ht="15" x14ac:dyDescent="0.25">
      <c r="A105" s="210">
        <f t="shared" si="21"/>
        <v>2002</v>
      </c>
      <c r="B105" s="211" t="str">
        <f t="shared" si="22"/>
        <v>2</v>
      </c>
      <c r="C105" s="233">
        <f t="shared" si="25"/>
        <v>20022</v>
      </c>
      <c r="D105" s="192">
        <v>37408</v>
      </c>
      <c r="E105" s="512">
        <v>34.200000000000003</v>
      </c>
      <c r="F105" s="513">
        <v>17.8</v>
      </c>
      <c r="G105" s="513">
        <v>52</v>
      </c>
      <c r="H105" s="513">
        <v>79</v>
      </c>
      <c r="I105" s="513">
        <v>60.6</v>
      </c>
      <c r="J105" s="513">
        <v>139.6</v>
      </c>
      <c r="K105" s="513">
        <f t="shared" si="23"/>
        <v>191.6</v>
      </c>
      <c r="L105" s="18">
        <f t="shared" si="24"/>
        <v>0.27139874739039666</v>
      </c>
    </row>
    <row r="106" spans="1:12" ht="15" x14ac:dyDescent="0.25">
      <c r="A106" s="210">
        <f t="shared" si="21"/>
        <v>2002</v>
      </c>
      <c r="B106" s="211" t="str">
        <f t="shared" si="22"/>
        <v>3</v>
      </c>
      <c r="C106" s="233">
        <f t="shared" si="25"/>
        <v>20023</v>
      </c>
      <c r="D106" s="192">
        <v>37500</v>
      </c>
      <c r="E106" s="514">
        <v>31.6</v>
      </c>
      <c r="F106" s="515">
        <v>21</v>
      </c>
      <c r="G106" s="515">
        <v>52.6</v>
      </c>
      <c r="H106" s="515">
        <v>120.3</v>
      </c>
      <c r="I106" s="515">
        <v>53.7</v>
      </c>
      <c r="J106" s="515">
        <v>174</v>
      </c>
      <c r="K106" s="515">
        <f t="shared" si="23"/>
        <v>226.6</v>
      </c>
      <c r="L106" s="183">
        <f t="shared" si="24"/>
        <v>0.23212709620476613</v>
      </c>
    </row>
    <row r="107" spans="1:12" ht="15" x14ac:dyDescent="0.25">
      <c r="A107" s="210">
        <f t="shared" si="21"/>
        <v>2002</v>
      </c>
      <c r="B107" s="211" t="str">
        <f t="shared" si="22"/>
        <v>4</v>
      </c>
      <c r="C107" s="233">
        <f t="shared" si="25"/>
        <v>20024</v>
      </c>
      <c r="D107" s="192">
        <v>37591</v>
      </c>
      <c r="E107" s="512">
        <v>31</v>
      </c>
      <c r="F107" s="513">
        <v>26.2</v>
      </c>
      <c r="G107" s="513">
        <v>57.2</v>
      </c>
      <c r="H107" s="513">
        <v>132.69999999999999</v>
      </c>
      <c r="I107" s="513">
        <v>57.4</v>
      </c>
      <c r="J107" s="513">
        <v>190.1</v>
      </c>
      <c r="K107" s="513">
        <f t="shared" si="23"/>
        <v>247.3</v>
      </c>
      <c r="L107" s="18">
        <f t="shared" si="24"/>
        <v>0.23129801860088961</v>
      </c>
    </row>
    <row r="108" spans="1:12" ht="15" x14ac:dyDescent="0.25">
      <c r="A108" s="210">
        <f t="shared" si="21"/>
        <v>2003</v>
      </c>
      <c r="B108" s="211" t="str">
        <f t="shared" si="22"/>
        <v>1</v>
      </c>
      <c r="C108" s="233">
        <f t="shared" si="25"/>
        <v>20031</v>
      </c>
      <c r="D108" s="192">
        <v>37681</v>
      </c>
      <c r="E108" s="514">
        <v>12.1</v>
      </c>
      <c r="F108" s="515">
        <v>22.5</v>
      </c>
      <c r="G108" s="515">
        <v>34.700000000000003</v>
      </c>
      <c r="H108" s="515">
        <v>176.5</v>
      </c>
      <c r="I108" s="515">
        <v>56.9</v>
      </c>
      <c r="J108" s="515">
        <v>233.4</v>
      </c>
      <c r="K108" s="515">
        <f t="shared" si="23"/>
        <v>268.10000000000002</v>
      </c>
      <c r="L108" s="183">
        <f t="shared" si="24"/>
        <v>0.12942931741887356</v>
      </c>
    </row>
    <row r="109" spans="1:12" ht="15" x14ac:dyDescent="0.25">
      <c r="A109" s="210">
        <f t="shared" si="21"/>
        <v>2003</v>
      </c>
      <c r="B109" s="211" t="str">
        <f t="shared" si="22"/>
        <v>2</v>
      </c>
      <c r="C109" s="233">
        <f t="shared" si="25"/>
        <v>20032</v>
      </c>
      <c r="D109" s="192">
        <v>37773</v>
      </c>
      <c r="E109" s="512">
        <v>19.899999999999999</v>
      </c>
      <c r="F109" s="513">
        <v>23.7</v>
      </c>
      <c r="G109" s="513">
        <v>43.6</v>
      </c>
      <c r="H109" s="513">
        <v>135.1</v>
      </c>
      <c r="I109" s="513">
        <v>72.3</v>
      </c>
      <c r="J109" s="513">
        <v>207.3</v>
      </c>
      <c r="K109" s="513">
        <f t="shared" si="23"/>
        <v>250.9</v>
      </c>
      <c r="L109" s="18">
        <f t="shared" si="24"/>
        <v>0.17377441211638103</v>
      </c>
    </row>
    <row r="110" spans="1:12" ht="15" x14ac:dyDescent="0.25">
      <c r="A110" s="210">
        <f t="shared" si="21"/>
        <v>2003</v>
      </c>
      <c r="B110" s="211" t="str">
        <f t="shared" si="22"/>
        <v>3</v>
      </c>
      <c r="C110" s="233">
        <f t="shared" si="25"/>
        <v>20033</v>
      </c>
      <c r="D110" s="192">
        <v>37865</v>
      </c>
      <c r="E110" s="514">
        <v>12.4</v>
      </c>
      <c r="F110" s="515">
        <v>27.9</v>
      </c>
      <c r="G110" s="515">
        <v>40.4</v>
      </c>
      <c r="H110" s="515">
        <v>123.6</v>
      </c>
      <c r="I110" s="515">
        <v>78.5</v>
      </c>
      <c r="J110" s="515">
        <v>202.1</v>
      </c>
      <c r="K110" s="515">
        <f t="shared" si="23"/>
        <v>242.5</v>
      </c>
      <c r="L110" s="183">
        <f t="shared" si="24"/>
        <v>0.16659793814432988</v>
      </c>
    </row>
    <row r="111" spans="1:12" ht="15" x14ac:dyDescent="0.25">
      <c r="A111" s="210">
        <f t="shared" si="21"/>
        <v>2003</v>
      </c>
      <c r="B111" s="211" t="str">
        <f t="shared" si="22"/>
        <v>4</v>
      </c>
      <c r="C111" s="233">
        <f t="shared" si="25"/>
        <v>20034</v>
      </c>
      <c r="D111" s="192">
        <v>37956</v>
      </c>
      <c r="E111" s="512">
        <v>35.9</v>
      </c>
      <c r="F111" s="513">
        <v>30.2</v>
      </c>
      <c r="G111" s="513">
        <v>66</v>
      </c>
      <c r="H111" s="513">
        <v>94.9</v>
      </c>
      <c r="I111" s="513">
        <v>100.3</v>
      </c>
      <c r="J111" s="513">
        <v>195.2</v>
      </c>
      <c r="K111" s="513">
        <f t="shared" si="23"/>
        <v>261.2</v>
      </c>
      <c r="L111" s="18">
        <f t="shared" si="24"/>
        <v>0.25267993874425726</v>
      </c>
    </row>
    <row r="112" spans="1:12" ht="15" x14ac:dyDescent="0.25">
      <c r="A112" s="210">
        <f t="shared" si="21"/>
        <v>2004</v>
      </c>
      <c r="B112" s="211" t="str">
        <f t="shared" si="22"/>
        <v>1</v>
      </c>
      <c r="C112" s="233">
        <f t="shared" si="25"/>
        <v>20041</v>
      </c>
      <c r="D112" s="192">
        <v>38047</v>
      </c>
      <c r="E112" s="514">
        <v>37.5</v>
      </c>
      <c r="F112" s="515">
        <v>23.6</v>
      </c>
      <c r="G112" s="515">
        <v>61.1</v>
      </c>
      <c r="H112" s="515">
        <v>61.5</v>
      </c>
      <c r="I112" s="515">
        <v>50.1</v>
      </c>
      <c r="J112" s="515">
        <v>111.6</v>
      </c>
      <c r="K112" s="515">
        <f t="shared" si="23"/>
        <v>172.7</v>
      </c>
      <c r="L112" s="183">
        <f t="shared" si="24"/>
        <v>0.35379270411117547</v>
      </c>
    </row>
    <row r="113" spans="1:12" ht="15" x14ac:dyDescent="0.25">
      <c r="A113" s="210">
        <f t="shared" si="21"/>
        <v>2004</v>
      </c>
      <c r="B113" s="211" t="str">
        <f t="shared" si="22"/>
        <v>2</v>
      </c>
      <c r="C113" s="233">
        <f t="shared" si="25"/>
        <v>20042</v>
      </c>
      <c r="D113" s="192">
        <v>38139</v>
      </c>
      <c r="E113" s="512">
        <v>37.9</v>
      </c>
      <c r="F113" s="513">
        <v>22.5</v>
      </c>
      <c r="G113" s="513">
        <v>60.5</v>
      </c>
      <c r="H113" s="513"/>
      <c r="I113" s="513"/>
      <c r="J113" s="513">
        <v>202.3</v>
      </c>
      <c r="K113" s="513">
        <f t="shared" si="23"/>
        <v>262.8</v>
      </c>
      <c r="L113" s="18">
        <f t="shared" si="24"/>
        <v>0.2302130898021309</v>
      </c>
    </row>
    <row r="114" spans="1:12" ht="15" x14ac:dyDescent="0.25">
      <c r="A114" s="210">
        <f t="shared" si="21"/>
        <v>2004</v>
      </c>
      <c r="B114" s="211" t="str">
        <f t="shared" si="22"/>
        <v>3</v>
      </c>
      <c r="C114" s="233">
        <f t="shared" si="25"/>
        <v>20043</v>
      </c>
      <c r="D114" s="192">
        <v>38231</v>
      </c>
      <c r="E114" s="514">
        <v>40</v>
      </c>
      <c r="F114" s="515">
        <v>35.9</v>
      </c>
      <c r="G114" s="515">
        <v>75.900000000000006</v>
      </c>
      <c r="H114" s="515">
        <v>70</v>
      </c>
      <c r="I114" s="515">
        <v>76.599999999999994</v>
      </c>
      <c r="J114" s="515">
        <v>146.5</v>
      </c>
      <c r="K114" s="515">
        <f t="shared" si="23"/>
        <v>222.4</v>
      </c>
      <c r="L114" s="183">
        <f t="shared" si="24"/>
        <v>0.34127697841726623</v>
      </c>
    </row>
    <row r="115" spans="1:12" ht="15" x14ac:dyDescent="0.25">
      <c r="A115" s="210">
        <f t="shared" si="21"/>
        <v>2004</v>
      </c>
      <c r="B115" s="211" t="str">
        <f t="shared" si="22"/>
        <v>4</v>
      </c>
      <c r="C115" s="233">
        <f t="shared" si="25"/>
        <v>20044</v>
      </c>
      <c r="D115" s="192">
        <v>38322</v>
      </c>
      <c r="E115" s="512">
        <v>38.299999999999997</v>
      </c>
      <c r="F115" s="513">
        <v>23</v>
      </c>
      <c r="G115" s="513">
        <v>61.3</v>
      </c>
      <c r="H115" s="513">
        <v>140.6</v>
      </c>
      <c r="I115" s="513">
        <v>57.8</v>
      </c>
      <c r="J115" s="513">
        <v>198.4</v>
      </c>
      <c r="K115" s="513">
        <f t="shared" si="23"/>
        <v>259.7</v>
      </c>
      <c r="L115" s="18">
        <f t="shared" si="24"/>
        <v>0.23604158644589912</v>
      </c>
    </row>
    <row r="116" spans="1:12" ht="15" x14ac:dyDescent="0.25">
      <c r="A116" s="210">
        <f t="shared" si="21"/>
        <v>2005</v>
      </c>
      <c r="B116" s="211" t="str">
        <f t="shared" si="22"/>
        <v>1</v>
      </c>
      <c r="C116" s="233">
        <f t="shared" si="25"/>
        <v>20051</v>
      </c>
      <c r="D116" s="192">
        <v>38412</v>
      </c>
      <c r="E116" s="514">
        <v>40.4</v>
      </c>
      <c r="F116" s="515">
        <v>22.3</v>
      </c>
      <c r="G116" s="515">
        <v>62.7</v>
      </c>
      <c r="H116" s="515">
        <v>133.6</v>
      </c>
      <c r="I116" s="515">
        <v>84.4</v>
      </c>
      <c r="J116" s="515">
        <v>218</v>
      </c>
      <c r="K116" s="515">
        <f t="shared" si="23"/>
        <v>280.7</v>
      </c>
      <c r="L116" s="183">
        <f t="shared" si="24"/>
        <v>0.22337014606341291</v>
      </c>
    </row>
    <row r="117" spans="1:12" ht="15" x14ac:dyDescent="0.25">
      <c r="A117" s="210">
        <f t="shared" si="21"/>
        <v>2005</v>
      </c>
      <c r="B117" s="211" t="str">
        <f t="shared" si="22"/>
        <v>2</v>
      </c>
      <c r="C117" s="233">
        <f t="shared" si="25"/>
        <v>20052</v>
      </c>
      <c r="D117" s="192">
        <v>38504</v>
      </c>
      <c r="E117" s="512">
        <v>34.200000000000003</v>
      </c>
      <c r="F117" s="513">
        <v>37.4</v>
      </c>
      <c r="G117" s="513">
        <v>71.599999999999994</v>
      </c>
      <c r="H117" s="513">
        <v>158.69999999999999</v>
      </c>
      <c r="I117" s="513">
        <v>47.5</v>
      </c>
      <c r="J117" s="513">
        <v>206.3</v>
      </c>
      <c r="K117" s="513">
        <f t="shared" si="23"/>
        <v>277.89999999999998</v>
      </c>
      <c r="L117" s="18">
        <f t="shared" si="24"/>
        <v>0.25764663548038863</v>
      </c>
    </row>
    <row r="118" spans="1:12" ht="15" x14ac:dyDescent="0.25">
      <c r="A118" s="210">
        <f t="shared" si="21"/>
        <v>2005</v>
      </c>
      <c r="B118" s="211" t="str">
        <f t="shared" si="22"/>
        <v>3</v>
      </c>
      <c r="C118" s="233">
        <f t="shared" si="25"/>
        <v>20053</v>
      </c>
      <c r="D118" s="192">
        <v>38596</v>
      </c>
      <c r="E118" s="514">
        <v>51.2</v>
      </c>
      <c r="F118" s="515">
        <v>30.1</v>
      </c>
      <c r="G118" s="515">
        <v>81.3</v>
      </c>
      <c r="H118" s="515">
        <v>134.30000000000001</v>
      </c>
      <c r="I118" s="515">
        <v>83.4</v>
      </c>
      <c r="J118" s="515">
        <v>217.7</v>
      </c>
      <c r="K118" s="515">
        <f t="shared" si="23"/>
        <v>299</v>
      </c>
      <c r="L118" s="183">
        <f t="shared" si="24"/>
        <v>0.27190635451505013</v>
      </c>
    </row>
    <row r="119" spans="1:12" ht="15" x14ac:dyDescent="0.25">
      <c r="A119" s="210">
        <f t="shared" si="21"/>
        <v>2005</v>
      </c>
      <c r="B119" s="211" t="str">
        <f t="shared" si="22"/>
        <v>4</v>
      </c>
      <c r="C119" s="233">
        <f t="shared" si="25"/>
        <v>20054</v>
      </c>
      <c r="D119" s="192">
        <v>38687</v>
      </c>
      <c r="E119" s="512">
        <v>52.1</v>
      </c>
      <c r="F119" s="513">
        <v>29.5</v>
      </c>
      <c r="G119" s="513">
        <v>81.599999999999994</v>
      </c>
      <c r="H119" s="513">
        <v>125.4</v>
      </c>
      <c r="I119" s="513">
        <v>92.5</v>
      </c>
      <c r="J119" s="513">
        <v>217.9</v>
      </c>
      <c r="K119" s="513">
        <f t="shared" si="23"/>
        <v>299.5</v>
      </c>
      <c r="L119" s="18">
        <f t="shared" si="24"/>
        <v>0.27245409015025041</v>
      </c>
    </row>
    <row r="120" spans="1:12" ht="15" x14ac:dyDescent="0.25">
      <c r="A120" s="210">
        <f t="shared" si="21"/>
        <v>2006</v>
      </c>
      <c r="B120" s="211" t="str">
        <f t="shared" si="22"/>
        <v>1</v>
      </c>
      <c r="C120" s="233">
        <f t="shared" si="25"/>
        <v>20061</v>
      </c>
      <c r="D120" s="192">
        <v>38777</v>
      </c>
      <c r="E120" s="514">
        <v>60.3</v>
      </c>
      <c r="F120" s="515">
        <v>37.1</v>
      </c>
      <c r="G120" s="515">
        <v>97.4</v>
      </c>
      <c r="H120" s="515">
        <v>105</v>
      </c>
      <c r="I120" s="515">
        <v>85.2</v>
      </c>
      <c r="J120" s="515">
        <v>190.2</v>
      </c>
      <c r="K120" s="515">
        <f t="shared" si="23"/>
        <v>287.60000000000002</v>
      </c>
      <c r="L120" s="183">
        <f t="shared" si="24"/>
        <v>0.33866481223922112</v>
      </c>
    </row>
    <row r="121" spans="1:12" ht="15" x14ac:dyDescent="0.25">
      <c r="A121" s="210">
        <f t="shared" si="21"/>
        <v>2006</v>
      </c>
      <c r="B121" s="211" t="str">
        <f t="shared" si="22"/>
        <v>2</v>
      </c>
      <c r="C121" s="233">
        <f t="shared" si="25"/>
        <v>20062</v>
      </c>
      <c r="D121" s="192">
        <v>38869</v>
      </c>
      <c r="E121" s="512">
        <v>67.900000000000006</v>
      </c>
      <c r="F121" s="513">
        <v>29.7</v>
      </c>
      <c r="G121" s="513">
        <v>97.5</v>
      </c>
      <c r="H121" s="513">
        <v>125.5</v>
      </c>
      <c r="I121" s="513">
        <v>147.30000000000001</v>
      </c>
      <c r="J121" s="513">
        <v>272.8</v>
      </c>
      <c r="K121" s="513">
        <f t="shared" si="23"/>
        <v>370.3</v>
      </c>
      <c r="L121" s="18">
        <f t="shared" si="24"/>
        <v>0.26330002700513094</v>
      </c>
    </row>
    <row r="122" spans="1:12" ht="15" x14ac:dyDescent="0.25">
      <c r="A122" s="210">
        <f t="shared" si="21"/>
        <v>2006</v>
      </c>
      <c r="B122" s="211" t="str">
        <f t="shared" si="22"/>
        <v>3</v>
      </c>
      <c r="C122" s="233">
        <f t="shared" si="25"/>
        <v>20063</v>
      </c>
      <c r="D122" s="192">
        <v>38961</v>
      </c>
      <c r="E122" s="514">
        <v>62.8</v>
      </c>
      <c r="F122" s="515">
        <v>46.4</v>
      </c>
      <c r="G122" s="515">
        <v>109.2</v>
      </c>
      <c r="H122" s="515">
        <v>257</v>
      </c>
      <c r="I122" s="515">
        <v>153</v>
      </c>
      <c r="J122" s="515">
        <v>410.1</v>
      </c>
      <c r="K122" s="515">
        <f t="shared" si="23"/>
        <v>519.30000000000007</v>
      </c>
      <c r="L122" s="183">
        <f t="shared" si="24"/>
        <v>0.21028307336799534</v>
      </c>
    </row>
    <row r="123" spans="1:12" ht="15" x14ac:dyDescent="0.25">
      <c r="A123" s="210">
        <f t="shared" si="21"/>
        <v>2006</v>
      </c>
      <c r="B123" s="211" t="str">
        <f t="shared" si="22"/>
        <v>4</v>
      </c>
      <c r="C123" s="233">
        <f t="shared" si="25"/>
        <v>20064</v>
      </c>
      <c r="D123" s="192">
        <v>39052</v>
      </c>
      <c r="E123" s="512">
        <v>71.8</v>
      </c>
      <c r="F123" s="513">
        <v>48.4</v>
      </c>
      <c r="G123" s="513">
        <v>120.2</v>
      </c>
      <c r="H123" s="513">
        <v>255.6</v>
      </c>
      <c r="I123" s="513">
        <v>130.6</v>
      </c>
      <c r="J123" s="513">
        <v>386.2</v>
      </c>
      <c r="K123" s="513">
        <f t="shared" si="23"/>
        <v>506.4</v>
      </c>
      <c r="L123" s="18">
        <f t="shared" si="24"/>
        <v>0.2373617693522907</v>
      </c>
    </row>
    <row r="124" spans="1:12" ht="15" x14ac:dyDescent="0.25">
      <c r="A124" s="210">
        <f t="shared" si="21"/>
        <v>2007</v>
      </c>
      <c r="B124" s="211" t="str">
        <f t="shared" si="22"/>
        <v>1</v>
      </c>
      <c r="C124" s="233">
        <f t="shared" si="25"/>
        <v>20071</v>
      </c>
      <c r="D124" s="192">
        <v>39142</v>
      </c>
      <c r="E124" s="514">
        <v>84.9</v>
      </c>
      <c r="F124" s="515">
        <v>48.3</v>
      </c>
      <c r="G124" s="515">
        <v>133.19999999999999</v>
      </c>
      <c r="H124" s="515">
        <v>211.7</v>
      </c>
      <c r="I124" s="515">
        <v>141.69999999999999</v>
      </c>
      <c r="J124" s="515">
        <v>353.3</v>
      </c>
      <c r="K124" s="515">
        <f t="shared" si="23"/>
        <v>486.5</v>
      </c>
      <c r="L124" s="183">
        <f t="shared" si="24"/>
        <v>0.27379239465570399</v>
      </c>
    </row>
    <row r="125" spans="1:12" ht="15" x14ac:dyDescent="0.25">
      <c r="A125" s="210">
        <f t="shared" si="21"/>
        <v>2007</v>
      </c>
      <c r="B125" s="211" t="str">
        <f t="shared" si="22"/>
        <v>2</v>
      </c>
      <c r="C125" s="233">
        <f t="shared" si="25"/>
        <v>20072</v>
      </c>
      <c r="D125" s="192">
        <v>39234</v>
      </c>
      <c r="E125" s="512">
        <v>92.5</v>
      </c>
      <c r="F125" s="513">
        <v>44.8</v>
      </c>
      <c r="G125" s="513">
        <v>137.19999999999999</v>
      </c>
      <c r="H125" s="513">
        <v>386.2</v>
      </c>
      <c r="I125" s="513">
        <v>175.3</v>
      </c>
      <c r="J125" s="513">
        <v>561.4</v>
      </c>
      <c r="K125" s="513">
        <f t="shared" si="23"/>
        <v>698.59999999999991</v>
      </c>
      <c r="L125" s="18">
        <f t="shared" si="24"/>
        <v>0.19639278557114229</v>
      </c>
    </row>
    <row r="126" spans="1:12" ht="15" x14ac:dyDescent="0.25">
      <c r="A126" s="210">
        <f t="shared" si="21"/>
        <v>2007</v>
      </c>
      <c r="B126" s="211" t="str">
        <f t="shared" si="22"/>
        <v>3</v>
      </c>
      <c r="C126" s="233">
        <f t="shared" si="25"/>
        <v>20073</v>
      </c>
      <c r="D126" s="192">
        <v>39326</v>
      </c>
      <c r="E126" s="514">
        <v>88.9</v>
      </c>
      <c r="F126" s="515">
        <v>25.3</v>
      </c>
      <c r="G126" s="515">
        <v>114.1</v>
      </c>
      <c r="H126" s="515">
        <v>436.7</v>
      </c>
      <c r="I126" s="515">
        <v>192.2</v>
      </c>
      <c r="J126" s="515">
        <v>629</v>
      </c>
      <c r="K126" s="515">
        <f t="shared" si="23"/>
        <v>743.1</v>
      </c>
      <c r="L126" s="183">
        <f t="shared" si="24"/>
        <v>0.1535459561297268</v>
      </c>
    </row>
    <row r="127" spans="1:12" ht="15" x14ac:dyDescent="0.25">
      <c r="A127" s="210">
        <f t="shared" si="21"/>
        <v>2007</v>
      </c>
      <c r="B127" s="211" t="str">
        <f t="shared" si="22"/>
        <v>4</v>
      </c>
      <c r="C127" s="233">
        <f t="shared" si="25"/>
        <v>20074</v>
      </c>
      <c r="D127" s="192">
        <v>39417</v>
      </c>
      <c r="E127" s="512">
        <v>100</v>
      </c>
      <c r="F127" s="513">
        <v>33.200000000000003</v>
      </c>
      <c r="G127" s="513">
        <v>133.1</v>
      </c>
      <c r="H127" s="513">
        <v>404.6</v>
      </c>
      <c r="I127" s="513">
        <v>190.4</v>
      </c>
      <c r="J127" s="513">
        <v>595</v>
      </c>
      <c r="K127" s="513">
        <f t="shared" si="23"/>
        <v>728.1</v>
      </c>
      <c r="L127" s="18">
        <f t="shared" si="24"/>
        <v>0.18280455981321245</v>
      </c>
    </row>
    <row r="128" spans="1:12" ht="15" x14ac:dyDescent="0.25">
      <c r="A128" s="210">
        <f t="shared" si="21"/>
        <v>2008</v>
      </c>
      <c r="B128" s="211" t="str">
        <f t="shared" si="22"/>
        <v>1</v>
      </c>
      <c r="C128" s="233">
        <f t="shared" si="25"/>
        <v>20081</v>
      </c>
      <c r="D128" s="192">
        <v>39508</v>
      </c>
      <c r="E128" s="514">
        <v>79.599999999999994</v>
      </c>
      <c r="F128" s="515">
        <v>37.1</v>
      </c>
      <c r="G128" s="515">
        <v>116.7</v>
      </c>
      <c r="H128" s="515">
        <v>395.5</v>
      </c>
      <c r="I128" s="515">
        <v>235.1</v>
      </c>
      <c r="J128" s="515">
        <v>630.6</v>
      </c>
      <c r="K128" s="515">
        <f t="shared" si="23"/>
        <v>747.30000000000007</v>
      </c>
      <c r="L128" s="183">
        <f t="shared" si="24"/>
        <v>0.15616218386190284</v>
      </c>
    </row>
    <row r="129" spans="1:12" ht="15" x14ac:dyDescent="0.25">
      <c r="A129" s="210">
        <f t="shared" si="21"/>
        <v>2008</v>
      </c>
      <c r="B129" s="211" t="str">
        <f t="shared" si="22"/>
        <v>2</v>
      </c>
      <c r="C129" s="233">
        <f t="shared" si="25"/>
        <v>20082</v>
      </c>
      <c r="D129" s="192">
        <v>39600</v>
      </c>
      <c r="E129" s="512">
        <v>99.6</v>
      </c>
      <c r="F129" s="513">
        <v>26.8</v>
      </c>
      <c r="G129" s="513">
        <v>126.4</v>
      </c>
      <c r="H129" s="513">
        <v>498.3</v>
      </c>
      <c r="I129" s="513">
        <v>185.8</v>
      </c>
      <c r="J129" s="513">
        <v>684.1</v>
      </c>
      <c r="K129" s="513">
        <f t="shared" si="23"/>
        <v>810.5</v>
      </c>
      <c r="L129" s="18">
        <f t="shared" si="24"/>
        <v>0.15595311536088835</v>
      </c>
    </row>
    <row r="130" spans="1:12" ht="15" x14ac:dyDescent="0.25">
      <c r="A130" s="210">
        <f t="shared" si="21"/>
        <v>2008</v>
      </c>
      <c r="B130" s="211" t="str">
        <f t="shared" si="22"/>
        <v>3</v>
      </c>
      <c r="C130" s="233">
        <f t="shared" si="25"/>
        <v>20083</v>
      </c>
      <c r="D130" s="192">
        <v>39692</v>
      </c>
      <c r="E130" s="514">
        <v>83.9</v>
      </c>
      <c r="F130" s="515">
        <v>37.299999999999997</v>
      </c>
      <c r="G130" s="515">
        <v>121.2</v>
      </c>
      <c r="H130" s="515">
        <v>498.9</v>
      </c>
      <c r="I130" s="515">
        <v>207.7</v>
      </c>
      <c r="J130" s="515">
        <v>706.6</v>
      </c>
      <c r="K130" s="515">
        <f t="shared" si="23"/>
        <v>827.80000000000007</v>
      </c>
      <c r="L130" s="183">
        <f t="shared" si="24"/>
        <v>0.14641217685431263</v>
      </c>
    </row>
    <row r="131" spans="1:12" ht="15" x14ac:dyDescent="0.25">
      <c r="A131" s="210">
        <f t="shared" si="21"/>
        <v>2008</v>
      </c>
      <c r="B131" s="211" t="str">
        <f t="shared" si="22"/>
        <v>4</v>
      </c>
      <c r="C131" s="233">
        <f t="shared" si="25"/>
        <v>20084</v>
      </c>
      <c r="D131" s="192">
        <v>39783</v>
      </c>
      <c r="E131" s="512">
        <v>73.599999999999994</v>
      </c>
      <c r="F131" s="513">
        <v>39.1</v>
      </c>
      <c r="G131" s="513">
        <v>112.7</v>
      </c>
      <c r="H131" s="513">
        <v>538.29999999999995</v>
      </c>
      <c r="I131" s="513">
        <v>319.89999999999998</v>
      </c>
      <c r="J131" s="513">
        <v>858.2</v>
      </c>
      <c r="K131" s="513">
        <f t="shared" si="23"/>
        <v>970.90000000000009</v>
      </c>
      <c r="L131" s="18">
        <f t="shared" si="24"/>
        <v>0.11607786589762076</v>
      </c>
    </row>
    <row r="132" spans="1:12" ht="15" x14ac:dyDescent="0.25">
      <c r="A132" s="210">
        <f t="shared" si="21"/>
        <v>2009</v>
      </c>
      <c r="B132" s="211" t="str">
        <f t="shared" si="22"/>
        <v>1</v>
      </c>
      <c r="C132" s="233">
        <f t="shared" si="25"/>
        <v>20091</v>
      </c>
      <c r="D132" s="192">
        <v>39873</v>
      </c>
      <c r="E132" s="514">
        <v>68.099999999999994</v>
      </c>
      <c r="F132" s="515">
        <v>38.9</v>
      </c>
      <c r="G132" s="515">
        <v>107</v>
      </c>
      <c r="H132" s="515">
        <v>631.5</v>
      </c>
      <c r="I132" s="515">
        <v>311.5</v>
      </c>
      <c r="J132" s="515">
        <v>943</v>
      </c>
      <c r="K132" s="515">
        <f t="shared" si="23"/>
        <v>1050</v>
      </c>
      <c r="L132" s="183">
        <f t="shared" si="24"/>
        <v>0.1019047619047619</v>
      </c>
    </row>
    <row r="133" spans="1:12" ht="15" x14ac:dyDescent="0.25">
      <c r="A133" s="210">
        <f t="shared" si="21"/>
        <v>2009</v>
      </c>
      <c r="B133" s="211" t="str">
        <f t="shared" si="22"/>
        <v>2</v>
      </c>
      <c r="C133" s="233">
        <f t="shared" si="25"/>
        <v>20092</v>
      </c>
      <c r="D133" s="192">
        <v>39965</v>
      </c>
      <c r="E133" s="512">
        <v>90.6</v>
      </c>
      <c r="F133" s="513">
        <v>60.6</v>
      </c>
      <c r="G133" s="513">
        <v>151.19999999999999</v>
      </c>
      <c r="H133" s="513">
        <v>499.9</v>
      </c>
      <c r="I133" s="513">
        <v>307.10000000000002</v>
      </c>
      <c r="J133" s="513">
        <v>807</v>
      </c>
      <c r="K133" s="513">
        <f t="shared" si="23"/>
        <v>958.2</v>
      </c>
      <c r="L133" s="18">
        <f t="shared" si="24"/>
        <v>0.15779586725109579</v>
      </c>
    </row>
    <row r="134" spans="1:12" ht="15" x14ac:dyDescent="0.25">
      <c r="A134" s="210">
        <f t="shared" si="21"/>
        <v>2009</v>
      </c>
      <c r="B134" s="211" t="str">
        <f t="shared" si="22"/>
        <v>3</v>
      </c>
      <c r="C134" s="233">
        <f t="shared" si="25"/>
        <v>20093</v>
      </c>
      <c r="D134" s="192">
        <v>40057</v>
      </c>
      <c r="E134" s="514">
        <v>115.9</v>
      </c>
      <c r="F134" s="515">
        <v>31.8</v>
      </c>
      <c r="G134" s="515">
        <v>147.80000000000001</v>
      </c>
      <c r="H134" s="515">
        <v>478.5</v>
      </c>
      <c r="I134" s="515">
        <v>216.7</v>
      </c>
      <c r="J134" s="515">
        <v>695.3</v>
      </c>
      <c r="K134" s="515">
        <f t="shared" si="23"/>
        <v>843.09999999999991</v>
      </c>
      <c r="L134" s="183">
        <f t="shared" si="24"/>
        <v>0.1753054204720674</v>
      </c>
    </row>
    <row r="135" spans="1:12" ht="15" x14ac:dyDescent="0.25">
      <c r="A135" s="210">
        <f t="shared" si="21"/>
        <v>2009</v>
      </c>
      <c r="B135" s="211" t="str">
        <f t="shared" si="22"/>
        <v>4</v>
      </c>
      <c r="C135" s="233">
        <f t="shared" si="25"/>
        <v>20094</v>
      </c>
      <c r="D135" s="192">
        <v>40148</v>
      </c>
      <c r="E135" s="512">
        <v>131.1</v>
      </c>
      <c r="F135" s="513">
        <v>49</v>
      </c>
      <c r="G135" s="513">
        <v>180.2</v>
      </c>
      <c r="H135" s="513">
        <v>483.9</v>
      </c>
      <c r="I135" s="513">
        <v>129.4</v>
      </c>
      <c r="J135" s="513">
        <v>613.4</v>
      </c>
      <c r="K135" s="513">
        <f t="shared" si="23"/>
        <v>793.59999999999991</v>
      </c>
      <c r="L135" s="18">
        <f t="shared" si="24"/>
        <v>0.22706653225806453</v>
      </c>
    </row>
    <row r="136" spans="1:12" ht="15" x14ac:dyDescent="0.25">
      <c r="A136" s="210">
        <f t="shared" si="21"/>
        <v>2010</v>
      </c>
      <c r="B136" s="211" t="str">
        <f t="shared" si="22"/>
        <v>1</v>
      </c>
      <c r="C136" s="233">
        <f t="shared" si="25"/>
        <v>20101</v>
      </c>
      <c r="D136" s="192">
        <v>40238</v>
      </c>
      <c r="E136" s="514">
        <v>162.30000000000001</v>
      </c>
      <c r="F136" s="515">
        <v>53.6</v>
      </c>
      <c r="G136" s="515">
        <v>215.8</v>
      </c>
      <c r="H136" s="515">
        <v>574.6</v>
      </c>
      <c r="I136" s="515">
        <v>118.5</v>
      </c>
      <c r="J136" s="515">
        <v>693.2</v>
      </c>
      <c r="K136" s="515">
        <f t="shared" si="23"/>
        <v>909</v>
      </c>
      <c r="L136" s="183">
        <f t="shared" si="24"/>
        <v>0.23740374037403741</v>
      </c>
    </row>
    <row r="137" spans="1:12" ht="15" x14ac:dyDescent="0.25">
      <c r="A137" s="210">
        <f t="shared" ref="A137:A176" si="26">YEAR(D137)</f>
        <v>2010</v>
      </c>
      <c r="B137" s="211" t="str">
        <f t="shared" ref="B137:B176" si="27">IF(MONTH(D137)&lt;4,"1",IF(MONTH(D137)&lt;7,"2",IF(MONTH(D137)&lt;10,"3","4")))</f>
        <v>2</v>
      </c>
      <c r="C137" s="233">
        <f t="shared" si="25"/>
        <v>20102</v>
      </c>
      <c r="D137" s="192">
        <v>40330</v>
      </c>
      <c r="E137" s="512">
        <v>162.4</v>
      </c>
      <c r="F137" s="513">
        <v>50.3</v>
      </c>
      <c r="G137" s="513">
        <v>212.7</v>
      </c>
      <c r="H137" s="513">
        <v>629.6</v>
      </c>
      <c r="I137" s="513">
        <v>111.2</v>
      </c>
      <c r="J137" s="513">
        <v>740.8</v>
      </c>
      <c r="K137" s="513">
        <f t="shared" ref="K137:K199" si="28">SUM(J137,G137)</f>
        <v>953.5</v>
      </c>
      <c r="L137" s="18">
        <f t="shared" ref="L137:L199" si="29">G137/K137</f>
        <v>0.22307288935500785</v>
      </c>
    </row>
    <row r="138" spans="1:12" ht="15" x14ac:dyDescent="0.25">
      <c r="A138" s="210">
        <f t="shared" si="26"/>
        <v>2010</v>
      </c>
      <c r="B138" s="211" t="str">
        <f t="shared" si="27"/>
        <v>3</v>
      </c>
      <c r="C138" s="233">
        <f t="shared" ref="C138:C201" si="30">_xlfn.NUMBERVALUE(CONCATENATE(A138,B138))</f>
        <v>20103</v>
      </c>
      <c r="D138" s="192">
        <v>40422</v>
      </c>
      <c r="E138" s="514">
        <v>171.7</v>
      </c>
      <c r="F138" s="515">
        <v>35.299999999999997</v>
      </c>
      <c r="G138" s="515">
        <v>207.1</v>
      </c>
      <c r="H138" s="515">
        <v>578.70000000000005</v>
      </c>
      <c r="I138" s="515">
        <v>104.5</v>
      </c>
      <c r="J138" s="515">
        <v>683.2</v>
      </c>
      <c r="K138" s="515">
        <f t="shared" si="28"/>
        <v>890.30000000000007</v>
      </c>
      <c r="L138" s="183">
        <f t="shared" si="29"/>
        <v>0.23261821857800738</v>
      </c>
    </row>
    <row r="139" spans="1:12" ht="15" x14ac:dyDescent="0.25">
      <c r="A139" s="210">
        <f t="shared" si="26"/>
        <v>2010</v>
      </c>
      <c r="B139" s="211" t="str">
        <f t="shared" si="27"/>
        <v>4</v>
      </c>
      <c r="C139" s="233">
        <f t="shared" si="30"/>
        <v>20104</v>
      </c>
      <c r="D139" s="192">
        <v>40513</v>
      </c>
      <c r="E139" s="512">
        <v>150.80000000000001</v>
      </c>
      <c r="F139" s="513">
        <v>26.2</v>
      </c>
      <c r="G139" s="513">
        <v>177</v>
      </c>
      <c r="H139" s="513">
        <v>525.79999999999995</v>
      </c>
      <c r="I139" s="513">
        <v>110.7</v>
      </c>
      <c r="J139" s="513">
        <v>636.6</v>
      </c>
      <c r="K139" s="513">
        <f t="shared" si="28"/>
        <v>813.6</v>
      </c>
      <c r="L139" s="18">
        <f t="shared" si="29"/>
        <v>0.21755162241887904</v>
      </c>
    </row>
    <row r="140" spans="1:12" ht="15" x14ac:dyDescent="0.25">
      <c r="A140" s="210">
        <f t="shared" si="26"/>
        <v>2011</v>
      </c>
      <c r="B140" s="211" t="str">
        <f t="shared" si="27"/>
        <v>1</v>
      </c>
      <c r="C140" s="233">
        <f t="shared" si="30"/>
        <v>20111</v>
      </c>
      <c r="D140" s="192">
        <v>40603</v>
      </c>
      <c r="E140" s="514">
        <v>153.1</v>
      </c>
      <c r="F140" s="515">
        <v>28.1</v>
      </c>
      <c r="G140" s="515">
        <v>181.2</v>
      </c>
      <c r="H140" s="515">
        <v>527.79999999999995</v>
      </c>
      <c r="I140" s="515">
        <v>99.7</v>
      </c>
      <c r="J140" s="515">
        <v>627.5</v>
      </c>
      <c r="K140" s="515">
        <f t="shared" si="28"/>
        <v>808.7</v>
      </c>
      <c r="L140" s="183">
        <f t="shared" si="29"/>
        <v>0.22406331148757261</v>
      </c>
    </row>
    <row r="141" spans="1:12" ht="15" x14ac:dyDescent="0.25">
      <c r="A141" s="210">
        <f t="shared" si="26"/>
        <v>2011</v>
      </c>
      <c r="B141" s="211" t="str">
        <f t="shared" si="27"/>
        <v>2</v>
      </c>
      <c r="C141" s="233">
        <f t="shared" si="30"/>
        <v>20112</v>
      </c>
      <c r="D141" s="192">
        <v>40695</v>
      </c>
      <c r="E141" s="512">
        <v>148.69999999999999</v>
      </c>
      <c r="F141" s="513">
        <v>44.7</v>
      </c>
      <c r="G141" s="513">
        <v>193.3</v>
      </c>
      <c r="H141" s="513">
        <v>497.3</v>
      </c>
      <c r="I141" s="513">
        <v>121.5</v>
      </c>
      <c r="J141" s="513">
        <v>618.79999999999995</v>
      </c>
      <c r="K141" s="513">
        <f t="shared" si="28"/>
        <v>812.09999999999991</v>
      </c>
      <c r="L141" s="18">
        <f t="shared" si="29"/>
        <v>0.23802487378401679</v>
      </c>
    </row>
    <row r="142" spans="1:12" ht="15" x14ac:dyDescent="0.25">
      <c r="A142" s="210">
        <f t="shared" si="26"/>
        <v>2011</v>
      </c>
      <c r="B142" s="211" t="str">
        <f t="shared" si="27"/>
        <v>3</v>
      </c>
      <c r="C142" s="233">
        <f t="shared" si="30"/>
        <v>20113</v>
      </c>
      <c r="D142" s="192">
        <v>40787</v>
      </c>
      <c r="E142" s="514">
        <v>179.2</v>
      </c>
      <c r="F142" s="515">
        <v>64.8</v>
      </c>
      <c r="G142" s="515">
        <v>244</v>
      </c>
      <c r="H142" s="515">
        <v>429</v>
      </c>
      <c r="I142" s="515">
        <v>139.1</v>
      </c>
      <c r="J142" s="515">
        <v>568.1</v>
      </c>
      <c r="K142" s="515">
        <f t="shared" si="28"/>
        <v>812.1</v>
      </c>
      <c r="L142" s="183">
        <f t="shared" si="29"/>
        <v>0.30045560891515821</v>
      </c>
    </row>
    <row r="143" spans="1:12" ht="15" x14ac:dyDescent="0.25">
      <c r="A143" s="210">
        <f t="shared" si="26"/>
        <v>2011</v>
      </c>
      <c r="B143" s="211" t="str">
        <f t="shared" si="27"/>
        <v>4</v>
      </c>
      <c r="C143" s="233">
        <f t="shared" si="30"/>
        <v>20114</v>
      </c>
      <c r="D143" s="192">
        <v>40878</v>
      </c>
      <c r="E143" s="512">
        <v>168</v>
      </c>
      <c r="F143" s="513">
        <v>73.599999999999994</v>
      </c>
      <c r="G143" s="513">
        <v>241.6</v>
      </c>
      <c r="H143" s="513">
        <v>457.3</v>
      </c>
      <c r="I143" s="513">
        <v>153.30000000000001</v>
      </c>
      <c r="J143" s="513">
        <v>610.6</v>
      </c>
      <c r="K143" s="513">
        <f t="shared" si="28"/>
        <v>852.2</v>
      </c>
      <c r="L143" s="18">
        <f t="shared" si="29"/>
        <v>0.28350152546350621</v>
      </c>
    </row>
    <row r="144" spans="1:12" ht="15" x14ac:dyDescent="0.25">
      <c r="A144" s="210">
        <f t="shared" si="26"/>
        <v>2012</v>
      </c>
      <c r="B144" s="211" t="str">
        <f t="shared" si="27"/>
        <v>1</v>
      </c>
      <c r="C144" s="233">
        <f t="shared" si="30"/>
        <v>20121</v>
      </c>
      <c r="D144" s="192">
        <v>40969</v>
      </c>
      <c r="E144" s="514">
        <v>136.5</v>
      </c>
      <c r="F144" s="515">
        <v>50.4</v>
      </c>
      <c r="G144" s="515">
        <v>186.9</v>
      </c>
      <c r="H144" s="515">
        <v>277.10000000000002</v>
      </c>
      <c r="I144" s="515">
        <v>165.1</v>
      </c>
      <c r="J144" s="515">
        <v>442.2</v>
      </c>
      <c r="K144" s="515">
        <f t="shared" si="28"/>
        <v>629.1</v>
      </c>
      <c r="L144" s="183">
        <f t="shared" si="29"/>
        <v>0.29709108249880783</v>
      </c>
    </row>
    <row r="145" spans="1:12" ht="15" x14ac:dyDescent="0.25">
      <c r="A145" s="210">
        <f t="shared" si="26"/>
        <v>2012</v>
      </c>
      <c r="B145" s="211" t="str">
        <f t="shared" si="27"/>
        <v>2</v>
      </c>
      <c r="C145" s="233">
        <f t="shared" si="30"/>
        <v>20122</v>
      </c>
      <c r="D145" s="192">
        <v>41061</v>
      </c>
      <c r="E145" s="512">
        <v>145</v>
      </c>
      <c r="F145" s="513">
        <v>97.3</v>
      </c>
      <c r="G145" s="513">
        <v>242.3</v>
      </c>
      <c r="H145" s="513">
        <v>493.1</v>
      </c>
      <c r="I145" s="513">
        <v>162.9</v>
      </c>
      <c r="J145" s="513">
        <v>656.1</v>
      </c>
      <c r="K145" s="513">
        <f t="shared" si="28"/>
        <v>898.40000000000009</v>
      </c>
      <c r="L145" s="18">
        <f t="shared" si="29"/>
        <v>0.26970169189670523</v>
      </c>
    </row>
    <row r="146" spans="1:12" ht="15" x14ac:dyDescent="0.25">
      <c r="A146" s="210">
        <f t="shared" si="26"/>
        <v>2012</v>
      </c>
      <c r="B146" s="211" t="str">
        <f t="shared" si="27"/>
        <v>3</v>
      </c>
      <c r="C146" s="233">
        <f t="shared" si="30"/>
        <v>20123</v>
      </c>
      <c r="D146" s="192">
        <v>41153</v>
      </c>
      <c r="E146" s="514">
        <v>165</v>
      </c>
      <c r="F146" s="515">
        <v>105.2</v>
      </c>
      <c r="G146" s="515">
        <v>270.2</v>
      </c>
      <c r="H146" s="515">
        <v>623.79999999999995</v>
      </c>
      <c r="I146" s="515">
        <v>222</v>
      </c>
      <c r="J146" s="515">
        <v>845.8</v>
      </c>
      <c r="K146" s="515">
        <f t="shared" si="28"/>
        <v>1116</v>
      </c>
      <c r="L146" s="183">
        <f t="shared" si="29"/>
        <v>0.24211469534050178</v>
      </c>
    </row>
    <row r="147" spans="1:12" ht="15" x14ac:dyDescent="0.25">
      <c r="A147" s="210">
        <f t="shared" si="26"/>
        <v>2012</v>
      </c>
      <c r="B147" s="211" t="str">
        <f t="shared" si="27"/>
        <v>4</v>
      </c>
      <c r="C147" s="233">
        <f t="shared" si="30"/>
        <v>20124</v>
      </c>
      <c r="D147" s="192">
        <v>41244</v>
      </c>
      <c r="E147" s="512">
        <v>212.3</v>
      </c>
      <c r="F147" s="513">
        <v>93.1</v>
      </c>
      <c r="G147" s="513">
        <v>305.39999999999998</v>
      </c>
      <c r="H147" s="513">
        <v>775.7</v>
      </c>
      <c r="I147" s="513">
        <v>243.6</v>
      </c>
      <c r="J147" s="513">
        <v>1019.3</v>
      </c>
      <c r="K147" s="513">
        <f t="shared" si="28"/>
        <v>1324.6999999999998</v>
      </c>
      <c r="L147" s="18">
        <f t="shared" si="29"/>
        <v>0.23054276439948668</v>
      </c>
    </row>
    <row r="148" spans="1:12" ht="15" x14ac:dyDescent="0.25">
      <c r="A148" s="210">
        <f t="shared" si="26"/>
        <v>2013</v>
      </c>
      <c r="B148" s="211" t="str">
        <f t="shared" si="27"/>
        <v>1</v>
      </c>
      <c r="C148" s="233">
        <f t="shared" si="30"/>
        <v>20131</v>
      </c>
      <c r="D148" s="192">
        <v>41334</v>
      </c>
      <c r="E148" s="514">
        <v>219.4</v>
      </c>
      <c r="F148" s="515">
        <v>97.9</v>
      </c>
      <c r="G148" s="515">
        <v>317.3</v>
      </c>
      <c r="H148" s="515">
        <v>571.4</v>
      </c>
      <c r="I148" s="515">
        <v>170.3</v>
      </c>
      <c r="J148" s="515">
        <v>741.7</v>
      </c>
      <c r="K148" s="515">
        <f t="shared" si="28"/>
        <v>1059</v>
      </c>
      <c r="L148" s="183">
        <f t="shared" si="29"/>
        <v>0.29962228517469314</v>
      </c>
    </row>
    <row r="149" spans="1:12" ht="15" x14ac:dyDescent="0.25">
      <c r="A149" s="210">
        <f t="shared" si="26"/>
        <v>2013</v>
      </c>
      <c r="B149" s="211" t="str">
        <f t="shared" si="27"/>
        <v>2</v>
      </c>
      <c r="C149" s="233">
        <f t="shared" si="30"/>
        <v>20132</v>
      </c>
      <c r="D149" s="192">
        <v>41426</v>
      </c>
      <c r="E149" s="512">
        <v>347.1</v>
      </c>
      <c r="F149" s="513">
        <v>124.8</v>
      </c>
      <c r="G149" s="513">
        <v>471.9</v>
      </c>
      <c r="H149" s="513">
        <v>659</v>
      </c>
      <c r="I149" s="513">
        <v>159.80000000000001</v>
      </c>
      <c r="J149" s="513">
        <v>818.8</v>
      </c>
      <c r="K149" s="513">
        <f t="shared" si="28"/>
        <v>1290.6999999999998</v>
      </c>
      <c r="L149" s="18">
        <f t="shared" si="29"/>
        <v>0.36561555744944607</v>
      </c>
    </row>
    <row r="150" spans="1:12" ht="15" x14ac:dyDescent="0.25">
      <c r="A150" s="210">
        <f t="shared" si="26"/>
        <v>2013</v>
      </c>
      <c r="B150" s="211" t="str">
        <f t="shared" si="27"/>
        <v>3</v>
      </c>
      <c r="C150" s="233">
        <f t="shared" si="30"/>
        <v>20133</v>
      </c>
      <c r="D150" s="192">
        <v>41518</v>
      </c>
      <c r="E150" s="514">
        <v>201</v>
      </c>
      <c r="F150" s="515">
        <v>101.1</v>
      </c>
      <c r="G150" s="515">
        <v>302.10000000000002</v>
      </c>
      <c r="H150" s="515">
        <v>698.4</v>
      </c>
      <c r="I150" s="515">
        <v>134.30000000000001</v>
      </c>
      <c r="J150" s="515">
        <v>832.8</v>
      </c>
      <c r="K150" s="515">
        <f t="shared" si="28"/>
        <v>1134.9000000000001</v>
      </c>
      <c r="L150" s="183">
        <f t="shared" si="29"/>
        <v>0.2661908538197198</v>
      </c>
    </row>
    <row r="151" spans="1:12" ht="15" x14ac:dyDescent="0.25">
      <c r="A151" s="210">
        <f t="shared" si="26"/>
        <v>2013</v>
      </c>
      <c r="B151" s="211" t="str">
        <f t="shared" si="27"/>
        <v>4</v>
      </c>
      <c r="C151" s="233">
        <f t="shared" si="30"/>
        <v>20134</v>
      </c>
      <c r="D151" s="192">
        <v>41609</v>
      </c>
      <c r="E151" s="512">
        <v>164.2</v>
      </c>
      <c r="F151" s="513">
        <v>96.9</v>
      </c>
      <c r="G151" s="513">
        <v>261.10000000000002</v>
      </c>
      <c r="H151" s="513">
        <v>628</v>
      </c>
      <c r="I151" s="513">
        <v>157.4</v>
      </c>
      <c r="J151" s="513">
        <v>785.4</v>
      </c>
      <c r="K151" s="513">
        <f t="shared" si="28"/>
        <v>1046.5</v>
      </c>
      <c r="L151" s="18">
        <f t="shared" si="29"/>
        <v>0.24949832775919734</v>
      </c>
    </row>
    <row r="152" spans="1:12" ht="15" x14ac:dyDescent="0.25">
      <c r="A152" s="210">
        <f t="shared" si="26"/>
        <v>2014</v>
      </c>
      <c r="B152" s="211" t="str">
        <f t="shared" si="27"/>
        <v>1</v>
      </c>
      <c r="C152" s="233">
        <f t="shared" si="30"/>
        <v>20141</v>
      </c>
      <c r="D152" s="192">
        <v>41699</v>
      </c>
      <c r="E152" s="514">
        <v>183.8</v>
      </c>
      <c r="F152" s="515">
        <v>117.6</v>
      </c>
      <c r="G152" s="515">
        <v>301.39999999999998</v>
      </c>
      <c r="H152" s="515">
        <v>606.5</v>
      </c>
      <c r="I152" s="515">
        <v>206.9</v>
      </c>
      <c r="J152" s="515">
        <v>813.4</v>
      </c>
      <c r="K152" s="515">
        <f t="shared" si="28"/>
        <v>1114.8</v>
      </c>
      <c r="L152" s="183">
        <f t="shared" si="29"/>
        <v>0.27036239684248292</v>
      </c>
    </row>
    <row r="153" spans="1:12" ht="15" x14ac:dyDescent="0.25">
      <c r="A153" s="210">
        <f t="shared" si="26"/>
        <v>2014</v>
      </c>
      <c r="B153" s="211" t="str">
        <f t="shared" si="27"/>
        <v>2</v>
      </c>
      <c r="C153" s="233">
        <f t="shared" si="30"/>
        <v>20142</v>
      </c>
      <c r="D153" s="192">
        <v>41791</v>
      </c>
      <c r="E153" s="512">
        <v>171.2</v>
      </c>
      <c r="F153" s="513">
        <v>280.39999999999998</v>
      </c>
      <c r="G153" s="513">
        <v>451.6</v>
      </c>
      <c r="H153" s="513">
        <v>853</v>
      </c>
      <c r="I153" s="513">
        <v>238.5</v>
      </c>
      <c r="J153" s="513">
        <v>1091.5</v>
      </c>
      <c r="K153" s="513">
        <f t="shared" si="28"/>
        <v>1543.1</v>
      </c>
      <c r="L153" s="18">
        <f t="shared" si="29"/>
        <v>0.29265763722377036</v>
      </c>
    </row>
    <row r="154" spans="1:12" ht="15" x14ac:dyDescent="0.25">
      <c r="A154" s="210">
        <f t="shared" si="26"/>
        <v>2014</v>
      </c>
      <c r="B154" s="211" t="str">
        <f t="shared" si="27"/>
        <v>3</v>
      </c>
      <c r="C154" s="233">
        <f t="shared" si="30"/>
        <v>20143</v>
      </c>
      <c r="D154" s="192">
        <v>41883</v>
      </c>
      <c r="E154" s="514">
        <v>172.8</v>
      </c>
      <c r="F154" s="515">
        <v>125.1</v>
      </c>
      <c r="G154" s="515">
        <v>298</v>
      </c>
      <c r="H154" s="515">
        <v>563</v>
      </c>
      <c r="I154" s="515">
        <v>119.8</v>
      </c>
      <c r="J154" s="515">
        <v>682.8</v>
      </c>
      <c r="K154" s="515">
        <f t="shared" si="28"/>
        <v>980.8</v>
      </c>
      <c r="L154" s="183">
        <f t="shared" si="29"/>
        <v>0.3038336052202284</v>
      </c>
    </row>
    <row r="155" spans="1:12" ht="15" x14ac:dyDescent="0.25">
      <c r="A155" s="210">
        <f t="shared" si="26"/>
        <v>2014</v>
      </c>
      <c r="B155" s="211" t="str">
        <f t="shared" si="27"/>
        <v>4</v>
      </c>
      <c r="C155" s="233">
        <f t="shared" si="30"/>
        <v>20144</v>
      </c>
      <c r="D155" s="192">
        <v>41974</v>
      </c>
      <c r="E155" s="512">
        <v>236.8</v>
      </c>
      <c r="F155" s="513">
        <v>139.80000000000001</v>
      </c>
      <c r="G155" s="513">
        <v>376.5</v>
      </c>
      <c r="H155" s="513">
        <v>595.5</v>
      </c>
      <c r="I155" s="513">
        <v>129.6</v>
      </c>
      <c r="J155" s="513">
        <v>725.1</v>
      </c>
      <c r="K155" s="513">
        <f t="shared" si="28"/>
        <v>1101.5999999999999</v>
      </c>
      <c r="L155" s="18">
        <f t="shared" si="29"/>
        <v>0.34177559912854033</v>
      </c>
    </row>
    <row r="156" spans="1:12" ht="15" x14ac:dyDescent="0.25">
      <c r="A156" s="210">
        <f t="shared" si="26"/>
        <v>2015</v>
      </c>
      <c r="B156" s="211" t="str">
        <f t="shared" si="27"/>
        <v>1</v>
      </c>
      <c r="C156" s="233">
        <f t="shared" si="30"/>
        <v>20151</v>
      </c>
      <c r="D156" s="192">
        <v>42064</v>
      </c>
      <c r="E156" s="514">
        <v>178.4</v>
      </c>
      <c r="F156" s="515">
        <v>124.2</v>
      </c>
      <c r="G156" s="515">
        <v>302.60000000000002</v>
      </c>
      <c r="H156" s="515">
        <v>511.2</v>
      </c>
      <c r="I156" s="515">
        <v>185.2</v>
      </c>
      <c r="J156" s="515">
        <v>696.4</v>
      </c>
      <c r="K156" s="515">
        <f t="shared" si="28"/>
        <v>999</v>
      </c>
      <c r="L156" s="183">
        <f t="shared" si="29"/>
        <v>0.30290290290290295</v>
      </c>
    </row>
    <row r="157" spans="1:12" ht="15" x14ac:dyDescent="0.25">
      <c r="A157" s="210">
        <f t="shared" si="26"/>
        <v>2015</v>
      </c>
      <c r="B157" s="211" t="str">
        <f t="shared" si="27"/>
        <v>2</v>
      </c>
      <c r="C157" s="233">
        <f t="shared" si="30"/>
        <v>20152</v>
      </c>
      <c r="D157" s="192">
        <v>42156</v>
      </c>
      <c r="E157" s="512">
        <v>173.6</v>
      </c>
      <c r="F157" s="513">
        <v>89.5</v>
      </c>
      <c r="G157" s="513">
        <v>263.10000000000002</v>
      </c>
      <c r="H157" s="513">
        <v>294.5</v>
      </c>
      <c r="I157" s="513">
        <v>148</v>
      </c>
      <c r="J157" s="513">
        <v>442.4</v>
      </c>
      <c r="K157" s="513">
        <f t="shared" si="28"/>
        <v>705.5</v>
      </c>
      <c r="L157" s="18">
        <f t="shared" si="29"/>
        <v>0.37292700212615171</v>
      </c>
    </row>
    <row r="158" spans="1:12" ht="15" x14ac:dyDescent="0.25">
      <c r="A158" s="210">
        <f t="shared" si="26"/>
        <v>2015</v>
      </c>
      <c r="B158" s="211" t="str">
        <f t="shared" si="27"/>
        <v>3</v>
      </c>
      <c r="C158" s="233">
        <f t="shared" si="30"/>
        <v>20153</v>
      </c>
      <c r="D158" s="192">
        <v>42248</v>
      </c>
      <c r="E158" s="514">
        <v>110.8</v>
      </c>
      <c r="F158" s="515">
        <v>89.3</v>
      </c>
      <c r="G158" s="515">
        <v>200.1</v>
      </c>
      <c r="H158" s="515">
        <v>249.7</v>
      </c>
      <c r="I158" s="515">
        <v>128.5</v>
      </c>
      <c r="J158" s="515">
        <v>378.2</v>
      </c>
      <c r="K158" s="515">
        <f t="shared" si="28"/>
        <v>578.29999999999995</v>
      </c>
      <c r="L158" s="183">
        <f t="shared" si="29"/>
        <v>0.34601417949161339</v>
      </c>
    </row>
    <row r="159" spans="1:12" ht="15" x14ac:dyDescent="0.25">
      <c r="A159" s="210">
        <f t="shared" si="26"/>
        <v>2015</v>
      </c>
      <c r="B159" s="211" t="str">
        <f t="shared" si="27"/>
        <v>4</v>
      </c>
      <c r="C159" s="233">
        <f t="shared" si="30"/>
        <v>20154</v>
      </c>
      <c r="D159" s="192">
        <v>42339</v>
      </c>
      <c r="E159" s="512">
        <v>58.4</v>
      </c>
      <c r="F159" s="513">
        <v>79.3</v>
      </c>
      <c r="G159" s="513">
        <v>137.69999999999999</v>
      </c>
      <c r="H159" s="513">
        <v>209.5</v>
      </c>
      <c r="I159" s="513">
        <v>113.2</v>
      </c>
      <c r="J159" s="513">
        <v>322.7</v>
      </c>
      <c r="K159" s="513">
        <f t="shared" si="28"/>
        <v>460.4</v>
      </c>
      <c r="L159" s="18">
        <f t="shared" si="29"/>
        <v>0.29908774978279756</v>
      </c>
    </row>
    <row r="160" spans="1:12" ht="15" x14ac:dyDescent="0.25">
      <c r="A160" s="210">
        <f t="shared" si="26"/>
        <v>2016</v>
      </c>
      <c r="B160" s="211" t="str">
        <f t="shared" si="27"/>
        <v>1</v>
      </c>
      <c r="C160" s="233">
        <f t="shared" si="30"/>
        <v>20161</v>
      </c>
      <c r="D160" s="192">
        <v>42430</v>
      </c>
      <c r="E160" s="514">
        <v>39.6</v>
      </c>
      <c r="F160" s="515">
        <v>46.9</v>
      </c>
      <c r="G160" s="515">
        <v>86.5</v>
      </c>
      <c r="H160" s="515">
        <v>284.3</v>
      </c>
      <c r="I160" s="515">
        <v>81.400000000000006</v>
      </c>
      <c r="J160" s="515">
        <v>365.6</v>
      </c>
      <c r="K160" s="515">
        <f t="shared" si="28"/>
        <v>452.1</v>
      </c>
      <c r="L160" s="183">
        <f t="shared" si="29"/>
        <v>0.1913293519132935</v>
      </c>
    </row>
    <row r="161" spans="1:12" ht="15" x14ac:dyDescent="0.25">
      <c r="A161" s="210">
        <f t="shared" si="26"/>
        <v>2016</v>
      </c>
      <c r="B161" s="211" t="str">
        <f t="shared" si="27"/>
        <v>2</v>
      </c>
      <c r="C161" s="233">
        <f t="shared" si="30"/>
        <v>20162</v>
      </c>
      <c r="D161" s="192">
        <v>42522</v>
      </c>
      <c r="E161" s="512">
        <v>31.7</v>
      </c>
      <c r="F161" s="513">
        <v>33.5</v>
      </c>
      <c r="G161" s="513">
        <v>65.2</v>
      </c>
      <c r="H161" s="513">
        <v>144.69999999999999</v>
      </c>
      <c r="I161" s="513">
        <v>74.3</v>
      </c>
      <c r="J161" s="513">
        <v>219.1</v>
      </c>
      <c r="K161" s="513">
        <f t="shared" si="28"/>
        <v>284.3</v>
      </c>
      <c r="L161" s="18">
        <f t="shared" si="29"/>
        <v>0.22933520928596554</v>
      </c>
    </row>
    <row r="162" spans="1:12" ht="15" x14ac:dyDescent="0.25">
      <c r="A162" s="210">
        <f t="shared" si="26"/>
        <v>2016</v>
      </c>
      <c r="B162" s="211" t="str">
        <f t="shared" si="27"/>
        <v>3</v>
      </c>
      <c r="C162" s="233">
        <f t="shared" si="30"/>
        <v>20163</v>
      </c>
      <c r="D162" s="192">
        <v>42614</v>
      </c>
      <c r="E162" s="514">
        <v>43.5</v>
      </c>
      <c r="F162" s="515">
        <v>53.5</v>
      </c>
      <c r="G162" s="515">
        <v>97</v>
      </c>
      <c r="H162" s="515">
        <v>129</v>
      </c>
      <c r="I162" s="515">
        <v>124.9</v>
      </c>
      <c r="J162" s="515">
        <v>253.9</v>
      </c>
      <c r="K162" s="515">
        <f t="shared" si="28"/>
        <v>350.9</v>
      </c>
      <c r="L162" s="183">
        <f t="shared" si="29"/>
        <v>0.27643203191792537</v>
      </c>
    </row>
    <row r="163" spans="1:12" ht="15" x14ac:dyDescent="0.25">
      <c r="A163" s="210">
        <f t="shared" si="26"/>
        <v>2016</v>
      </c>
      <c r="B163" s="211" t="str">
        <f t="shared" si="27"/>
        <v>4</v>
      </c>
      <c r="C163" s="233">
        <f t="shared" si="30"/>
        <v>20164</v>
      </c>
      <c r="D163" s="192">
        <v>42705</v>
      </c>
      <c r="E163" s="512">
        <v>42.1</v>
      </c>
      <c r="F163" s="513">
        <v>30.7</v>
      </c>
      <c r="G163" s="513">
        <v>72.7</v>
      </c>
      <c r="H163" s="513">
        <v>138</v>
      </c>
      <c r="I163" s="513">
        <v>105.9</v>
      </c>
      <c r="J163" s="513">
        <v>243.9</v>
      </c>
      <c r="K163" s="513">
        <f t="shared" si="28"/>
        <v>316.60000000000002</v>
      </c>
      <c r="L163" s="18">
        <f t="shared" si="29"/>
        <v>0.22962728995578016</v>
      </c>
    </row>
    <row r="164" spans="1:12" ht="15" x14ac:dyDescent="0.25">
      <c r="A164" s="210">
        <f t="shared" si="26"/>
        <v>2017</v>
      </c>
      <c r="B164" s="211" t="str">
        <f t="shared" si="27"/>
        <v>1</v>
      </c>
      <c r="C164" s="233">
        <f t="shared" si="30"/>
        <v>20171</v>
      </c>
      <c r="D164" s="192">
        <v>42795</v>
      </c>
      <c r="E164" s="514">
        <v>77.599999999999994</v>
      </c>
      <c r="F164" s="515">
        <v>67.900000000000006</v>
      </c>
      <c r="G164" s="515">
        <v>145.5</v>
      </c>
      <c r="H164" s="515">
        <v>150.19999999999999</v>
      </c>
      <c r="I164" s="515">
        <v>86.1</v>
      </c>
      <c r="J164" s="515">
        <v>236.3</v>
      </c>
      <c r="K164" s="515">
        <f t="shared" si="28"/>
        <v>381.8</v>
      </c>
      <c r="L164" s="183">
        <f t="shared" si="29"/>
        <v>0.38108957569408064</v>
      </c>
    </row>
    <row r="165" spans="1:12" ht="15" x14ac:dyDescent="0.25">
      <c r="A165" s="210">
        <f t="shared" si="26"/>
        <v>2017</v>
      </c>
      <c r="B165" s="211" t="str">
        <f t="shared" si="27"/>
        <v>2</v>
      </c>
      <c r="C165" s="233">
        <f t="shared" si="30"/>
        <v>20172</v>
      </c>
      <c r="D165" s="192">
        <v>42887</v>
      </c>
      <c r="E165" s="512">
        <v>81.3</v>
      </c>
      <c r="F165" s="513">
        <v>38.1</v>
      </c>
      <c r="G165" s="513">
        <v>119.4</v>
      </c>
      <c r="H165" s="513">
        <v>123.8</v>
      </c>
      <c r="I165" s="513">
        <v>88.6</v>
      </c>
      <c r="J165" s="513">
        <v>212.4</v>
      </c>
      <c r="K165" s="513">
        <f t="shared" si="28"/>
        <v>331.8</v>
      </c>
      <c r="L165" s="18">
        <f t="shared" si="29"/>
        <v>0.35985533453887886</v>
      </c>
    </row>
    <row r="166" spans="1:12" ht="15" x14ac:dyDescent="0.25">
      <c r="A166" s="210">
        <f t="shared" si="26"/>
        <v>2017</v>
      </c>
      <c r="B166" s="211" t="str">
        <f t="shared" si="27"/>
        <v>3</v>
      </c>
      <c r="C166" s="233">
        <f t="shared" si="30"/>
        <v>20173</v>
      </c>
      <c r="D166" s="192">
        <v>42979</v>
      </c>
      <c r="E166" s="514">
        <v>41.6</v>
      </c>
      <c r="F166" s="515">
        <v>51</v>
      </c>
      <c r="G166" s="515">
        <v>92.6</v>
      </c>
      <c r="H166" s="515">
        <v>90.8</v>
      </c>
      <c r="I166" s="515">
        <v>97.6</v>
      </c>
      <c r="J166" s="515">
        <v>188.4</v>
      </c>
      <c r="K166" s="515">
        <f t="shared" si="28"/>
        <v>281</v>
      </c>
      <c r="L166" s="183">
        <f t="shared" si="29"/>
        <v>0.32953736654804267</v>
      </c>
    </row>
    <row r="167" spans="1:12" ht="15" x14ac:dyDescent="0.25">
      <c r="A167" s="210">
        <f t="shared" si="26"/>
        <v>2017</v>
      </c>
      <c r="B167" s="211" t="str">
        <f t="shared" si="27"/>
        <v>4</v>
      </c>
      <c r="C167" s="233">
        <f t="shared" si="30"/>
        <v>20174</v>
      </c>
      <c r="D167" s="192">
        <v>43070</v>
      </c>
      <c r="E167" s="512">
        <v>44.1</v>
      </c>
      <c r="F167" s="513">
        <v>30.3</v>
      </c>
      <c r="G167" s="513">
        <v>74.400000000000006</v>
      </c>
      <c r="H167" s="513">
        <v>57.3</v>
      </c>
      <c r="I167" s="513">
        <v>94.2</v>
      </c>
      <c r="J167" s="513">
        <v>151.5</v>
      </c>
      <c r="K167" s="513">
        <f t="shared" si="28"/>
        <v>225.9</v>
      </c>
      <c r="L167" s="18">
        <f t="shared" si="29"/>
        <v>0.32934926958831345</v>
      </c>
    </row>
    <row r="168" spans="1:12" ht="15" x14ac:dyDescent="0.25">
      <c r="A168" s="210">
        <f t="shared" si="26"/>
        <v>2018</v>
      </c>
      <c r="B168" s="211" t="str">
        <f t="shared" si="27"/>
        <v>1</v>
      </c>
      <c r="C168" s="233">
        <f t="shared" si="30"/>
        <v>20181</v>
      </c>
      <c r="D168" s="192">
        <v>43160</v>
      </c>
      <c r="E168" s="514">
        <v>58.5</v>
      </c>
      <c r="F168" s="515">
        <v>26.2</v>
      </c>
      <c r="G168" s="515">
        <v>84.7</v>
      </c>
      <c r="H168" s="515">
        <v>36.6</v>
      </c>
      <c r="I168" s="515">
        <v>86.9</v>
      </c>
      <c r="J168" s="515">
        <v>123.6</v>
      </c>
      <c r="K168" s="515">
        <f t="shared" si="28"/>
        <v>208.3</v>
      </c>
      <c r="L168" s="183">
        <f t="shared" si="29"/>
        <v>0.40662506000960152</v>
      </c>
    </row>
    <row r="169" spans="1:12" ht="15" x14ac:dyDescent="0.25">
      <c r="A169" s="210">
        <f t="shared" si="26"/>
        <v>2018</v>
      </c>
      <c r="B169" s="211" t="str">
        <f t="shared" si="27"/>
        <v>2</v>
      </c>
      <c r="C169" s="233">
        <f t="shared" si="30"/>
        <v>20182</v>
      </c>
      <c r="D169" s="192">
        <v>43252</v>
      </c>
      <c r="E169" s="512">
        <v>62</v>
      </c>
      <c r="F169" s="513">
        <v>36.9</v>
      </c>
      <c r="G169" s="513">
        <v>98.9</v>
      </c>
      <c r="H169" s="513">
        <v>129.80000000000001</v>
      </c>
      <c r="I169" s="513">
        <v>80.099999999999994</v>
      </c>
      <c r="J169" s="513">
        <v>209.9</v>
      </c>
      <c r="K169" s="513">
        <f t="shared" ref="K169" si="31">SUM(J169,G169)</f>
        <v>308.8</v>
      </c>
      <c r="L169" s="18">
        <f t="shared" si="29"/>
        <v>0.32027202072538863</v>
      </c>
    </row>
    <row r="170" spans="1:12" ht="15" x14ac:dyDescent="0.25">
      <c r="A170" s="210">
        <f t="shared" si="26"/>
        <v>2018</v>
      </c>
      <c r="B170" s="211" t="str">
        <f t="shared" si="27"/>
        <v>3</v>
      </c>
      <c r="C170" s="233">
        <f t="shared" si="30"/>
        <v>20183</v>
      </c>
      <c r="D170" s="192">
        <v>43344</v>
      </c>
      <c r="E170" s="514">
        <v>78</v>
      </c>
      <c r="F170" s="515">
        <v>22.1</v>
      </c>
      <c r="G170" s="515">
        <v>100.1</v>
      </c>
      <c r="H170" s="515">
        <v>104</v>
      </c>
      <c r="I170" s="515">
        <v>103.3</v>
      </c>
      <c r="J170" s="515">
        <v>207.2</v>
      </c>
      <c r="K170" s="515">
        <f t="shared" si="28"/>
        <v>307.29999999999995</v>
      </c>
      <c r="L170" s="183">
        <f t="shared" si="29"/>
        <v>0.32574031890660593</v>
      </c>
    </row>
    <row r="171" spans="1:12" ht="15" x14ac:dyDescent="0.25">
      <c r="A171" s="210">
        <f t="shared" si="26"/>
        <v>2018</v>
      </c>
      <c r="B171" s="211" t="str">
        <f t="shared" si="27"/>
        <v>4</v>
      </c>
      <c r="C171" s="233">
        <f t="shared" si="30"/>
        <v>20184</v>
      </c>
      <c r="D171" s="192">
        <v>43435</v>
      </c>
      <c r="E171" s="512">
        <v>79.900000000000006</v>
      </c>
      <c r="F171" s="513">
        <v>30.3</v>
      </c>
      <c r="G171" s="513">
        <v>110.2</v>
      </c>
      <c r="H171" s="513">
        <v>103.5</v>
      </c>
      <c r="I171" s="513">
        <v>101.7</v>
      </c>
      <c r="J171" s="513">
        <v>205.2</v>
      </c>
      <c r="K171" s="513">
        <f t="shared" si="28"/>
        <v>315.39999999999998</v>
      </c>
      <c r="L171" s="18">
        <f t="shared" si="29"/>
        <v>0.3493975903614458</v>
      </c>
    </row>
    <row r="172" spans="1:12" ht="15" x14ac:dyDescent="0.25">
      <c r="A172" s="210">
        <f t="shared" si="26"/>
        <v>2019</v>
      </c>
      <c r="B172" s="211" t="str">
        <f t="shared" si="27"/>
        <v>1</v>
      </c>
      <c r="C172" s="233">
        <f t="shared" si="30"/>
        <v>20191</v>
      </c>
      <c r="D172" s="192">
        <v>43525</v>
      </c>
      <c r="E172" s="514">
        <v>66</v>
      </c>
      <c r="F172" s="515">
        <v>42.2</v>
      </c>
      <c r="G172" s="515">
        <v>108.3</v>
      </c>
      <c r="H172" s="515">
        <v>82.9</v>
      </c>
      <c r="I172" s="515">
        <v>70.900000000000006</v>
      </c>
      <c r="J172" s="515">
        <v>153.69999999999999</v>
      </c>
      <c r="K172" s="515">
        <f t="shared" si="28"/>
        <v>262</v>
      </c>
      <c r="L172" s="183">
        <f t="shared" si="29"/>
        <v>0.41335877862595422</v>
      </c>
    </row>
    <row r="173" spans="1:12" ht="15" x14ac:dyDescent="0.25">
      <c r="A173" s="210">
        <f t="shared" si="26"/>
        <v>2019</v>
      </c>
      <c r="B173" s="211" t="str">
        <f t="shared" si="27"/>
        <v>2</v>
      </c>
      <c r="C173" s="233">
        <f t="shared" si="30"/>
        <v>20192</v>
      </c>
      <c r="D173" s="192">
        <v>43617</v>
      </c>
      <c r="E173" s="512">
        <v>74.599999999999994</v>
      </c>
      <c r="F173" s="513">
        <v>46.1</v>
      </c>
      <c r="G173" s="513">
        <v>120.6</v>
      </c>
      <c r="H173" s="513">
        <v>106.4</v>
      </c>
      <c r="I173" s="513">
        <v>140</v>
      </c>
      <c r="J173" s="513">
        <v>246.4</v>
      </c>
      <c r="K173" s="513">
        <f t="shared" si="28"/>
        <v>367</v>
      </c>
      <c r="L173" s="18">
        <f t="shared" si="29"/>
        <v>0.32861035422343321</v>
      </c>
    </row>
    <row r="174" spans="1:12" ht="15" x14ac:dyDescent="0.25">
      <c r="A174" s="210">
        <f t="shared" si="26"/>
        <v>2019</v>
      </c>
      <c r="B174" s="211" t="str">
        <f t="shared" si="27"/>
        <v>3</v>
      </c>
      <c r="C174" s="233">
        <f t="shared" si="30"/>
        <v>20193</v>
      </c>
      <c r="D174" s="192">
        <v>43709</v>
      </c>
      <c r="E174" s="514">
        <v>111.3</v>
      </c>
      <c r="F174" s="515">
        <v>35.799999999999997</v>
      </c>
      <c r="G174" s="515">
        <v>147</v>
      </c>
      <c r="H174" s="515">
        <v>123.9</v>
      </c>
      <c r="I174" s="515">
        <v>102.9</v>
      </c>
      <c r="J174" s="515">
        <v>226.9</v>
      </c>
      <c r="K174" s="515">
        <f t="shared" si="28"/>
        <v>373.9</v>
      </c>
      <c r="L174" s="183">
        <f t="shared" si="29"/>
        <v>0.39315324953196046</v>
      </c>
    </row>
    <row r="175" spans="1:12" ht="15" x14ac:dyDescent="0.25">
      <c r="A175" s="210">
        <f t="shared" si="26"/>
        <v>2019</v>
      </c>
      <c r="B175" s="211" t="str">
        <f t="shared" si="27"/>
        <v>4</v>
      </c>
      <c r="C175" s="233">
        <f t="shared" si="30"/>
        <v>20194</v>
      </c>
      <c r="D175" s="192">
        <v>43800</v>
      </c>
      <c r="E175" s="512">
        <v>139</v>
      </c>
      <c r="F175" s="513">
        <v>64.599999999999994</v>
      </c>
      <c r="G175" s="513">
        <v>203.7</v>
      </c>
      <c r="H175" s="513">
        <v>73.2</v>
      </c>
      <c r="I175" s="513">
        <v>83.9</v>
      </c>
      <c r="J175" s="513">
        <v>157.1</v>
      </c>
      <c r="K175" s="513">
        <f t="shared" si="28"/>
        <v>360.79999999999995</v>
      </c>
      <c r="L175" s="18">
        <f t="shared" si="29"/>
        <v>0.56457871396895787</v>
      </c>
    </row>
    <row r="176" spans="1:12" ht="15" x14ac:dyDescent="0.25">
      <c r="A176" s="210">
        <f t="shared" si="26"/>
        <v>2020</v>
      </c>
      <c r="B176" s="211" t="str">
        <f t="shared" si="27"/>
        <v>1</v>
      </c>
      <c r="C176" s="233">
        <f t="shared" si="30"/>
        <v>20201</v>
      </c>
      <c r="D176" s="192">
        <v>43891</v>
      </c>
      <c r="E176" s="514">
        <v>124</v>
      </c>
      <c r="F176" s="515">
        <v>34.200000000000003</v>
      </c>
      <c r="G176" s="514">
        <v>158.19999999999999</v>
      </c>
      <c r="H176" s="515">
        <v>34</v>
      </c>
      <c r="I176" s="514">
        <v>95.8</v>
      </c>
      <c r="J176" s="515">
        <v>129.80000000000001</v>
      </c>
      <c r="K176" s="514">
        <f t="shared" si="28"/>
        <v>288</v>
      </c>
      <c r="L176" s="183">
        <f t="shared" si="29"/>
        <v>0.54930555555555549</v>
      </c>
    </row>
    <row r="177" spans="1:29" ht="15" x14ac:dyDescent="0.25">
      <c r="A177" s="210">
        <f>YEAR(D177)</f>
        <v>2020</v>
      </c>
      <c r="B177" s="211" t="str">
        <f>IF(MONTH(D177)&lt;4,"1",IF(MONTH(D177)&lt;7,"2",IF(MONTH(D177)&lt;10,"3","4")))</f>
        <v>2</v>
      </c>
      <c r="C177" s="233">
        <f t="shared" si="30"/>
        <v>20202</v>
      </c>
      <c r="D177" s="192">
        <v>43983</v>
      </c>
      <c r="E177" s="512">
        <v>99.8</v>
      </c>
      <c r="F177" s="513">
        <v>60.1</v>
      </c>
      <c r="G177" s="513">
        <v>160</v>
      </c>
      <c r="H177" s="513">
        <v>3.1</v>
      </c>
      <c r="I177" s="513">
        <v>70.400000000000006</v>
      </c>
      <c r="J177" s="513">
        <v>73.5</v>
      </c>
      <c r="K177" s="513">
        <f t="shared" si="28"/>
        <v>233.5</v>
      </c>
      <c r="L177" s="18">
        <f t="shared" si="29"/>
        <v>0.68522483940042822</v>
      </c>
    </row>
    <row r="178" spans="1:29" ht="15" x14ac:dyDescent="0.25">
      <c r="A178" s="210">
        <f>YEAR(D178)</f>
        <v>2020</v>
      </c>
      <c r="B178" s="211" t="str">
        <f>IF(MONTH(D178)&lt;4,"1",IF(MONTH(D178)&lt;7,"2",IF(MONTH(D178)&lt;10,"3","4")))</f>
        <v>3</v>
      </c>
      <c r="C178" s="233">
        <f t="shared" si="30"/>
        <v>20203</v>
      </c>
      <c r="D178" s="192">
        <v>44075</v>
      </c>
      <c r="E178" s="514">
        <v>85.6</v>
      </c>
      <c r="F178" s="515">
        <v>67.2</v>
      </c>
      <c r="G178" s="514">
        <v>152.80000000000001</v>
      </c>
      <c r="H178" s="515">
        <v>2</v>
      </c>
      <c r="I178" s="514">
        <v>71.900000000000006</v>
      </c>
      <c r="J178" s="515">
        <v>73.900000000000006</v>
      </c>
      <c r="K178" s="515">
        <f t="shared" si="28"/>
        <v>226.70000000000002</v>
      </c>
      <c r="L178" s="183">
        <f t="shared" si="29"/>
        <v>0.67401852668725193</v>
      </c>
      <c r="M178" s="204"/>
      <c r="N178" s="11"/>
      <c r="O178" s="11"/>
      <c r="P178" s="11"/>
      <c r="Q178" s="11"/>
      <c r="R178" s="11"/>
      <c r="S178" s="11"/>
      <c r="T178" s="11"/>
      <c r="U178" s="11"/>
      <c r="V178" s="11"/>
      <c r="W178" s="11"/>
      <c r="X178" s="11"/>
      <c r="Y178" s="11"/>
    </row>
    <row r="179" spans="1:29" ht="15" x14ac:dyDescent="0.25">
      <c r="A179" s="210">
        <f>YEAR(D179)</f>
        <v>2020</v>
      </c>
      <c r="B179" s="211" t="str">
        <f>IF(MONTH(D179)&lt;4,"1",IF(MONTH(D179)&lt;7,"2",IF(MONTH(D179)&lt;10,"3","4")))</f>
        <v>4</v>
      </c>
      <c r="C179" s="233">
        <f t="shared" si="30"/>
        <v>20204</v>
      </c>
      <c r="D179" s="192">
        <v>44166</v>
      </c>
      <c r="E179" s="516">
        <v>76.3</v>
      </c>
      <c r="F179" s="517">
        <v>57.3</v>
      </c>
      <c r="G179" s="517">
        <v>133.5</v>
      </c>
      <c r="H179" s="517">
        <v>41.4</v>
      </c>
      <c r="I179" s="517">
        <v>76.3</v>
      </c>
      <c r="J179" s="517">
        <v>117.6</v>
      </c>
      <c r="K179" s="517">
        <f t="shared" si="28"/>
        <v>251.1</v>
      </c>
      <c r="L179" s="240">
        <f t="shared" si="29"/>
        <v>0.53166069295101559</v>
      </c>
      <c r="M179" s="204"/>
      <c r="N179" s="11"/>
      <c r="O179" s="11"/>
      <c r="P179" s="11"/>
      <c r="Q179" s="11"/>
      <c r="R179" s="11"/>
      <c r="S179" s="11"/>
      <c r="T179" s="11"/>
      <c r="U179" s="11"/>
      <c r="V179" s="11"/>
      <c r="W179" s="11"/>
      <c r="X179" s="11"/>
      <c r="Y179" s="11"/>
    </row>
    <row r="180" spans="1:29" ht="15" x14ac:dyDescent="0.25">
      <c r="A180" s="210">
        <f t="shared" ref="A180:A243" si="32">YEAR(D180)</f>
        <v>2021</v>
      </c>
      <c r="B180" s="211" t="str">
        <f t="shared" ref="B180:B243" si="33">IF(MONTH(D180)&lt;4,"1",IF(MONTH(D180)&lt;7,"2",IF(MONTH(D180)&lt;10,"3","4")))</f>
        <v>1</v>
      </c>
      <c r="C180" s="233">
        <f t="shared" si="30"/>
        <v>20211</v>
      </c>
      <c r="D180" s="192">
        <v>44256</v>
      </c>
      <c r="E180" s="514">
        <v>96.4</v>
      </c>
      <c r="F180" s="515">
        <v>58.7</v>
      </c>
      <c r="G180" s="515">
        <v>155.1</v>
      </c>
      <c r="H180" s="515">
        <v>6.8</v>
      </c>
      <c r="I180" s="515">
        <v>76.3</v>
      </c>
      <c r="J180" s="515">
        <v>83.1</v>
      </c>
      <c r="K180" s="515">
        <f t="shared" si="28"/>
        <v>238.2</v>
      </c>
      <c r="L180" s="183">
        <f t="shared" si="29"/>
        <v>0.6511335012594458</v>
      </c>
      <c r="M180" s="204"/>
      <c r="N180" s="11"/>
      <c r="O180" s="11"/>
      <c r="P180" s="11"/>
      <c r="Q180" s="11"/>
      <c r="R180" s="11"/>
      <c r="S180" s="11"/>
      <c r="T180" s="11"/>
      <c r="U180" s="11"/>
      <c r="V180" s="11"/>
      <c r="W180" s="11"/>
      <c r="X180" s="11"/>
      <c r="Y180" s="11"/>
    </row>
    <row r="181" spans="1:29" ht="15" x14ac:dyDescent="0.25">
      <c r="A181" s="210">
        <f t="shared" si="32"/>
        <v>2021</v>
      </c>
      <c r="B181" s="211" t="str">
        <f t="shared" si="33"/>
        <v>2</v>
      </c>
      <c r="C181" s="233">
        <f t="shared" si="30"/>
        <v>20212</v>
      </c>
      <c r="D181" s="192">
        <v>44348</v>
      </c>
      <c r="E181" s="516">
        <v>130.80000000000001</v>
      </c>
      <c r="F181" s="517">
        <v>56.9</v>
      </c>
      <c r="G181" s="517">
        <v>187.7</v>
      </c>
      <c r="H181" s="517">
        <v>29</v>
      </c>
      <c r="I181" s="517">
        <v>68.3</v>
      </c>
      <c r="J181" s="517">
        <v>97.2</v>
      </c>
      <c r="K181" s="517">
        <f t="shared" si="28"/>
        <v>284.89999999999998</v>
      </c>
      <c r="L181" s="240">
        <f t="shared" si="29"/>
        <v>0.65882765882765881</v>
      </c>
      <c r="M181" s="204"/>
      <c r="N181" s="11"/>
      <c r="O181" s="11"/>
      <c r="P181" s="11"/>
      <c r="Q181" s="11"/>
      <c r="R181" s="11"/>
      <c r="S181" s="11"/>
      <c r="T181" s="11"/>
      <c r="U181" s="11"/>
      <c r="V181" s="11"/>
      <c r="W181" s="11"/>
      <c r="X181" s="11"/>
      <c r="Y181" s="11"/>
    </row>
    <row r="182" spans="1:29" ht="15" x14ac:dyDescent="0.25">
      <c r="A182" s="210">
        <f t="shared" si="32"/>
        <v>2021</v>
      </c>
      <c r="B182" s="211" t="str">
        <f t="shared" si="33"/>
        <v>3</v>
      </c>
      <c r="C182" s="233">
        <f t="shared" si="30"/>
        <v>20213</v>
      </c>
      <c r="D182" s="192">
        <v>44440</v>
      </c>
      <c r="E182" s="514">
        <v>105.2</v>
      </c>
      <c r="F182" s="515">
        <v>86.6</v>
      </c>
      <c r="G182" s="515">
        <v>191.9</v>
      </c>
      <c r="H182" s="515">
        <v>32.200000000000003</v>
      </c>
      <c r="I182" s="515">
        <v>75.099999999999994</v>
      </c>
      <c r="J182" s="515">
        <v>107.4</v>
      </c>
      <c r="K182" s="515">
        <f t="shared" si="28"/>
        <v>299.3</v>
      </c>
      <c r="L182" s="183">
        <f t="shared" si="29"/>
        <v>0.64116271299699301</v>
      </c>
      <c r="M182" s="204"/>
      <c r="N182" s="11"/>
      <c r="O182" s="11"/>
      <c r="P182" s="11"/>
      <c r="Q182" s="11"/>
      <c r="R182" s="11"/>
      <c r="S182" s="11"/>
      <c r="T182" s="11"/>
      <c r="U182" s="11"/>
      <c r="V182" s="11"/>
      <c r="W182" s="11"/>
      <c r="X182" s="11"/>
      <c r="Y182" s="11"/>
    </row>
    <row r="183" spans="1:29" ht="15" x14ac:dyDescent="0.25">
      <c r="A183" s="210">
        <f t="shared" si="32"/>
        <v>2021</v>
      </c>
      <c r="B183" s="211" t="str">
        <f t="shared" si="33"/>
        <v>4</v>
      </c>
      <c r="C183" s="233">
        <f t="shared" si="30"/>
        <v>20214</v>
      </c>
      <c r="D183" s="192">
        <v>44531</v>
      </c>
      <c r="E183" s="516">
        <v>147.1</v>
      </c>
      <c r="F183" s="517">
        <v>43.3</v>
      </c>
      <c r="G183" s="517">
        <v>190.4</v>
      </c>
      <c r="H183" s="517">
        <v>44</v>
      </c>
      <c r="I183" s="517">
        <v>65.3</v>
      </c>
      <c r="J183" s="517">
        <v>109.3</v>
      </c>
      <c r="K183" s="517">
        <f t="shared" si="28"/>
        <v>299.7</v>
      </c>
      <c r="L183" s="240">
        <f t="shared" si="29"/>
        <v>0.63530196863530197</v>
      </c>
      <c r="M183" s="204"/>
      <c r="N183" s="11"/>
      <c r="O183" s="11"/>
      <c r="P183" s="11"/>
      <c r="Q183" s="11"/>
      <c r="R183" s="11"/>
      <c r="S183" s="11"/>
      <c r="T183" s="11"/>
      <c r="U183" s="11"/>
      <c r="V183" s="11"/>
      <c r="W183" s="11"/>
      <c r="X183" s="11"/>
      <c r="Y183" s="11"/>
    </row>
    <row r="184" spans="1:29" ht="15" x14ac:dyDescent="0.25">
      <c r="A184" s="210">
        <f t="shared" si="32"/>
        <v>2022</v>
      </c>
      <c r="B184" s="211" t="str">
        <f t="shared" si="33"/>
        <v>1</v>
      </c>
      <c r="C184" s="233">
        <f t="shared" si="30"/>
        <v>20221</v>
      </c>
      <c r="D184" s="192">
        <v>44621</v>
      </c>
      <c r="E184" s="514">
        <v>97.8</v>
      </c>
      <c r="F184" s="515">
        <v>54.9</v>
      </c>
      <c r="G184" s="515">
        <v>152.80000000000001</v>
      </c>
      <c r="H184" s="515">
        <v>81.400000000000006</v>
      </c>
      <c r="I184" s="515">
        <v>56.9</v>
      </c>
      <c r="J184" s="515">
        <v>138.30000000000001</v>
      </c>
      <c r="K184" s="515">
        <f t="shared" si="28"/>
        <v>291.10000000000002</v>
      </c>
      <c r="L184" s="183">
        <f t="shared" si="29"/>
        <v>0.52490553074544832</v>
      </c>
      <c r="M184" s="204"/>
      <c r="N184" s="11"/>
      <c r="O184" s="11"/>
      <c r="P184" s="11"/>
      <c r="Q184" s="11"/>
      <c r="R184" s="11"/>
      <c r="S184" s="11"/>
      <c r="T184" s="11"/>
      <c r="U184" s="11"/>
      <c r="V184" s="11"/>
      <c r="W184" s="11"/>
      <c r="X184" s="11"/>
      <c r="Y184" s="11"/>
    </row>
    <row r="185" spans="1:29" ht="15" x14ac:dyDescent="0.25">
      <c r="A185" s="210">
        <f t="shared" si="32"/>
        <v>2022</v>
      </c>
      <c r="B185" s="211" t="str">
        <f t="shared" si="33"/>
        <v>2</v>
      </c>
      <c r="C185" s="233">
        <f t="shared" si="30"/>
        <v>20222</v>
      </c>
      <c r="D185" s="192">
        <v>44713</v>
      </c>
      <c r="E185" s="516">
        <v>91.8</v>
      </c>
      <c r="F185" s="517">
        <v>54.3</v>
      </c>
      <c r="G185" s="517">
        <v>146.19999999999999</v>
      </c>
      <c r="H185" s="517">
        <v>63.9</v>
      </c>
      <c r="I185" s="517">
        <v>49.1</v>
      </c>
      <c r="J185" s="517">
        <v>113.1</v>
      </c>
      <c r="K185" s="517">
        <f t="shared" si="28"/>
        <v>259.29999999999995</v>
      </c>
      <c r="L185" s="240">
        <f t="shared" si="29"/>
        <v>0.56382568453528736</v>
      </c>
      <c r="M185" s="204"/>
      <c r="N185" s="11"/>
      <c r="O185" s="11"/>
      <c r="P185" s="11"/>
      <c r="Q185" s="11"/>
      <c r="R185" s="11"/>
      <c r="S185" s="11"/>
      <c r="T185" s="11"/>
      <c r="U185" s="11"/>
      <c r="V185" s="11"/>
      <c r="W185" s="11"/>
      <c r="X185" s="11"/>
      <c r="Y185" s="11"/>
    </row>
    <row r="186" spans="1:29" ht="15" x14ac:dyDescent="0.25">
      <c r="A186" s="210">
        <f t="shared" si="32"/>
        <v>2022</v>
      </c>
      <c r="B186" s="211" t="str">
        <f t="shared" si="33"/>
        <v>3</v>
      </c>
      <c r="C186" s="233">
        <f t="shared" si="30"/>
        <v>20223</v>
      </c>
      <c r="D186" s="192">
        <v>44805</v>
      </c>
      <c r="E186" s="514">
        <v>100.3</v>
      </c>
      <c r="F186" s="515">
        <v>54.7</v>
      </c>
      <c r="G186" s="515">
        <v>154.9</v>
      </c>
      <c r="H186" s="515">
        <v>17.100000000000001</v>
      </c>
      <c r="I186" s="515">
        <v>53.7</v>
      </c>
      <c r="J186" s="515">
        <v>70.8</v>
      </c>
      <c r="K186" s="515">
        <f t="shared" si="28"/>
        <v>225.7</v>
      </c>
      <c r="L186" s="183">
        <f t="shared" si="29"/>
        <v>0.6863092600797519</v>
      </c>
      <c r="M186" s="204"/>
      <c r="N186" s="11"/>
      <c r="O186" s="11"/>
      <c r="P186" s="11"/>
      <c r="Q186" s="11"/>
      <c r="R186" s="11"/>
      <c r="S186" s="11"/>
      <c r="T186" s="11"/>
      <c r="U186" s="11"/>
      <c r="V186" s="11"/>
      <c r="W186" s="11"/>
      <c r="X186" s="11"/>
      <c r="Y186" s="11"/>
    </row>
    <row r="187" spans="1:29" ht="15" x14ac:dyDescent="0.25">
      <c r="A187" s="210">
        <f t="shared" si="32"/>
        <v>2022</v>
      </c>
      <c r="B187" s="211" t="str">
        <f t="shared" si="33"/>
        <v>4</v>
      </c>
      <c r="C187" s="233">
        <f t="shared" si="30"/>
        <v>20224</v>
      </c>
      <c r="D187" s="192">
        <v>44896</v>
      </c>
      <c r="E187" s="516">
        <v>78.5</v>
      </c>
      <c r="F187" s="517">
        <v>64</v>
      </c>
      <c r="G187" s="517">
        <v>142.5</v>
      </c>
      <c r="H187" s="517">
        <v>12.8</v>
      </c>
      <c r="I187" s="517">
        <v>53.4</v>
      </c>
      <c r="J187" s="517">
        <v>66.2</v>
      </c>
      <c r="K187" s="517">
        <f t="shared" si="28"/>
        <v>208.7</v>
      </c>
      <c r="L187" s="240">
        <f t="shared" si="29"/>
        <v>0.68279827503593682</v>
      </c>
      <c r="M187" s="204"/>
      <c r="N187" s="11"/>
      <c r="O187" s="11"/>
      <c r="P187" s="11"/>
      <c r="Q187" s="11"/>
      <c r="R187" s="11"/>
      <c r="S187" s="11"/>
      <c r="T187" s="11"/>
      <c r="U187" s="11"/>
      <c r="V187" s="11"/>
      <c r="W187" s="11"/>
      <c r="X187" s="11"/>
      <c r="Y187" s="11"/>
    </row>
    <row r="188" spans="1:29" ht="15" x14ac:dyDescent="0.25">
      <c r="A188" s="210">
        <f t="shared" si="32"/>
        <v>2023</v>
      </c>
      <c r="B188" s="211" t="str">
        <f t="shared" si="33"/>
        <v>1</v>
      </c>
      <c r="C188" s="233">
        <f t="shared" si="30"/>
        <v>20231</v>
      </c>
      <c r="D188" s="192">
        <v>44986</v>
      </c>
      <c r="E188" s="514">
        <v>78.099999999999994</v>
      </c>
      <c r="F188" s="515">
        <v>62.3</v>
      </c>
      <c r="G188" s="515">
        <v>140.4</v>
      </c>
      <c r="H188" s="515">
        <v>24.4</v>
      </c>
      <c r="I188" s="515">
        <v>64.900000000000006</v>
      </c>
      <c r="J188" s="515">
        <v>89.3</v>
      </c>
      <c r="K188" s="515">
        <f t="shared" si="28"/>
        <v>229.7</v>
      </c>
      <c r="L188" s="183">
        <f t="shared" si="29"/>
        <v>0.61123204179364399</v>
      </c>
      <c r="M188" s="204"/>
      <c r="N188" s="11"/>
      <c r="O188" s="11"/>
      <c r="P188" s="11"/>
      <c r="Q188" s="11"/>
      <c r="R188" s="11"/>
      <c r="S188" s="11"/>
      <c r="T188" s="11"/>
      <c r="U188" s="11"/>
      <c r="V188" s="11"/>
      <c r="W188" s="11"/>
      <c r="X188" s="11"/>
      <c r="Y188" s="11"/>
    </row>
    <row r="189" spans="1:29" ht="15" x14ac:dyDescent="0.25">
      <c r="A189" s="210">
        <f t="shared" si="32"/>
        <v>2023</v>
      </c>
      <c r="B189" s="211" t="str">
        <f t="shared" si="33"/>
        <v>2</v>
      </c>
      <c r="C189" s="233">
        <f t="shared" si="30"/>
        <v>20232</v>
      </c>
      <c r="D189" s="192">
        <v>45078</v>
      </c>
      <c r="E189" s="516">
        <v>87.5</v>
      </c>
      <c r="F189" s="517">
        <v>69.099999999999994</v>
      </c>
      <c r="G189" s="517">
        <v>156.5</v>
      </c>
      <c r="H189" s="517">
        <v>46.3</v>
      </c>
      <c r="I189" s="517">
        <v>50.3</v>
      </c>
      <c r="J189" s="517">
        <v>96.6</v>
      </c>
      <c r="K189" s="517">
        <f t="shared" si="28"/>
        <v>253.1</v>
      </c>
      <c r="L189" s="240">
        <f t="shared" si="29"/>
        <v>0.61833267483208221</v>
      </c>
      <c r="M189" s="204"/>
      <c r="N189" s="11"/>
      <c r="O189" s="11"/>
      <c r="P189" s="11"/>
      <c r="Q189" s="11"/>
      <c r="R189" s="11"/>
      <c r="S189" s="11"/>
      <c r="T189" s="11"/>
      <c r="U189" s="11"/>
      <c r="V189" s="11"/>
      <c r="W189" s="11"/>
      <c r="X189" s="11"/>
      <c r="Y189" s="11"/>
    </row>
    <row r="190" spans="1:29" ht="15" x14ac:dyDescent="0.25">
      <c r="A190" s="210">
        <f t="shared" si="32"/>
        <v>2023</v>
      </c>
      <c r="B190" s="211" t="str">
        <f t="shared" si="33"/>
        <v>3</v>
      </c>
      <c r="C190" s="233">
        <f t="shared" si="30"/>
        <v>20233</v>
      </c>
      <c r="D190" s="192">
        <v>45170</v>
      </c>
      <c r="E190" s="514">
        <v>105.8</v>
      </c>
      <c r="F190" s="515">
        <v>72.8</v>
      </c>
      <c r="G190" s="515">
        <v>178.5</v>
      </c>
      <c r="H190" s="515">
        <v>82.8</v>
      </c>
      <c r="I190" s="515">
        <v>63.9</v>
      </c>
      <c r="J190" s="515">
        <v>146.80000000000001</v>
      </c>
      <c r="K190" s="515">
        <f t="shared" si="28"/>
        <v>325.3</v>
      </c>
      <c r="L190" s="183">
        <f t="shared" si="29"/>
        <v>0.54872425453427598</v>
      </c>
      <c r="M190" s="204"/>
      <c r="N190" s="11"/>
      <c r="O190" s="11"/>
      <c r="P190" s="11"/>
      <c r="Q190" s="11"/>
      <c r="R190" s="11"/>
      <c r="S190" s="11"/>
      <c r="T190" s="11"/>
      <c r="U190" s="11"/>
      <c r="V190" s="11"/>
      <c r="W190" s="588"/>
      <c r="X190" s="588"/>
      <c r="Y190" s="588"/>
      <c r="Z190" s="588"/>
      <c r="AA190" s="588"/>
      <c r="AB190" s="588"/>
      <c r="AC190" s="588"/>
    </row>
    <row r="191" spans="1:29" ht="15" x14ac:dyDescent="0.25">
      <c r="A191" s="210">
        <f t="shared" si="32"/>
        <v>2023</v>
      </c>
      <c r="B191" s="211" t="str">
        <f t="shared" si="33"/>
        <v>4</v>
      </c>
      <c r="C191" s="233">
        <f t="shared" si="30"/>
        <v>20234</v>
      </c>
      <c r="D191" s="192">
        <v>45261</v>
      </c>
      <c r="E191" s="516">
        <v>98.7</v>
      </c>
      <c r="F191" s="517">
        <v>82.4</v>
      </c>
      <c r="G191" s="517">
        <v>181.1</v>
      </c>
      <c r="H191" s="517">
        <v>16.3</v>
      </c>
      <c r="I191" s="517">
        <v>53.5</v>
      </c>
      <c r="J191" s="517">
        <v>69.8</v>
      </c>
      <c r="K191" s="517">
        <f t="shared" si="28"/>
        <v>250.89999999999998</v>
      </c>
      <c r="L191" s="240">
        <f t="shared" si="29"/>
        <v>0.72180151454762853</v>
      </c>
    </row>
    <row r="192" spans="1:29" ht="15" x14ac:dyDescent="0.25">
      <c r="A192" s="210">
        <f t="shared" si="32"/>
        <v>2024</v>
      </c>
      <c r="B192" s="211" t="str">
        <f t="shared" si="33"/>
        <v>1</v>
      </c>
      <c r="C192" s="233">
        <f t="shared" si="30"/>
        <v>20241</v>
      </c>
      <c r="D192" s="192">
        <v>45352</v>
      </c>
      <c r="E192" s="514">
        <v>142.19999999999999</v>
      </c>
      <c r="F192" s="515">
        <v>72.599999999999994</v>
      </c>
      <c r="G192" s="515">
        <v>214.8</v>
      </c>
      <c r="H192" s="515">
        <v>96.8</v>
      </c>
      <c r="I192" s="515">
        <v>55.6</v>
      </c>
      <c r="J192" s="515">
        <v>152.5</v>
      </c>
      <c r="K192" s="515">
        <f t="shared" si="28"/>
        <v>367.3</v>
      </c>
      <c r="L192" s="183">
        <f t="shared" ref="L192" si="34">G192/K192</f>
        <v>0.5848080588075143</v>
      </c>
    </row>
    <row r="193" spans="1:12" ht="15" x14ac:dyDescent="0.25">
      <c r="A193" s="210">
        <f t="shared" si="32"/>
        <v>2024</v>
      </c>
      <c r="B193" s="211" t="str">
        <f t="shared" si="33"/>
        <v>2</v>
      </c>
      <c r="C193" s="233">
        <f t="shared" si="30"/>
        <v>20242</v>
      </c>
      <c r="D193" s="192">
        <v>45444</v>
      </c>
      <c r="E193" s="516">
        <v>151.69999999999999</v>
      </c>
      <c r="F193" s="517">
        <v>84.7</v>
      </c>
      <c r="G193" s="517">
        <v>236.4</v>
      </c>
      <c r="H193" s="517">
        <v>38.700000000000003</v>
      </c>
      <c r="I193" s="517">
        <v>68.7</v>
      </c>
      <c r="J193" s="517">
        <v>107.4</v>
      </c>
      <c r="K193" s="517">
        <f t="shared" si="28"/>
        <v>343.8</v>
      </c>
      <c r="L193" s="240">
        <f t="shared" si="29"/>
        <v>0.68760907504363</v>
      </c>
    </row>
    <row r="194" spans="1:12" ht="15" x14ac:dyDescent="0.25">
      <c r="A194" s="210">
        <f t="shared" si="32"/>
        <v>2024</v>
      </c>
      <c r="B194" s="211" t="str">
        <f t="shared" si="33"/>
        <v>3</v>
      </c>
      <c r="C194" s="233">
        <f t="shared" si="30"/>
        <v>20243</v>
      </c>
      <c r="D194" s="192">
        <v>45536</v>
      </c>
      <c r="E194" s="514">
        <v>95.6</v>
      </c>
      <c r="F194" s="515">
        <v>82.1</v>
      </c>
      <c r="G194" s="515">
        <v>177.7</v>
      </c>
      <c r="H194" s="515">
        <v>64.599999999999994</v>
      </c>
      <c r="I194" s="515">
        <v>65.2</v>
      </c>
      <c r="J194" s="515">
        <v>129.80000000000001</v>
      </c>
      <c r="K194" s="515">
        <f t="shared" si="28"/>
        <v>307.5</v>
      </c>
      <c r="L194" s="183">
        <f t="shared" si="29"/>
        <v>0.57788617886178861</v>
      </c>
    </row>
    <row r="195" spans="1:12" ht="15" x14ac:dyDescent="0.25">
      <c r="A195" s="210">
        <f t="shared" si="32"/>
        <v>2024</v>
      </c>
      <c r="B195" s="211" t="str">
        <f t="shared" si="33"/>
        <v>4</v>
      </c>
      <c r="C195" s="233">
        <f t="shared" si="30"/>
        <v>20244</v>
      </c>
      <c r="D195" s="192">
        <v>45627</v>
      </c>
      <c r="E195" s="516">
        <v>157.69999999999999</v>
      </c>
      <c r="F195" s="517">
        <v>95.5</v>
      </c>
      <c r="G195" s="517">
        <v>253.2</v>
      </c>
      <c r="H195" s="517">
        <v>83.8</v>
      </c>
      <c r="I195" s="517">
        <v>56.1</v>
      </c>
      <c r="J195" s="517">
        <v>139.9</v>
      </c>
      <c r="K195" s="517">
        <f t="shared" si="28"/>
        <v>393.1</v>
      </c>
      <c r="L195" s="240">
        <f t="shared" si="29"/>
        <v>0.64411091325362502</v>
      </c>
    </row>
    <row r="196" spans="1:12" ht="15" x14ac:dyDescent="0.25">
      <c r="A196" s="210">
        <f t="shared" si="32"/>
        <v>2025</v>
      </c>
      <c r="B196" s="211" t="str">
        <f t="shared" si="33"/>
        <v>1</v>
      </c>
      <c r="C196" s="233">
        <f t="shared" si="30"/>
        <v>20251</v>
      </c>
      <c r="D196" s="192">
        <v>45717</v>
      </c>
      <c r="E196" s="514">
        <v>110.5</v>
      </c>
      <c r="F196" s="515">
        <v>113.6</v>
      </c>
      <c r="G196" s="515">
        <v>224.1</v>
      </c>
      <c r="H196" s="515">
        <v>55.5</v>
      </c>
      <c r="I196" s="515">
        <v>41.8</v>
      </c>
      <c r="J196" s="515">
        <v>97.4</v>
      </c>
      <c r="K196" s="515">
        <f t="shared" si="28"/>
        <v>321.5</v>
      </c>
      <c r="L196" s="183">
        <f t="shared" si="29"/>
        <v>0.69704510108864692</v>
      </c>
    </row>
    <row r="197" spans="1:12" ht="15" x14ac:dyDescent="0.25">
      <c r="A197" s="210">
        <f t="shared" si="32"/>
        <v>2025</v>
      </c>
      <c r="B197" s="211" t="str">
        <f t="shared" si="33"/>
        <v>2</v>
      </c>
      <c r="C197" s="233">
        <f t="shared" si="30"/>
        <v>20252</v>
      </c>
      <c r="D197" s="192">
        <v>45809</v>
      </c>
      <c r="E197" s="516">
        <v>92.4</v>
      </c>
      <c r="F197" s="517">
        <v>98.9</v>
      </c>
      <c r="G197" s="517">
        <v>191.3</v>
      </c>
      <c r="H197" s="517">
        <v>87.6</v>
      </c>
      <c r="I197" s="517">
        <v>56.6</v>
      </c>
      <c r="J197" s="517">
        <v>144.1</v>
      </c>
      <c r="K197" s="517">
        <f t="shared" si="28"/>
        <v>335.4</v>
      </c>
      <c r="L197" s="240">
        <f t="shared" si="29"/>
        <v>0.57036374478234952</v>
      </c>
    </row>
    <row r="198" spans="1:12" ht="15" x14ac:dyDescent="0.25">
      <c r="A198" s="210">
        <f t="shared" si="32"/>
        <v>2025</v>
      </c>
      <c r="B198" s="211" t="str">
        <f t="shared" si="33"/>
        <v>3</v>
      </c>
      <c r="C198" s="233">
        <f t="shared" si="30"/>
        <v>20253</v>
      </c>
      <c r="D198" s="192">
        <v>45901</v>
      </c>
      <c r="E198" s="514">
        <v>113.5</v>
      </c>
      <c r="F198" s="515">
        <v>126.8</v>
      </c>
      <c r="G198" s="515">
        <v>240.4</v>
      </c>
      <c r="H198" s="515">
        <v>149.30000000000001</v>
      </c>
      <c r="I198" s="515">
        <v>53.4</v>
      </c>
      <c r="J198" s="515">
        <v>202.7</v>
      </c>
      <c r="K198" s="515">
        <f t="shared" si="28"/>
        <v>443.1</v>
      </c>
      <c r="L198" s="183">
        <f t="shared" si="29"/>
        <v>0.54254118709095012</v>
      </c>
    </row>
    <row r="199" spans="1:12" ht="15.75" thickBot="1" x14ac:dyDescent="0.3">
      <c r="A199" s="210">
        <f t="shared" si="32"/>
        <v>2025</v>
      </c>
      <c r="B199" s="211" t="str">
        <f t="shared" si="33"/>
        <v>4</v>
      </c>
      <c r="C199" s="233">
        <f t="shared" si="30"/>
        <v>20254</v>
      </c>
      <c r="D199" s="199">
        <v>45992</v>
      </c>
      <c r="E199" s="518">
        <v>98</v>
      </c>
      <c r="F199" s="519">
        <v>132.4</v>
      </c>
      <c r="G199" s="519">
        <v>230.5</v>
      </c>
      <c r="H199" s="519">
        <v>201.1</v>
      </c>
      <c r="I199" s="519">
        <v>48</v>
      </c>
      <c r="J199" s="519">
        <v>249.1</v>
      </c>
      <c r="K199" s="519">
        <f t="shared" si="28"/>
        <v>479.6</v>
      </c>
      <c r="L199" s="241">
        <f t="shared" si="29"/>
        <v>0.48060884070058379</v>
      </c>
    </row>
    <row r="200" spans="1:12" x14ac:dyDescent="0.2">
      <c r="A200" s="210">
        <f t="shared" si="32"/>
        <v>1900</v>
      </c>
      <c r="B200" s="211" t="str">
        <f t="shared" si="33"/>
        <v>1</v>
      </c>
      <c r="C200" s="233">
        <f t="shared" si="30"/>
        <v>19001</v>
      </c>
      <c r="E200" s="242"/>
      <c r="F200" s="242"/>
      <c r="G200" s="242"/>
      <c r="H200" s="242"/>
      <c r="I200" s="242"/>
    </row>
    <row r="201" spans="1:12" x14ac:dyDescent="0.2">
      <c r="A201" s="210">
        <f t="shared" si="32"/>
        <v>1900</v>
      </c>
      <c r="B201" s="211" t="str">
        <f t="shared" si="33"/>
        <v>1</v>
      </c>
      <c r="C201" s="233">
        <f t="shared" si="30"/>
        <v>19001</v>
      </c>
      <c r="E201" s="242"/>
      <c r="F201" s="242"/>
      <c r="G201" s="242"/>
      <c r="H201" s="242"/>
      <c r="I201" s="242"/>
    </row>
    <row r="202" spans="1:12" x14ac:dyDescent="0.2">
      <c r="A202" s="210">
        <f t="shared" si="32"/>
        <v>1900</v>
      </c>
      <c r="B202" s="211" t="str">
        <f t="shared" si="33"/>
        <v>1</v>
      </c>
      <c r="C202" s="233">
        <f t="shared" ref="C202:C265" si="35">_xlfn.NUMBERVALUE(CONCATENATE(A202,B202))</f>
        <v>19001</v>
      </c>
      <c r="E202" s="242"/>
      <c r="F202" s="242"/>
      <c r="G202" s="242"/>
      <c r="H202" s="242"/>
      <c r="I202" s="242"/>
    </row>
    <row r="203" spans="1:12" x14ac:dyDescent="0.2">
      <c r="A203" s="210">
        <f t="shared" si="32"/>
        <v>1900</v>
      </c>
      <c r="B203" s="211" t="str">
        <f t="shared" si="33"/>
        <v>1</v>
      </c>
      <c r="C203" s="233">
        <f t="shared" si="35"/>
        <v>19001</v>
      </c>
      <c r="E203" s="242"/>
      <c r="F203" s="242"/>
      <c r="G203" s="242"/>
      <c r="H203" s="242"/>
      <c r="I203" s="242"/>
    </row>
    <row r="204" spans="1:12" x14ac:dyDescent="0.2">
      <c r="A204" s="210">
        <f t="shared" si="32"/>
        <v>1900</v>
      </c>
      <c r="B204" s="211" t="str">
        <f t="shared" si="33"/>
        <v>1</v>
      </c>
      <c r="C204" s="233">
        <f t="shared" si="35"/>
        <v>19001</v>
      </c>
      <c r="E204" s="242"/>
      <c r="F204" s="242"/>
      <c r="G204" s="242"/>
      <c r="H204" s="242"/>
      <c r="I204" s="242"/>
    </row>
    <row r="205" spans="1:12" x14ac:dyDescent="0.2">
      <c r="A205" s="210">
        <f t="shared" si="32"/>
        <v>1900</v>
      </c>
      <c r="B205" s="211" t="str">
        <f t="shared" si="33"/>
        <v>1</v>
      </c>
      <c r="C205" s="233">
        <f t="shared" si="35"/>
        <v>19001</v>
      </c>
      <c r="E205" s="242"/>
      <c r="F205" s="242"/>
      <c r="G205" s="242"/>
      <c r="H205" s="242"/>
      <c r="I205" s="242"/>
    </row>
    <row r="206" spans="1:12" x14ac:dyDescent="0.2">
      <c r="A206" s="210">
        <f t="shared" si="32"/>
        <v>1900</v>
      </c>
      <c r="B206" s="211" t="str">
        <f t="shared" si="33"/>
        <v>1</v>
      </c>
      <c r="C206" s="233">
        <f t="shared" si="35"/>
        <v>19001</v>
      </c>
      <c r="E206" s="242"/>
      <c r="F206" s="242"/>
      <c r="G206" s="242"/>
      <c r="H206" s="242"/>
      <c r="I206" s="242"/>
    </row>
    <row r="207" spans="1:12" x14ac:dyDescent="0.2">
      <c r="A207" s="210">
        <f t="shared" si="32"/>
        <v>1900</v>
      </c>
      <c r="B207" s="211" t="str">
        <f t="shared" si="33"/>
        <v>1</v>
      </c>
      <c r="C207" s="233">
        <f t="shared" si="35"/>
        <v>19001</v>
      </c>
      <c r="E207" s="242"/>
      <c r="F207" s="242"/>
      <c r="G207" s="242"/>
      <c r="H207" s="242"/>
      <c r="I207" s="242"/>
    </row>
    <row r="208" spans="1:12" x14ac:dyDescent="0.2">
      <c r="A208" s="210">
        <f t="shared" si="32"/>
        <v>1900</v>
      </c>
      <c r="B208" s="211" t="str">
        <f t="shared" si="33"/>
        <v>1</v>
      </c>
      <c r="C208" s="233">
        <f t="shared" si="35"/>
        <v>19001</v>
      </c>
      <c r="E208" s="242"/>
      <c r="F208" s="242"/>
      <c r="G208" s="242"/>
      <c r="H208" s="242"/>
      <c r="I208" s="242"/>
    </row>
    <row r="209" spans="1:9" x14ac:dyDescent="0.2">
      <c r="A209" s="210">
        <f t="shared" si="32"/>
        <v>1900</v>
      </c>
      <c r="B209" s="211" t="str">
        <f t="shared" si="33"/>
        <v>1</v>
      </c>
      <c r="C209" s="233">
        <f t="shared" si="35"/>
        <v>19001</v>
      </c>
      <c r="E209" s="242"/>
      <c r="F209" s="242"/>
      <c r="G209" s="242"/>
      <c r="H209" s="242"/>
      <c r="I209" s="242"/>
    </row>
    <row r="210" spans="1:9" x14ac:dyDescent="0.2">
      <c r="A210" s="210">
        <f t="shared" si="32"/>
        <v>1900</v>
      </c>
      <c r="B210" s="211" t="str">
        <f t="shared" si="33"/>
        <v>1</v>
      </c>
      <c r="C210" s="233">
        <f t="shared" si="35"/>
        <v>19001</v>
      </c>
      <c r="E210" s="242"/>
      <c r="F210" s="242"/>
      <c r="G210" s="242"/>
      <c r="H210" s="242"/>
      <c r="I210" s="242"/>
    </row>
    <row r="211" spans="1:9" x14ac:dyDescent="0.2">
      <c r="A211" s="210">
        <f t="shared" si="32"/>
        <v>1900</v>
      </c>
      <c r="B211" s="211" t="str">
        <f t="shared" si="33"/>
        <v>1</v>
      </c>
      <c r="C211" s="233">
        <f t="shared" si="35"/>
        <v>19001</v>
      </c>
      <c r="E211" s="242"/>
      <c r="F211" s="242"/>
      <c r="G211" s="242"/>
      <c r="H211" s="242"/>
      <c r="I211" s="242"/>
    </row>
    <row r="212" spans="1:9" x14ac:dyDescent="0.2">
      <c r="A212" s="210">
        <f t="shared" si="32"/>
        <v>1900</v>
      </c>
      <c r="B212" s="211" t="str">
        <f t="shared" si="33"/>
        <v>1</v>
      </c>
      <c r="C212" s="233">
        <f t="shared" si="35"/>
        <v>19001</v>
      </c>
      <c r="E212" s="242"/>
      <c r="F212" s="242"/>
      <c r="G212" s="242"/>
      <c r="H212" s="242"/>
      <c r="I212" s="242"/>
    </row>
    <row r="213" spans="1:9" x14ac:dyDescent="0.2">
      <c r="A213" s="210">
        <f t="shared" si="32"/>
        <v>1900</v>
      </c>
      <c r="B213" s="211" t="str">
        <f t="shared" si="33"/>
        <v>1</v>
      </c>
      <c r="C213" s="233">
        <f t="shared" si="35"/>
        <v>19001</v>
      </c>
      <c r="E213" s="242"/>
      <c r="F213" s="242"/>
      <c r="G213" s="242"/>
      <c r="H213" s="242"/>
      <c r="I213" s="242"/>
    </row>
    <row r="214" spans="1:9" x14ac:dyDescent="0.2">
      <c r="A214" s="210">
        <f t="shared" si="32"/>
        <v>1900</v>
      </c>
      <c r="B214" s="211" t="str">
        <f t="shared" si="33"/>
        <v>1</v>
      </c>
      <c r="C214" s="233">
        <f t="shared" si="35"/>
        <v>19001</v>
      </c>
      <c r="E214" s="242"/>
      <c r="F214" s="242"/>
      <c r="G214" s="242"/>
      <c r="H214" s="242"/>
      <c r="I214" s="242"/>
    </row>
    <row r="215" spans="1:9" x14ac:dyDescent="0.2">
      <c r="A215" s="210">
        <f t="shared" si="32"/>
        <v>1900</v>
      </c>
      <c r="B215" s="211" t="str">
        <f t="shared" si="33"/>
        <v>1</v>
      </c>
      <c r="C215" s="233">
        <f t="shared" si="35"/>
        <v>19001</v>
      </c>
      <c r="E215" s="242"/>
      <c r="F215" s="242"/>
      <c r="G215" s="242"/>
      <c r="H215" s="242"/>
      <c r="I215" s="242"/>
    </row>
    <row r="216" spans="1:9" x14ac:dyDescent="0.2">
      <c r="A216" s="210">
        <f t="shared" si="32"/>
        <v>1900</v>
      </c>
      <c r="B216" s="211" t="str">
        <f t="shared" si="33"/>
        <v>1</v>
      </c>
      <c r="C216" s="233">
        <f t="shared" si="35"/>
        <v>19001</v>
      </c>
    </row>
    <row r="217" spans="1:9" x14ac:dyDescent="0.2">
      <c r="A217" s="210">
        <f t="shared" si="32"/>
        <v>1900</v>
      </c>
      <c r="B217" s="211" t="str">
        <f t="shared" si="33"/>
        <v>1</v>
      </c>
      <c r="C217" s="233">
        <f t="shared" si="35"/>
        <v>19001</v>
      </c>
      <c r="E217" s="243"/>
      <c r="F217" s="243"/>
      <c r="H217" s="243"/>
      <c r="I217" s="243"/>
    </row>
    <row r="218" spans="1:9" x14ac:dyDescent="0.2">
      <c r="A218" s="210">
        <f t="shared" si="32"/>
        <v>1900</v>
      </c>
      <c r="B218" s="211" t="str">
        <f t="shared" si="33"/>
        <v>1</v>
      </c>
      <c r="C218" s="233">
        <f t="shared" si="35"/>
        <v>19001</v>
      </c>
    </row>
    <row r="219" spans="1:9" x14ac:dyDescent="0.2">
      <c r="A219" s="210">
        <f t="shared" si="32"/>
        <v>1900</v>
      </c>
      <c r="B219" s="211" t="str">
        <f t="shared" si="33"/>
        <v>1</v>
      </c>
      <c r="C219" s="233">
        <f t="shared" si="35"/>
        <v>19001</v>
      </c>
    </row>
    <row r="220" spans="1:9" x14ac:dyDescent="0.2">
      <c r="A220" s="210">
        <f t="shared" si="32"/>
        <v>1900</v>
      </c>
      <c r="B220" s="211" t="str">
        <f t="shared" si="33"/>
        <v>1</v>
      </c>
      <c r="C220" s="233">
        <f t="shared" si="35"/>
        <v>19001</v>
      </c>
    </row>
    <row r="221" spans="1:9" x14ac:dyDescent="0.2">
      <c r="A221" s="210">
        <f t="shared" si="32"/>
        <v>1900</v>
      </c>
      <c r="B221" s="211" t="str">
        <f t="shared" si="33"/>
        <v>1</v>
      </c>
      <c r="C221" s="233">
        <f t="shared" si="35"/>
        <v>19001</v>
      </c>
    </row>
    <row r="222" spans="1:9" x14ac:dyDescent="0.2">
      <c r="A222" s="210">
        <f t="shared" si="32"/>
        <v>1900</v>
      </c>
      <c r="B222" s="211" t="str">
        <f t="shared" si="33"/>
        <v>1</v>
      </c>
      <c r="C222" s="233">
        <f t="shared" si="35"/>
        <v>19001</v>
      </c>
    </row>
    <row r="223" spans="1:9" x14ac:dyDescent="0.2">
      <c r="A223" s="210">
        <f t="shared" si="32"/>
        <v>1900</v>
      </c>
      <c r="B223" s="211" t="str">
        <f t="shared" si="33"/>
        <v>1</v>
      </c>
      <c r="C223" s="233">
        <f t="shared" si="35"/>
        <v>19001</v>
      </c>
    </row>
    <row r="224" spans="1:9" x14ac:dyDescent="0.2">
      <c r="A224" s="210">
        <f t="shared" si="32"/>
        <v>1900</v>
      </c>
      <c r="B224" s="211" t="str">
        <f t="shared" si="33"/>
        <v>1</v>
      </c>
      <c r="C224" s="233">
        <f t="shared" si="35"/>
        <v>19001</v>
      </c>
    </row>
    <row r="225" spans="1:3" x14ac:dyDescent="0.2">
      <c r="A225" s="210">
        <f t="shared" si="32"/>
        <v>1900</v>
      </c>
      <c r="B225" s="211" t="str">
        <f t="shared" si="33"/>
        <v>1</v>
      </c>
      <c r="C225" s="233">
        <f t="shared" si="35"/>
        <v>19001</v>
      </c>
    </row>
    <row r="226" spans="1:3" x14ac:dyDescent="0.2">
      <c r="A226" s="210">
        <f t="shared" si="32"/>
        <v>1900</v>
      </c>
      <c r="B226" s="211" t="str">
        <f t="shared" si="33"/>
        <v>1</v>
      </c>
      <c r="C226" s="233">
        <f t="shared" si="35"/>
        <v>19001</v>
      </c>
    </row>
    <row r="227" spans="1:3" x14ac:dyDescent="0.2">
      <c r="A227" s="210">
        <f t="shared" si="32"/>
        <v>1900</v>
      </c>
      <c r="B227" s="211" t="str">
        <f t="shared" si="33"/>
        <v>1</v>
      </c>
      <c r="C227" s="233">
        <f t="shared" si="35"/>
        <v>19001</v>
      </c>
    </row>
    <row r="228" spans="1:3" x14ac:dyDescent="0.2">
      <c r="A228" s="210">
        <f t="shared" si="32"/>
        <v>1900</v>
      </c>
      <c r="B228" s="211" t="str">
        <f t="shared" si="33"/>
        <v>1</v>
      </c>
      <c r="C228" s="233">
        <f t="shared" si="35"/>
        <v>19001</v>
      </c>
    </row>
    <row r="229" spans="1:3" x14ac:dyDescent="0.2">
      <c r="A229" s="210">
        <f t="shared" si="32"/>
        <v>1900</v>
      </c>
      <c r="B229" s="211" t="str">
        <f t="shared" si="33"/>
        <v>1</v>
      </c>
      <c r="C229" s="233">
        <f t="shared" si="35"/>
        <v>19001</v>
      </c>
    </row>
    <row r="230" spans="1:3" x14ac:dyDescent="0.2">
      <c r="A230" s="210">
        <f t="shared" si="32"/>
        <v>1900</v>
      </c>
      <c r="B230" s="211" t="str">
        <f t="shared" si="33"/>
        <v>1</v>
      </c>
      <c r="C230" s="233">
        <f t="shared" si="35"/>
        <v>19001</v>
      </c>
    </row>
    <row r="231" spans="1:3" x14ac:dyDescent="0.2">
      <c r="A231" s="210">
        <f t="shared" si="32"/>
        <v>1900</v>
      </c>
      <c r="B231" s="211" t="str">
        <f t="shared" si="33"/>
        <v>1</v>
      </c>
      <c r="C231" s="233">
        <f t="shared" si="35"/>
        <v>19001</v>
      </c>
    </row>
    <row r="232" spans="1:3" x14ac:dyDescent="0.2">
      <c r="A232" s="210">
        <f t="shared" si="32"/>
        <v>1900</v>
      </c>
      <c r="B232" s="211" t="str">
        <f t="shared" si="33"/>
        <v>1</v>
      </c>
      <c r="C232" s="233">
        <f t="shared" si="35"/>
        <v>19001</v>
      </c>
    </row>
    <row r="233" spans="1:3" x14ac:dyDescent="0.2">
      <c r="A233" s="210">
        <f t="shared" si="32"/>
        <v>1900</v>
      </c>
      <c r="B233" s="211" t="str">
        <f t="shared" si="33"/>
        <v>1</v>
      </c>
      <c r="C233" s="233">
        <f t="shared" si="35"/>
        <v>19001</v>
      </c>
    </row>
    <row r="234" spans="1:3" x14ac:dyDescent="0.2">
      <c r="A234" s="210">
        <f t="shared" si="32"/>
        <v>1900</v>
      </c>
      <c r="B234" s="211" t="str">
        <f t="shared" si="33"/>
        <v>1</v>
      </c>
      <c r="C234" s="233">
        <f t="shared" si="35"/>
        <v>19001</v>
      </c>
    </row>
    <row r="235" spans="1:3" x14ac:dyDescent="0.2">
      <c r="A235" s="210">
        <f t="shared" si="32"/>
        <v>1900</v>
      </c>
      <c r="B235" s="211" t="str">
        <f t="shared" si="33"/>
        <v>1</v>
      </c>
      <c r="C235" s="233">
        <f t="shared" si="35"/>
        <v>19001</v>
      </c>
    </row>
    <row r="236" spans="1:3" x14ac:dyDescent="0.2">
      <c r="A236" s="210">
        <f t="shared" si="32"/>
        <v>1900</v>
      </c>
      <c r="B236" s="211" t="str">
        <f t="shared" si="33"/>
        <v>1</v>
      </c>
      <c r="C236" s="233">
        <f t="shared" si="35"/>
        <v>19001</v>
      </c>
    </row>
    <row r="237" spans="1:3" x14ac:dyDescent="0.2">
      <c r="A237" s="210">
        <f t="shared" si="32"/>
        <v>1900</v>
      </c>
      <c r="B237" s="211" t="str">
        <f t="shared" si="33"/>
        <v>1</v>
      </c>
      <c r="C237" s="233">
        <f t="shared" si="35"/>
        <v>19001</v>
      </c>
    </row>
    <row r="238" spans="1:3" x14ac:dyDescent="0.2">
      <c r="A238" s="210">
        <f t="shared" si="32"/>
        <v>1900</v>
      </c>
      <c r="B238" s="211" t="str">
        <f t="shared" si="33"/>
        <v>1</v>
      </c>
      <c r="C238" s="233">
        <f t="shared" si="35"/>
        <v>19001</v>
      </c>
    </row>
    <row r="239" spans="1:3" x14ac:dyDescent="0.2">
      <c r="A239" s="210">
        <f t="shared" si="32"/>
        <v>1900</v>
      </c>
      <c r="B239" s="211" t="str">
        <f t="shared" si="33"/>
        <v>1</v>
      </c>
      <c r="C239" s="233">
        <f t="shared" si="35"/>
        <v>19001</v>
      </c>
    </row>
    <row r="240" spans="1:3" x14ac:dyDescent="0.2">
      <c r="A240" s="210">
        <f t="shared" si="32"/>
        <v>1900</v>
      </c>
      <c r="B240" s="211" t="str">
        <f t="shared" si="33"/>
        <v>1</v>
      </c>
      <c r="C240" s="233">
        <f t="shared" si="35"/>
        <v>19001</v>
      </c>
    </row>
    <row r="241" spans="1:3" x14ac:dyDescent="0.2">
      <c r="A241" s="210">
        <f t="shared" si="32"/>
        <v>1900</v>
      </c>
      <c r="B241" s="211" t="str">
        <f t="shared" si="33"/>
        <v>1</v>
      </c>
      <c r="C241" s="233">
        <f t="shared" si="35"/>
        <v>19001</v>
      </c>
    </row>
    <row r="242" spans="1:3" x14ac:dyDescent="0.2">
      <c r="A242" s="210">
        <f t="shared" si="32"/>
        <v>1900</v>
      </c>
      <c r="B242" s="211" t="str">
        <f t="shared" si="33"/>
        <v>1</v>
      </c>
      <c r="C242" s="233">
        <f t="shared" si="35"/>
        <v>19001</v>
      </c>
    </row>
    <row r="243" spans="1:3" x14ac:dyDescent="0.2">
      <c r="A243" s="210">
        <f t="shared" si="32"/>
        <v>1900</v>
      </c>
      <c r="B243" s="211" t="str">
        <f t="shared" si="33"/>
        <v>1</v>
      </c>
      <c r="C243" s="233">
        <f t="shared" si="35"/>
        <v>19001</v>
      </c>
    </row>
    <row r="244" spans="1:3" x14ac:dyDescent="0.2">
      <c r="A244" s="210">
        <f t="shared" ref="A244:A278" si="36">YEAR(D244)</f>
        <v>1900</v>
      </c>
      <c r="B244" s="211" t="str">
        <f t="shared" ref="B244:B278" si="37">IF(MONTH(D244)&lt;4,"1",IF(MONTH(D244)&lt;7,"2",IF(MONTH(D244)&lt;10,"3","4")))</f>
        <v>1</v>
      </c>
      <c r="C244" s="233">
        <f t="shared" si="35"/>
        <v>19001</v>
      </c>
    </row>
    <row r="245" spans="1:3" x14ac:dyDescent="0.2">
      <c r="A245" s="210">
        <f t="shared" si="36"/>
        <v>1900</v>
      </c>
      <c r="B245" s="211" t="str">
        <f t="shared" si="37"/>
        <v>1</v>
      </c>
      <c r="C245" s="233">
        <f t="shared" si="35"/>
        <v>19001</v>
      </c>
    </row>
    <row r="246" spans="1:3" x14ac:dyDescent="0.2">
      <c r="A246" s="210">
        <f t="shared" si="36"/>
        <v>1900</v>
      </c>
      <c r="B246" s="211" t="str">
        <f t="shared" si="37"/>
        <v>1</v>
      </c>
      <c r="C246" s="233">
        <f t="shared" si="35"/>
        <v>19001</v>
      </c>
    </row>
    <row r="247" spans="1:3" x14ac:dyDescent="0.2">
      <c r="A247" s="210">
        <f t="shared" si="36"/>
        <v>1900</v>
      </c>
      <c r="B247" s="211" t="str">
        <f t="shared" si="37"/>
        <v>1</v>
      </c>
      <c r="C247" s="233">
        <f t="shared" si="35"/>
        <v>19001</v>
      </c>
    </row>
    <row r="248" spans="1:3" x14ac:dyDescent="0.2">
      <c r="A248" s="210">
        <f t="shared" si="36"/>
        <v>1900</v>
      </c>
      <c r="B248" s="211" t="str">
        <f t="shared" si="37"/>
        <v>1</v>
      </c>
      <c r="C248" s="233">
        <f t="shared" si="35"/>
        <v>19001</v>
      </c>
    </row>
    <row r="249" spans="1:3" x14ac:dyDescent="0.2">
      <c r="A249" s="210">
        <f t="shared" si="36"/>
        <v>1900</v>
      </c>
      <c r="B249" s="211" t="str">
        <f t="shared" si="37"/>
        <v>1</v>
      </c>
      <c r="C249" s="233">
        <f t="shared" si="35"/>
        <v>19001</v>
      </c>
    </row>
    <row r="250" spans="1:3" x14ac:dyDescent="0.2">
      <c r="A250" s="210">
        <f t="shared" si="36"/>
        <v>1900</v>
      </c>
      <c r="B250" s="211" t="str">
        <f t="shared" si="37"/>
        <v>1</v>
      </c>
      <c r="C250" s="233">
        <f t="shared" si="35"/>
        <v>19001</v>
      </c>
    </row>
    <row r="251" spans="1:3" x14ac:dyDescent="0.2">
      <c r="A251" s="210">
        <f t="shared" si="36"/>
        <v>1900</v>
      </c>
      <c r="B251" s="211" t="str">
        <f t="shared" si="37"/>
        <v>1</v>
      </c>
      <c r="C251" s="233">
        <f t="shared" si="35"/>
        <v>19001</v>
      </c>
    </row>
    <row r="252" spans="1:3" x14ac:dyDescent="0.2">
      <c r="A252" s="210">
        <f t="shared" si="36"/>
        <v>1900</v>
      </c>
      <c r="B252" s="211" t="str">
        <f t="shared" si="37"/>
        <v>1</v>
      </c>
      <c r="C252" s="233">
        <f t="shared" si="35"/>
        <v>19001</v>
      </c>
    </row>
    <row r="253" spans="1:3" x14ac:dyDescent="0.2">
      <c r="A253" s="210">
        <f t="shared" si="36"/>
        <v>1900</v>
      </c>
      <c r="B253" s="211" t="str">
        <f t="shared" si="37"/>
        <v>1</v>
      </c>
      <c r="C253" s="233">
        <f t="shared" si="35"/>
        <v>19001</v>
      </c>
    </row>
    <row r="254" spans="1:3" x14ac:dyDescent="0.2">
      <c r="A254" s="210">
        <f t="shared" si="36"/>
        <v>1900</v>
      </c>
      <c r="B254" s="211" t="str">
        <f t="shared" si="37"/>
        <v>1</v>
      </c>
      <c r="C254" s="233">
        <f t="shared" si="35"/>
        <v>19001</v>
      </c>
    </row>
    <row r="255" spans="1:3" x14ac:dyDescent="0.2">
      <c r="A255" s="210">
        <f t="shared" si="36"/>
        <v>1900</v>
      </c>
      <c r="B255" s="211" t="str">
        <f t="shared" si="37"/>
        <v>1</v>
      </c>
      <c r="C255" s="233">
        <f t="shared" si="35"/>
        <v>19001</v>
      </c>
    </row>
    <row r="256" spans="1:3" x14ac:dyDescent="0.2">
      <c r="A256" s="210">
        <f t="shared" si="36"/>
        <v>1900</v>
      </c>
      <c r="B256" s="211" t="str">
        <f t="shared" si="37"/>
        <v>1</v>
      </c>
      <c r="C256" s="233">
        <f t="shared" si="35"/>
        <v>19001</v>
      </c>
    </row>
    <row r="257" spans="1:3" x14ac:dyDescent="0.2">
      <c r="A257" s="210">
        <f t="shared" si="36"/>
        <v>1900</v>
      </c>
      <c r="B257" s="211" t="str">
        <f t="shared" si="37"/>
        <v>1</v>
      </c>
      <c r="C257" s="233">
        <f t="shared" si="35"/>
        <v>19001</v>
      </c>
    </row>
    <row r="258" spans="1:3" x14ac:dyDescent="0.2">
      <c r="A258" s="210">
        <f t="shared" si="36"/>
        <v>1900</v>
      </c>
      <c r="B258" s="211" t="str">
        <f t="shared" si="37"/>
        <v>1</v>
      </c>
      <c r="C258" s="233">
        <f t="shared" si="35"/>
        <v>19001</v>
      </c>
    </row>
    <row r="259" spans="1:3" x14ac:dyDescent="0.2">
      <c r="A259" s="210">
        <f t="shared" si="36"/>
        <v>1900</v>
      </c>
      <c r="B259" s="211" t="str">
        <f t="shared" si="37"/>
        <v>1</v>
      </c>
      <c r="C259" s="233">
        <f t="shared" si="35"/>
        <v>19001</v>
      </c>
    </row>
    <row r="260" spans="1:3" x14ac:dyDescent="0.2">
      <c r="A260" s="210">
        <f t="shared" si="36"/>
        <v>1900</v>
      </c>
      <c r="B260" s="211" t="str">
        <f t="shared" si="37"/>
        <v>1</v>
      </c>
      <c r="C260" s="233">
        <f t="shared" si="35"/>
        <v>19001</v>
      </c>
    </row>
    <row r="261" spans="1:3" x14ac:dyDescent="0.2">
      <c r="A261" s="210">
        <f t="shared" si="36"/>
        <v>1900</v>
      </c>
      <c r="B261" s="211" t="str">
        <f t="shared" si="37"/>
        <v>1</v>
      </c>
      <c r="C261" s="233">
        <f t="shared" si="35"/>
        <v>19001</v>
      </c>
    </row>
    <row r="262" spans="1:3" x14ac:dyDescent="0.2">
      <c r="A262" s="210">
        <f t="shared" si="36"/>
        <v>1900</v>
      </c>
      <c r="B262" s="211" t="str">
        <f t="shared" si="37"/>
        <v>1</v>
      </c>
      <c r="C262" s="233">
        <f t="shared" si="35"/>
        <v>19001</v>
      </c>
    </row>
    <row r="263" spans="1:3" x14ac:dyDescent="0.2">
      <c r="A263" s="210">
        <f t="shared" si="36"/>
        <v>1900</v>
      </c>
      <c r="B263" s="211" t="str">
        <f t="shared" si="37"/>
        <v>1</v>
      </c>
      <c r="C263" s="233">
        <f t="shared" si="35"/>
        <v>19001</v>
      </c>
    </row>
    <row r="264" spans="1:3" x14ac:dyDescent="0.2">
      <c r="A264" s="210">
        <f t="shared" si="36"/>
        <v>1900</v>
      </c>
      <c r="B264" s="211" t="str">
        <f t="shared" si="37"/>
        <v>1</v>
      </c>
      <c r="C264" s="233">
        <f t="shared" si="35"/>
        <v>19001</v>
      </c>
    </row>
    <row r="265" spans="1:3" x14ac:dyDescent="0.2">
      <c r="A265" s="210">
        <f t="shared" si="36"/>
        <v>1900</v>
      </c>
      <c r="B265" s="211" t="str">
        <f t="shared" si="37"/>
        <v>1</v>
      </c>
      <c r="C265" s="233">
        <f t="shared" si="35"/>
        <v>19001</v>
      </c>
    </row>
    <row r="266" spans="1:3" x14ac:dyDescent="0.2">
      <c r="A266" s="210">
        <f t="shared" si="36"/>
        <v>1900</v>
      </c>
      <c r="B266" s="211" t="str">
        <f t="shared" si="37"/>
        <v>1</v>
      </c>
      <c r="C266" s="233">
        <f t="shared" ref="C266:C278" si="38">_xlfn.NUMBERVALUE(CONCATENATE(A266,B266))</f>
        <v>19001</v>
      </c>
    </row>
    <row r="267" spans="1:3" x14ac:dyDescent="0.2">
      <c r="A267" s="210">
        <f t="shared" si="36"/>
        <v>1900</v>
      </c>
      <c r="B267" s="211" t="str">
        <f t="shared" si="37"/>
        <v>1</v>
      </c>
      <c r="C267" s="233">
        <f t="shared" si="38"/>
        <v>19001</v>
      </c>
    </row>
    <row r="268" spans="1:3" x14ac:dyDescent="0.2">
      <c r="A268" s="210">
        <f t="shared" si="36"/>
        <v>1900</v>
      </c>
      <c r="B268" s="211" t="str">
        <f t="shared" si="37"/>
        <v>1</v>
      </c>
      <c r="C268" s="233">
        <f t="shared" si="38"/>
        <v>19001</v>
      </c>
    </row>
    <row r="269" spans="1:3" x14ac:dyDescent="0.2">
      <c r="A269" s="210">
        <f t="shared" si="36"/>
        <v>1900</v>
      </c>
      <c r="B269" s="211" t="str">
        <f t="shared" si="37"/>
        <v>1</v>
      </c>
      <c r="C269" s="233">
        <f t="shared" si="38"/>
        <v>19001</v>
      </c>
    </row>
    <row r="270" spans="1:3" x14ac:dyDescent="0.2">
      <c r="A270" s="210">
        <f t="shared" si="36"/>
        <v>1900</v>
      </c>
      <c r="B270" s="211" t="str">
        <f t="shared" si="37"/>
        <v>1</v>
      </c>
      <c r="C270" s="233">
        <f t="shared" si="38"/>
        <v>19001</v>
      </c>
    </row>
    <row r="271" spans="1:3" x14ac:dyDescent="0.2">
      <c r="A271" s="210">
        <f t="shared" si="36"/>
        <v>1900</v>
      </c>
      <c r="B271" s="211" t="str">
        <f t="shared" si="37"/>
        <v>1</v>
      </c>
      <c r="C271" s="233">
        <f t="shared" si="38"/>
        <v>19001</v>
      </c>
    </row>
    <row r="272" spans="1:3" x14ac:dyDescent="0.2">
      <c r="A272" s="210">
        <f t="shared" si="36"/>
        <v>1900</v>
      </c>
      <c r="B272" s="211" t="str">
        <f t="shared" si="37"/>
        <v>1</v>
      </c>
      <c r="C272" s="233">
        <f t="shared" si="38"/>
        <v>19001</v>
      </c>
    </row>
    <row r="273" spans="1:3" x14ac:dyDescent="0.2">
      <c r="A273" s="210">
        <f t="shared" si="36"/>
        <v>1900</v>
      </c>
      <c r="B273" s="211" t="str">
        <f t="shared" si="37"/>
        <v>1</v>
      </c>
      <c r="C273" s="233">
        <f t="shared" si="38"/>
        <v>19001</v>
      </c>
    </row>
    <row r="274" spans="1:3" x14ac:dyDescent="0.2">
      <c r="A274" s="210">
        <f t="shared" si="36"/>
        <v>1900</v>
      </c>
      <c r="B274" s="211" t="str">
        <f t="shared" si="37"/>
        <v>1</v>
      </c>
      <c r="C274" s="233">
        <f t="shared" si="38"/>
        <v>19001</v>
      </c>
    </row>
    <row r="275" spans="1:3" x14ac:dyDescent="0.2">
      <c r="A275" s="210">
        <f t="shared" si="36"/>
        <v>1900</v>
      </c>
      <c r="B275" s="211" t="str">
        <f t="shared" si="37"/>
        <v>1</v>
      </c>
      <c r="C275" s="233">
        <f t="shared" si="38"/>
        <v>19001</v>
      </c>
    </row>
    <row r="276" spans="1:3" x14ac:dyDescent="0.2">
      <c r="A276" s="210">
        <f t="shared" si="36"/>
        <v>1900</v>
      </c>
      <c r="B276" s="211" t="str">
        <f t="shared" si="37"/>
        <v>1</v>
      </c>
      <c r="C276" s="233">
        <f t="shared" si="38"/>
        <v>19001</v>
      </c>
    </row>
    <row r="277" spans="1:3" x14ac:dyDescent="0.2">
      <c r="A277" s="210">
        <f t="shared" si="36"/>
        <v>1900</v>
      </c>
      <c r="B277" s="211" t="str">
        <f t="shared" si="37"/>
        <v>1</v>
      </c>
      <c r="C277" s="233">
        <f t="shared" si="38"/>
        <v>19001</v>
      </c>
    </row>
    <row r="278" spans="1:3" x14ac:dyDescent="0.2">
      <c r="A278" s="210">
        <f t="shared" si="36"/>
        <v>1900</v>
      </c>
      <c r="B278" s="211" t="str">
        <f t="shared" si="37"/>
        <v>1</v>
      </c>
      <c r="C278" s="233">
        <f t="shared" si="38"/>
        <v>19001</v>
      </c>
    </row>
  </sheetData>
  <mergeCells count="4">
    <mergeCell ref="D7:L7"/>
    <mergeCell ref="N7:U7"/>
    <mergeCell ref="W7:AD7"/>
    <mergeCell ref="W190:AC190"/>
  </mergeCells>
  <pageMargins left="0.75" right="0.75" top="1" bottom="1" header="0.5" footer="0.5"/>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4BC4E-88B2-4264-A2F8-CB06A370794D}">
  <sheetPr codeName="Sheet14"/>
  <dimension ref="A1:V249"/>
  <sheetViews>
    <sheetView showGridLines="0" zoomScale="85" zoomScaleNormal="85" workbookViewId="0"/>
  </sheetViews>
  <sheetFormatPr defaultColWidth="9.140625" defaultRowHeight="15" x14ac:dyDescent="0.25"/>
  <cols>
    <col min="1" max="1" width="50.7109375" customWidth="1"/>
    <col min="2" max="5" width="15.7109375" customWidth="1"/>
    <col min="39" max="39" width="9.42578125" customWidth="1"/>
  </cols>
  <sheetData>
    <row r="1" spans="1:22" ht="15.75" thickBot="1" x14ac:dyDescent="0.3">
      <c r="D1" s="6" t="s">
        <v>53</v>
      </c>
      <c r="E1" s="244" t="s">
        <v>61</v>
      </c>
      <c r="U1" s="53" t="s">
        <v>62</v>
      </c>
      <c r="V1" s="53" t="s">
        <v>62</v>
      </c>
    </row>
    <row r="2" spans="1:22" x14ac:dyDescent="0.25">
      <c r="U2" s="53" t="s">
        <v>61</v>
      </c>
    </row>
    <row r="3" spans="1:22" s="87" customFormat="1" x14ac:dyDescent="0.25"/>
    <row r="7" spans="1:22" ht="18.75" customHeight="1" thickBot="1" x14ac:dyDescent="0.3">
      <c r="A7" s="589" t="str">
        <f ca="1">CONCATENATE("Royalty Receipts And North West Shelf Grants ",B8," and ",C8)</f>
        <v>Royalty Receipts And North West Shelf Grants 2024 and 2025</v>
      </c>
      <c r="B7" s="589"/>
      <c r="C7" s="589"/>
      <c r="D7" s="589"/>
      <c r="E7" s="589"/>
      <c r="G7" s="2"/>
    </row>
    <row r="8" spans="1:22" x14ac:dyDescent="0.25">
      <c r="A8" s="245"/>
      <c r="B8" s="246">
        <f ca="1">IF(E1="Calendar Year",LARGE('Royalties Historic'!B25:DG25,2),INDIRECT(CONCATENATE("'Royalties Historic'!",ADDRESS(8,('Royalties Historic'!A3-2),1,))))</f>
        <v>2024</v>
      </c>
      <c r="C8" s="246">
        <f ca="1">IF(E1="Calendar Year",LARGE('Royalties Historic'!B25:DG25,1),INDIRECT(CONCATENATE("'Royalties Historic'!",ADDRESS(8,('Royalties Historic'!A3-1),1,))))</f>
        <v>2025</v>
      </c>
      <c r="D8" s="590" t="str">
        <f ca="1">CONCATENATE(C8," Growth")</f>
        <v>2025 Growth</v>
      </c>
      <c r="E8" s="591"/>
      <c r="G8" s="2"/>
      <c r="T8" s="53" t="str">
        <f ca="1">CONCATENATE("Royalty Receipts and Revenue Growth "&amp;CHAR(10)&amp;B8&amp;" to "&amp;C8)</f>
        <v>Royalty Receipts and Revenue Growth 
2024 to 2025</v>
      </c>
      <c r="U8" s="53" t="str">
        <f ca="1">CONCATENATE("Royalty Receipts And North West Shelf Grants "&amp;CHAR(10)&amp;C8)</f>
        <v>Royalty Receipts And North West Shelf Grants 
2025</v>
      </c>
    </row>
    <row r="9" spans="1:22" x14ac:dyDescent="0.25">
      <c r="A9" s="247" t="s">
        <v>63</v>
      </c>
      <c r="B9" s="248" t="s">
        <v>116</v>
      </c>
      <c r="C9" s="248" t="s">
        <v>116</v>
      </c>
      <c r="D9" s="249" t="s">
        <v>116</v>
      </c>
      <c r="E9" s="250" t="s">
        <v>65</v>
      </c>
      <c r="G9" s="2"/>
    </row>
    <row r="10" spans="1:22" x14ac:dyDescent="0.25">
      <c r="A10" s="251" t="s">
        <v>117</v>
      </c>
      <c r="B10" s="252" cm="1">
        <f t="array" aca="1" ref="B10" ca="1">IF($E$1="Financial Year",
_xlfn.XLOOKUP(B$8, 'Royalties Historic'!$8:$8, _xlfn.XLOOKUP($A10, 'Royalties Historic'!$A$10:$A$22, 'Royalties Historic'!$10:$22)),
_xlfn.XLOOKUP(B$8, 'Royalties Historic'!$25:$25, _xlfn.XLOOKUP($A10, 'Royalties Historic'!$A$27:$A$39, 'Royalties Historic'!$27:$39))
)</f>
        <v>110.14848893999999</v>
      </c>
      <c r="C10" s="252" cm="1">
        <f t="array" aca="1" ref="C10" ca="1">IF($E$1="Financial Year",
_xlfn.XLOOKUP(C$8, 'Royalties Historic'!$8:$8, _xlfn.XLOOKUP($A10, 'Royalties Historic'!$A$10:$A$22, 'Royalties Historic'!$10:$22)),
_xlfn.XLOOKUP(C$8, 'Royalties Historic'!$25:$25, _xlfn.XLOOKUP($A10, 'Royalties Historic'!$A$27:$A$39, 'Royalties Historic'!$27:$39))
)</f>
        <v>137.21358168</v>
      </c>
      <c r="D10" s="253">
        <f ca="1">C10-B10</f>
        <v>27.065092740000011</v>
      </c>
      <c r="E10" s="254">
        <f ca="1">IFERROR(D10/B10, "")</f>
        <v>0.24571460762156155</v>
      </c>
      <c r="F10" s="64"/>
      <c r="G10" s="2"/>
      <c r="J10" t="str">
        <f ca="1">"Royalty Receipts and North West Shelf Grants"&amp;CHAR(10)&amp;C8</f>
        <v>Royalty Receipts and North West Shelf Grants
2025</v>
      </c>
    </row>
    <row r="11" spans="1:22" x14ac:dyDescent="0.25">
      <c r="A11" s="251" t="s">
        <v>118</v>
      </c>
      <c r="B11" s="255" cm="1">
        <f t="array" aca="1" ref="B11" ca="1">IF($E$1="Financial Year",
_xlfn.XLOOKUP(B$8, 'Royalties Historic'!$8:$8, _xlfn.XLOOKUP($A11, 'Royalties Historic'!$A$10:$A$22, 'Royalties Historic'!$10:$22)),
_xlfn.XLOOKUP(B$8, 'Royalties Historic'!$25:$25, _xlfn.XLOOKUP($A11, 'Royalties Historic'!$A$27:$A$39, 'Royalties Historic'!$27:$39))
)</f>
        <v>44.021825590000006</v>
      </c>
      <c r="C11" s="255" cm="1">
        <f t="array" aca="1" ref="C11" ca="1">IF($E$1="Financial Year",
_xlfn.XLOOKUP(C$8, 'Royalties Historic'!$8:$8, _xlfn.XLOOKUP($A11, 'Royalties Historic'!$A$10:$A$22, 'Royalties Historic'!$10:$22)),
_xlfn.XLOOKUP(C$8, 'Royalties Historic'!$25:$25, _xlfn.XLOOKUP($A11, 'Royalties Historic'!$A$27:$A$39, 'Royalties Historic'!$27:$39))
)</f>
        <v>67.96319170000001</v>
      </c>
      <c r="D11" s="256">
        <f t="shared" ref="D11:D13" ca="1" si="0">C11-B11</f>
        <v>23.941366110000004</v>
      </c>
      <c r="E11" s="257">
        <f t="shared" ref="E11:E22" ca="1" si="1">IFERROR(D11/B11, "")</f>
        <v>0.54385218670800706</v>
      </c>
      <c r="F11" s="64"/>
      <c r="G11" s="2"/>
    </row>
    <row r="12" spans="1:22" x14ac:dyDescent="0.25">
      <c r="A12" s="251" t="s">
        <v>119</v>
      </c>
      <c r="B12" s="252" cm="1">
        <f t="array" aca="1" ref="B12" ca="1">IF($E$1="Financial Year",
_xlfn.XLOOKUP(B$8, 'Royalties Historic'!$8:$8, _xlfn.XLOOKUP($A12, 'Royalties Historic'!$A$10:$A$22, 'Royalties Historic'!$10:$22)),
_xlfn.XLOOKUP(B$8, 'Royalties Historic'!$25:$25, _xlfn.XLOOKUP($A12, 'Royalties Historic'!$A$27:$A$39, 'Royalties Historic'!$27:$39))
)</f>
        <v>8.7937279999999993E-2</v>
      </c>
      <c r="C12" s="252" cm="1">
        <f t="array" aca="1" ref="C12" ca="1">IF($E$1="Financial Year",
_xlfn.XLOOKUP(C$8, 'Royalties Historic'!$8:$8, _xlfn.XLOOKUP($A12, 'Royalties Historic'!$A$10:$A$22, 'Royalties Historic'!$10:$22)),
_xlfn.XLOOKUP(C$8, 'Royalties Historic'!$25:$25, _xlfn.XLOOKUP($A12, 'Royalties Historic'!$A$27:$A$39, 'Royalties Historic'!$27:$39))
)</f>
        <v>0.16800695000000002</v>
      </c>
      <c r="D12" s="253">
        <f t="shared" ca="1" si="0"/>
        <v>8.0069670000000023E-2</v>
      </c>
      <c r="E12" s="254">
        <f t="shared" ca="1" si="1"/>
        <v>0.91053157432206266</v>
      </c>
      <c r="F12" s="64"/>
      <c r="G12" s="2"/>
    </row>
    <row r="13" spans="1:22" x14ac:dyDescent="0.25">
      <c r="A13" s="251" t="s">
        <v>68</v>
      </c>
      <c r="B13" s="255" cm="1">
        <f t="array" aca="1" ref="B13" ca="1">IF($E$1="Financial Year",
_xlfn.XLOOKUP(B$8, 'Royalties Historic'!$8:$8, _xlfn.XLOOKUP($A13, 'Royalties Historic'!$A$10:$A$22, 'Royalties Historic'!$10:$22)),
_xlfn.XLOOKUP(B$8, 'Royalties Historic'!$25:$25, _xlfn.XLOOKUP($A13, 'Royalties Historic'!$A$27:$A$39, 'Royalties Historic'!$27:$39))
)</f>
        <v>542.66671464000012</v>
      </c>
      <c r="C13" s="255" cm="1">
        <f t="array" aca="1" ref="C13" ca="1">IF($E$1="Financial Year",
_xlfn.XLOOKUP(C$8, 'Royalties Historic'!$8:$8, _xlfn.XLOOKUP($A13, 'Royalties Historic'!$A$10:$A$22, 'Royalties Historic'!$10:$22)),
_xlfn.XLOOKUP(C$8, 'Royalties Historic'!$25:$25, _xlfn.XLOOKUP($A13, 'Royalties Historic'!$A$27:$A$39, 'Royalties Historic'!$27:$39))
)</f>
        <v>788.98291674000041</v>
      </c>
      <c r="D13" s="256">
        <f t="shared" ca="1" si="0"/>
        <v>246.31620210000028</v>
      </c>
      <c r="E13" s="257">
        <f t="shared" ca="1" si="1"/>
        <v>0.45389959519334822</v>
      </c>
      <c r="F13" s="64"/>
      <c r="G13" s="2"/>
    </row>
    <row r="14" spans="1:22" x14ac:dyDescent="0.25">
      <c r="A14" s="251" t="s">
        <v>69</v>
      </c>
      <c r="B14" s="252" cm="1">
        <f t="array" aca="1" ref="B14" ca="1">IF($E$1="Financial Year",
_xlfn.XLOOKUP(B$8, 'Royalties Historic'!$8:$8, _xlfn.XLOOKUP($A14, 'Royalties Historic'!$A$10:$A$22, 'Royalties Historic'!$10:$22)),
_xlfn.XLOOKUP(B$8, 'Royalties Historic'!$25:$25, _xlfn.XLOOKUP($A14, 'Royalties Historic'!$A$27:$A$39, 'Royalties Historic'!$27:$39))
)</f>
        <v>9938.2742784499987</v>
      </c>
      <c r="C14" s="252" cm="1">
        <f t="array" aca="1" ref="C14" ca="1">IF($E$1="Financial Year",
_xlfn.XLOOKUP(C$8, 'Royalties Historic'!$8:$8, _xlfn.XLOOKUP($A14, 'Royalties Historic'!$A$10:$A$22, 'Royalties Historic'!$10:$22)),
_xlfn.XLOOKUP(C$8, 'Royalties Historic'!$25:$25, _xlfn.XLOOKUP($A14, 'Royalties Historic'!$A$27:$A$39, 'Royalties Historic'!$27:$39))
)</f>
        <v>8659.6084190500005</v>
      </c>
      <c r="D14" s="253">
        <f ca="1">C14-B14</f>
        <v>-1278.6658593999982</v>
      </c>
      <c r="E14" s="254">
        <f t="shared" ca="1" si="1"/>
        <v>-0.12866075372588959</v>
      </c>
      <c r="F14" s="69"/>
      <c r="G14" s="258"/>
    </row>
    <row r="15" spans="1:22" x14ac:dyDescent="0.25">
      <c r="A15" s="251" t="s">
        <v>70</v>
      </c>
      <c r="B15" s="255" cm="1">
        <f t="array" aca="1" ref="B15" ca="1">IF($E$1="Financial Year",
_xlfn.XLOOKUP(B$8, 'Royalties Historic'!$8:$8, _xlfn.XLOOKUP($A15, 'Royalties Historic'!$A$10:$A$22, 'Royalties Historic'!$10:$22)),
_xlfn.XLOOKUP(B$8, 'Royalties Historic'!$25:$25, _xlfn.XLOOKUP($A15, 'Royalties Historic'!$A$27:$A$39, 'Royalties Historic'!$27:$39))
)</f>
        <v>376.65560485000003</v>
      </c>
      <c r="C15" s="255" cm="1">
        <f t="array" aca="1" ref="C15" ca="1">IF($E$1="Financial Year",
_xlfn.XLOOKUP(C$8, 'Royalties Historic'!$8:$8, _xlfn.XLOOKUP($A15, 'Royalties Historic'!$A$10:$A$22, 'Royalties Historic'!$10:$22)),
_xlfn.XLOOKUP(C$8, 'Royalties Historic'!$25:$25, _xlfn.XLOOKUP($A15, 'Royalties Historic'!$A$27:$A$39, 'Royalties Historic'!$27:$39))
)</f>
        <v>221.19037430000009</v>
      </c>
      <c r="D15" s="256">
        <f t="shared" ref="D15:D19" ca="1" si="2">C15-B15</f>
        <v>-155.46523054999994</v>
      </c>
      <c r="E15" s="257">
        <f t="shared" ca="1" si="1"/>
        <v>-0.41275167168138299</v>
      </c>
      <c r="F15" s="259"/>
      <c r="G15" s="258"/>
    </row>
    <row r="16" spans="1:22" x14ac:dyDescent="0.25">
      <c r="A16" s="251" t="s">
        <v>120</v>
      </c>
      <c r="B16" s="252" cm="1">
        <f t="array" aca="1" ref="B16" ca="1">IF($E$1="Financial Year",
_xlfn.XLOOKUP(B$8, 'Royalties Historic'!$8:$8, _xlfn.XLOOKUP($A16, 'Royalties Historic'!$A$10:$A$22, 'Royalties Historic'!$10:$22)),
_xlfn.XLOOKUP(B$8, 'Royalties Historic'!$25:$25, _xlfn.XLOOKUP($A16, 'Royalties Historic'!$A$27:$A$39, 'Royalties Historic'!$27:$39))
)</f>
        <v>45.228050260000003</v>
      </c>
      <c r="C16" s="252" cm="1">
        <f t="array" aca="1" ref="C16" ca="1">IF($E$1="Financial Year",
_xlfn.XLOOKUP(C$8, 'Royalties Historic'!$8:$8, _xlfn.XLOOKUP($A16, 'Royalties Historic'!$A$10:$A$22, 'Royalties Historic'!$10:$22)),
_xlfn.XLOOKUP(C$8, 'Royalties Historic'!$25:$25, _xlfn.XLOOKUP($A16, 'Royalties Historic'!$A$27:$A$39, 'Royalties Historic'!$27:$39))
)</f>
        <v>49.215002159999997</v>
      </c>
      <c r="D16" s="253">
        <f t="shared" ca="1" si="2"/>
        <v>3.986951899999994</v>
      </c>
      <c r="E16" s="254">
        <f t="shared" ca="1" si="1"/>
        <v>8.8152194867574946E-2</v>
      </c>
      <c r="F16" s="64"/>
      <c r="G16" s="2"/>
      <c r="M16" s="53" t="str">
        <f ca="1">CONCATENATE("Royalty Receipts and North West Shelf Grants ",C8)</f>
        <v>Royalty Receipts and North West Shelf Grants 2025</v>
      </c>
    </row>
    <row r="17" spans="1:13" x14ac:dyDescent="0.25">
      <c r="A17" s="251" t="s">
        <v>72</v>
      </c>
      <c r="B17" s="255" cm="1">
        <f t="array" aca="1" ref="B17" ca="1">IF($E$1="Financial Year",
_xlfn.XLOOKUP(B$8, 'Royalties Historic'!$8:$8, _xlfn.XLOOKUP($A17, 'Royalties Historic'!$A$10:$A$22, 'Royalties Historic'!$10:$22)),
_xlfn.XLOOKUP(B$8, 'Royalties Historic'!$25:$25, _xlfn.XLOOKUP($A17, 'Royalties Historic'!$A$27:$A$39, 'Royalties Historic'!$27:$39))
)</f>
        <v>80.630319810000003</v>
      </c>
      <c r="C17" s="255" cm="1">
        <f t="array" aca="1" ref="C17" ca="1">IF($E$1="Financial Year",
_xlfn.XLOOKUP(C$8, 'Royalties Historic'!$8:$8, _xlfn.XLOOKUP($A17, 'Royalties Historic'!$A$10:$A$22, 'Royalties Historic'!$10:$22)),
_xlfn.XLOOKUP(C$8, 'Royalties Historic'!$25:$25, _xlfn.XLOOKUP($A17, 'Royalties Historic'!$A$27:$A$39, 'Royalties Historic'!$27:$39))
)</f>
        <v>39.249502739999983</v>
      </c>
      <c r="D17" s="256">
        <f t="shared" ca="1" si="2"/>
        <v>-41.38081707000002</v>
      </c>
      <c r="E17" s="257">
        <f t="shared" ca="1" si="1"/>
        <v>-0.51321658115100088</v>
      </c>
      <c r="F17" s="64"/>
      <c r="G17" s="2"/>
    </row>
    <row r="18" spans="1:13" x14ac:dyDescent="0.25">
      <c r="A18" s="251" t="s">
        <v>121</v>
      </c>
      <c r="B18" s="252" cm="1">
        <f t="array" aca="1" ref="B18" ca="1">IF($E$1="Financial Year",
_xlfn.XLOOKUP(B$8, 'Royalties Historic'!$8:$8, _xlfn.XLOOKUP($A18, 'Royalties Historic'!$A$10:$A$22, 'Royalties Historic'!$10:$22)),
_xlfn.XLOOKUP(B$8, 'Royalties Historic'!$25:$25, _xlfn.XLOOKUP($A18, 'Royalties Historic'!$A$27:$A$39, 'Royalties Historic'!$27:$39))
)</f>
        <v>102.33566375000025</v>
      </c>
      <c r="C18" s="252" cm="1">
        <f t="array" aca="1" ref="C18" ca="1">IF($E$1="Financial Year",
_xlfn.XLOOKUP(C$8, 'Royalties Historic'!$8:$8, _xlfn.XLOOKUP($A18, 'Royalties Historic'!$A$10:$A$22, 'Royalties Historic'!$10:$22)),
_xlfn.XLOOKUP(C$8, 'Royalties Historic'!$25:$25, _xlfn.XLOOKUP($A18, 'Royalties Historic'!$A$27:$A$39, 'Royalties Historic'!$27:$39))
)</f>
        <v>95.515465910000003</v>
      </c>
      <c r="D18" s="253">
        <f t="shared" ca="1" si="2"/>
        <v>-6.8201978400002474</v>
      </c>
      <c r="E18" s="254">
        <f t="shared" ca="1" si="1"/>
        <v>-6.6645366728275424E-2</v>
      </c>
      <c r="F18" s="64"/>
      <c r="G18" s="2"/>
    </row>
    <row r="19" spans="1:13" x14ac:dyDescent="0.25">
      <c r="A19" s="251" t="s">
        <v>73</v>
      </c>
      <c r="B19" s="255" cm="1">
        <f t="array" aca="1" ref="B19" ca="1">IF($E$1="Financial Year",
_xlfn.XLOOKUP(B$8, 'Royalties Historic'!$8:$8, _xlfn.XLOOKUP($A19, 'Royalties Historic'!$A$10:$A$22, 'Royalties Historic'!$10:$22)),
_xlfn.XLOOKUP(B$8, 'Royalties Historic'!$25:$25, _xlfn.XLOOKUP($A19, 'Royalties Historic'!$A$27:$A$39, 'Royalties Historic'!$27:$39))
)</f>
        <v>20.826791570000005</v>
      </c>
      <c r="C19" s="255" cm="1">
        <f t="array" aca="1" ref="C19" ca="1">IF($E$1="Financial Year",
_xlfn.XLOOKUP(C$8, 'Royalties Historic'!$8:$8, _xlfn.XLOOKUP($A19, 'Royalties Historic'!$A$10:$A$22, 'Royalties Historic'!$10:$22)),
_xlfn.XLOOKUP(C$8, 'Royalties Historic'!$25:$25, _xlfn.XLOOKUP($A19, 'Royalties Historic'!$A$27:$A$39, 'Royalties Historic'!$27:$39))
)</f>
        <v>17.02421249</v>
      </c>
      <c r="D19" s="256">
        <f t="shared" ca="1" si="2"/>
        <v>-3.8025790800000046</v>
      </c>
      <c r="E19" s="257">
        <f t="shared" ca="1" si="1"/>
        <v>-0.18258112716110519</v>
      </c>
      <c r="F19" s="64"/>
      <c r="G19" s="2"/>
      <c r="M19" t="str">
        <f ca="1">"Revenue Growth"&amp;CHAR(10)&amp;B8&amp;" to "&amp;C8</f>
        <v>Revenue Growth
2024 to 2025</v>
      </c>
    </row>
    <row r="20" spans="1:13" x14ac:dyDescent="0.25">
      <c r="A20" s="260" t="s">
        <v>122</v>
      </c>
      <c r="B20" s="252" cm="1">
        <f t="array" aca="1" ref="B20" ca="1">IF($E$1="Financial Year",
_xlfn.XLOOKUP(B$8, 'Royalties Historic'!$8:$8, _xlfn.XLOOKUP($A20, 'Royalties Historic'!$A$10:$A$22, 'Royalties Historic'!$10:$22)),
_xlfn.XLOOKUP(B$8, 'Royalties Historic'!$25:$25, _xlfn.XLOOKUP($A20, 'Royalties Historic'!$A$27:$A$39, 'Royalties Historic'!$27:$39))
)</f>
        <v>710.8764352799999</v>
      </c>
      <c r="C20" s="252" cm="1">
        <f t="array" aca="1" ref="C20" ca="1">IF($E$1="Financial Year",
_xlfn.XLOOKUP(C$8, 'Royalties Historic'!$8:$8, _xlfn.XLOOKUP($A20, 'Royalties Historic'!$A$10:$A$22, 'Royalties Historic'!$10:$22)),
_xlfn.XLOOKUP(C$8, 'Royalties Historic'!$25:$25, _xlfn.XLOOKUP($A20, 'Royalties Historic'!$A$27:$A$39, 'Royalties Historic'!$27:$39))
)</f>
        <v>522.61320073999991</v>
      </c>
      <c r="D20" s="253">
        <f ca="1">C20-B20</f>
        <v>-188.26323453999998</v>
      </c>
      <c r="E20" s="254">
        <f t="shared" ca="1" si="1"/>
        <v>-0.26483257173357688</v>
      </c>
      <c r="F20" s="64"/>
      <c r="G20" s="2"/>
    </row>
    <row r="21" spans="1:13" x14ac:dyDescent="0.25">
      <c r="A21" s="261" t="s">
        <v>123</v>
      </c>
      <c r="B21" s="262" cm="1">
        <f t="array" aca="1" ref="B21" ca="1">IF($E$1="Financial Year",
_xlfn.XLOOKUP(B$8, 'Royalties Historic'!$8:$8, _xlfn.XLOOKUP($A21, 'Royalties Historic'!$A$10:$A$22, 'Royalties Historic'!$10:$22)),
_xlfn.XLOOKUP(B$8, 'Royalties Historic'!$25:$25, _xlfn.XLOOKUP($A21, 'Royalties Historic'!$A$27:$A$39, 'Royalties Historic'!$27:$39))
)</f>
        <v>11260.87567514</v>
      </c>
      <c r="C21" s="262" cm="1">
        <f t="array" aca="1" ref="C21" ca="1">IF($E$1="Financial Year",
_xlfn.XLOOKUP(C$8, 'Royalties Historic'!$8:$8, _xlfn.XLOOKUP($A21, 'Royalties Historic'!$A$10:$A$22, 'Royalties Historic'!$10:$22)),
_xlfn.XLOOKUP(C$8, 'Royalties Historic'!$25:$25, _xlfn.XLOOKUP($A21, 'Royalties Historic'!$A$27:$A$39, 'Royalties Historic'!$27:$39))
)</f>
        <v>10076.130673720001</v>
      </c>
      <c r="D21" s="263">
        <f t="shared" ref="D21:D22" ca="1" si="3">C21-B21</f>
        <v>-1184.7450014199985</v>
      </c>
      <c r="E21" s="264">
        <f t="shared" ca="1" si="1"/>
        <v>-0.10520895848583901</v>
      </c>
      <c r="G21" s="2"/>
    </row>
    <row r="22" spans="1:13" ht="15.75" thickBot="1" x14ac:dyDescent="0.3">
      <c r="A22" s="265" t="s">
        <v>1224</v>
      </c>
      <c r="B22" s="266" cm="1">
        <f t="array" aca="1" ref="B22" ca="1">IF($E$1="Financial Year",
_xlfn.XLOOKUP(B$8, 'Royalties Historic'!$8:$8, _xlfn.XLOOKUP($A22, 'Royalties Historic'!$A$10:$A$22, 'Royalties Historic'!$10:$22)),
_xlfn.XLOOKUP(B$8, 'Royalties Historic'!$25:$25, _xlfn.XLOOKUP($A22, 'Royalties Historic'!$A$27:$A$39, 'Royalties Historic'!$27:$39))
)</f>
        <v>11971.752110419999</v>
      </c>
      <c r="C22" s="266" cm="1">
        <f t="array" aca="1" ref="C22" ca="1">IF($E$1="Financial Year",
_xlfn.XLOOKUP(C$8, 'Royalties Historic'!$8:$8, _xlfn.XLOOKUP($A22, 'Royalties Historic'!$A$10:$A$22, 'Royalties Historic'!$10:$22)),
_xlfn.XLOOKUP(C$8, 'Royalties Historic'!$25:$25, _xlfn.XLOOKUP($A22, 'Royalties Historic'!$A$27:$A$39, 'Royalties Historic'!$27:$39))
)</f>
        <v>10598.74387446</v>
      </c>
      <c r="D22" s="267">
        <f t="shared" ca="1" si="3"/>
        <v>-1373.0082359599983</v>
      </c>
      <c r="E22" s="268">
        <f t="shared" ca="1" si="1"/>
        <v>-0.11468732590653598</v>
      </c>
      <c r="G22" s="2"/>
    </row>
    <row r="23" spans="1:13" ht="40.5" customHeight="1" x14ac:dyDescent="0.25">
      <c r="A23" s="592" t="str">
        <f ca="1">IF(E1="Calendar Year", "Regulation 10 of the Mining (Royalties) Regulations 2025 requires that royalties be paid within 30 days after the end of a quarter. As a result, cash receipts are necessarily offset by one quarter from the quarter in which they are accrued, i.e. the "&amp;C8&amp;" calendar year royalty receipts reflect the December quarter "&amp;B8&amp;" and the March, June and September quarter "&amp;C8&amp;" accruals.",
"Regulation 10 of the Mining (Royalties) Regulations 2025 requires that royalties be paid within 30 days after the end of a quarter. As a result, cash receipts are necessarily offset by one quarter from the quarter in which they are accrued,, i.e. the "&amp;C8&amp;" financial year royalty receipts reflect the June, September and December quarter "&amp;LEFT(C8,4)&amp;", and the March quarter "&amp;LEFT(C8,4)+1&amp;" accruals.")</f>
        <v>Regulation 10 of the Mining (Royalties) Regulations 2025 requires that royalties be paid within 30 days after the end of a quarter. As a result, cash receipts are necessarily offset by one quarter from the quarter in which they are accrued, i.e. the 2025 calendar year royalty receipts reflect the December quarter 2024 and the March, June and September quarter 2025 accruals.</v>
      </c>
      <c r="B23" s="592"/>
      <c r="C23" s="592"/>
      <c r="D23" s="592"/>
      <c r="E23" s="592"/>
      <c r="G23" s="2"/>
    </row>
    <row r="25" spans="1:13" x14ac:dyDescent="0.25">
      <c r="A25" s="592"/>
      <c r="B25" s="592"/>
      <c r="C25" s="592"/>
      <c r="D25" s="592"/>
      <c r="E25" s="592"/>
    </row>
    <row r="28" spans="1:13" x14ac:dyDescent="0.25">
      <c r="E28" s="562"/>
    </row>
    <row r="238" spans="2:2" x14ac:dyDescent="0.25">
      <c r="B238">
        <v>63.54</v>
      </c>
    </row>
    <row r="239" spans="2:2" x14ac:dyDescent="0.25">
      <c r="B239">
        <v>63.86</v>
      </c>
    </row>
    <row r="240" spans="2:2" x14ac:dyDescent="0.25">
      <c r="B240">
        <v>63.7</v>
      </c>
    </row>
    <row r="241" spans="2:2" x14ac:dyDescent="0.25">
      <c r="B241">
        <v>64.67</v>
      </c>
    </row>
    <row r="242" spans="2:2" x14ac:dyDescent="0.25">
      <c r="B242">
        <v>65.03</v>
      </c>
    </row>
    <row r="243" spans="2:2" x14ac:dyDescent="0.25">
      <c r="B243">
        <v>64.67</v>
      </c>
    </row>
    <row r="244" spans="2:2" x14ac:dyDescent="0.25">
      <c r="B244">
        <v>65.260000000000005</v>
      </c>
    </row>
    <row r="245" spans="2:2" x14ac:dyDescent="0.25">
      <c r="B245">
        <v>66.599999999999994</v>
      </c>
    </row>
    <row r="246" spans="2:2" x14ac:dyDescent="0.25">
      <c r="B246">
        <v>66.28</v>
      </c>
    </row>
    <row r="247" spans="2:2" x14ac:dyDescent="0.25">
      <c r="B247">
        <v>65.11</v>
      </c>
    </row>
    <row r="248" spans="2:2" x14ac:dyDescent="0.25">
      <c r="B248">
        <v>64.040000000000006</v>
      </c>
    </row>
    <row r="249" spans="2:2" x14ac:dyDescent="0.25">
      <c r="B249">
        <v>64.569999999999993</v>
      </c>
    </row>
  </sheetData>
  <mergeCells count="4">
    <mergeCell ref="A7:E7"/>
    <mergeCell ref="D8:E8"/>
    <mergeCell ref="A23:E23"/>
    <mergeCell ref="A25:E25"/>
  </mergeCells>
  <conditionalFormatting sqref="D10:E22">
    <cfRule type="cellIs" dxfId="1" priority="1" operator="lessThan">
      <formula>0</formula>
    </cfRule>
  </conditionalFormatting>
  <conditionalFormatting sqref="F14:G15">
    <cfRule type="cellIs" dxfId="0" priority="5" operator="lessThan">
      <formula>0</formula>
    </cfRule>
  </conditionalFormatting>
  <dataValidations count="1">
    <dataValidation type="list" allowBlank="1" showInputMessage="1" showErrorMessage="1" promptTitle="Select a Period" prompt="Click to select Calendar or Financial Year" sqref="E1" xr:uid="{CDCBD6EE-8D50-4169-9A65-8B8442B95D8A}">
      <formula1>$U$1:$U$2</formula1>
    </dataValidation>
  </dataValidations>
  <pageMargins left="0.70866141732283472" right="0.70866141732283472" top="0.74803149606299213" bottom="0.74803149606299213" header="0.31496062992125984" footer="0.31496062992125984"/>
  <pageSetup paperSize="9" scale="9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C5F0-4BF9-494D-9F06-E1CD5F95B018}">
  <sheetPr codeName="Sheet15"/>
  <dimension ref="A1:BG215"/>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50.7109375" customWidth="1"/>
    <col min="2" max="45" width="15.7109375" customWidth="1"/>
  </cols>
  <sheetData>
    <row r="1" spans="1:59" s="3" customFormat="1" x14ac:dyDescent="0.25">
      <c r="B1" s="3">
        <f t="shared" ref="B1:AQ1" ca="1" si="0">IFERROR(SUM(LEFT(INDIRECT(ADDRESS(8,COLUMN(),1,0),FALSE),4)),"")</f>
        <v>1983</v>
      </c>
      <c r="C1" s="3">
        <f t="shared" ca="1" si="0"/>
        <v>1984</v>
      </c>
      <c r="D1" s="3">
        <f t="shared" ca="1" si="0"/>
        <v>1985</v>
      </c>
      <c r="E1" s="3">
        <f t="shared" ca="1" si="0"/>
        <v>1986</v>
      </c>
      <c r="F1" s="3">
        <f t="shared" ca="1" si="0"/>
        <v>1987</v>
      </c>
      <c r="G1" s="3">
        <f t="shared" ca="1" si="0"/>
        <v>1988</v>
      </c>
      <c r="H1" s="3">
        <f t="shared" ca="1" si="0"/>
        <v>1989</v>
      </c>
      <c r="I1" s="3">
        <f t="shared" ca="1" si="0"/>
        <v>1990</v>
      </c>
      <c r="J1" s="3">
        <f t="shared" ca="1" si="0"/>
        <v>1991</v>
      </c>
      <c r="K1" s="3">
        <f t="shared" ca="1" si="0"/>
        <v>1992</v>
      </c>
      <c r="L1" s="3">
        <f t="shared" ca="1" si="0"/>
        <v>1993</v>
      </c>
      <c r="M1" s="3">
        <f t="shared" ca="1" si="0"/>
        <v>1994</v>
      </c>
      <c r="N1" s="3">
        <f t="shared" ca="1" si="0"/>
        <v>1995</v>
      </c>
      <c r="O1" s="3">
        <f t="shared" ca="1" si="0"/>
        <v>1996</v>
      </c>
      <c r="P1" s="3">
        <f t="shared" ca="1" si="0"/>
        <v>1997</v>
      </c>
      <c r="Q1" s="3">
        <f t="shared" ca="1" si="0"/>
        <v>1998</v>
      </c>
      <c r="R1" s="3">
        <f t="shared" ca="1" si="0"/>
        <v>1999</v>
      </c>
      <c r="S1" s="3">
        <f t="shared" ca="1" si="0"/>
        <v>2000</v>
      </c>
      <c r="T1" s="3">
        <f t="shared" ca="1" si="0"/>
        <v>2001</v>
      </c>
      <c r="U1" s="3">
        <f t="shared" ca="1" si="0"/>
        <v>2002</v>
      </c>
      <c r="V1" s="3">
        <f t="shared" ca="1" si="0"/>
        <v>2003</v>
      </c>
      <c r="W1" s="3">
        <f t="shared" ca="1" si="0"/>
        <v>2004</v>
      </c>
      <c r="X1" s="3">
        <f t="shared" ca="1" si="0"/>
        <v>2005</v>
      </c>
      <c r="Y1" s="3">
        <f t="shared" ca="1" si="0"/>
        <v>2006</v>
      </c>
      <c r="Z1" s="3">
        <f t="shared" ca="1" si="0"/>
        <v>2007</v>
      </c>
      <c r="AA1" s="3">
        <f t="shared" ca="1" si="0"/>
        <v>2008</v>
      </c>
      <c r="AB1" s="3">
        <f t="shared" ca="1" si="0"/>
        <v>2009</v>
      </c>
      <c r="AC1" s="3">
        <f t="shared" ca="1" si="0"/>
        <v>2010</v>
      </c>
      <c r="AD1" s="3">
        <f t="shared" ca="1" si="0"/>
        <v>2011</v>
      </c>
      <c r="AE1" s="3">
        <f t="shared" ca="1" si="0"/>
        <v>2012</v>
      </c>
      <c r="AF1" s="3">
        <f t="shared" ca="1" si="0"/>
        <v>2013</v>
      </c>
      <c r="AG1" s="3">
        <f t="shared" ca="1" si="0"/>
        <v>2014</v>
      </c>
      <c r="AH1" s="3">
        <f t="shared" ca="1" si="0"/>
        <v>2015</v>
      </c>
      <c r="AI1" s="3">
        <f t="shared" ca="1" si="0"/>
        <v>2016</v>
      </c>
      <c r="AJ1" s="3">
        <f t="shared" ca="1" si="0"/>
        <v>2017</v>
      </c>
      <c r="AK1" s="3">
        <f t="shared" ca="1" si="0"/>
        <v>2018</v>
      </c>
      <c r="AL1" s="3">
        <f t="shared" ca="1" si="0"/>
        <v>2019</v>
      </c>
      <c r="AM1" s="3">
        <f t="shared" ca="1" si="0"/>
        <v>2020</v>
      </c>
      <c r="AN1" s="3">
        <f t="shared" ca="1" si="0"/>
        <v>2021</v>
      </c>
      <c r="AO1" s="3">
        <f t="shared" ca="1" si="0"/>
        <v>2022</v>
      </c>
      <c r="AP1" s="3">
        <f t="shared" ca="1" si="0"/>
        <v>2023</v>
      </c>
      <c r="AQ1" s="3">
        <f t="shared" ca="1" si="0"/>
        <v>2024</v>
      </c>
      <c r="AR1" s="3" t="str">
        <f t="shared" ref="AR1:BG1" ca="1" si="1">IFERROR(SUM(LEFT(INDIRECT(ADDRESS(8,COLUMN(),1,0),FALSE),4)),"")</f>
        <v/>
      </c>
      <c r="AS1" s="3" t="str">
        <f t="shared" ca="1" si="1"/>
        <v/>
      </c>
      <c r="AT1" s="3" t="str">
        <f t="shared" ca="1" si="1"/>
        <v/>
      </c>
      <c r="AU1" s="3" t="str">
        <f t="shared" ca="1" si="1"/>
        <v/>
      </c>
      <c r="AV1" s="3" t="str">
        <f t="shared" ca="1" si="1"/>
        <v/>
      </c>
      <c r="AW1" s="3" t="str">
        <f t="shared" ca="1" si="1"/>
        <v/>
      </c>
      <c r="AX1" s="3" t="str">
        <f t="shared" ca="1" si="1"/>
        <v/>
      </c>
      <c r="AY1" s="3" t="str">
        <f t="shared" ca="1" si="1"/>
        <v/>
      </c>
      <c r="AZ1" s="3" t="str">
        <f t="shared" ca="1" si="1"/>
        <v/>
      </c>
      <c r="BA1" s="3" t="str">
        <f t="shared" ca="1" si="1"/>
        <v/>
      </c>
      <c r="BB1" s="3" t="str">
        <f t="shared" ca="1" si="1"/>
        <v/>
      </c>
      <c r="BC1" s="3" t="str">
        <f t="shared" ca="1" si="1"/>
        <v/>
      </c>
      <c r="BD1" s="3" t="str">
        <f t="shared" ca="1" si="1"/>
        <v/>
      </c>
      <c r="BE1" s="3" t="str">
        <f t="shared" ca="1" si="1"/>
        <v/>
      </c>
      <c r="BF1" s="3" t="str">
        <f t="shared" ca="1" si="1"/>
        <v/>
      </c>
      <c r="BG1" s="3" t="str">
        <f t="shared" ca="1" si="1"/>
        <v/>
      </c>
    </row>
    <row r="2" spans="1:59" s="3" customFormat="1" x14ac:dyDescent="0.25">
      <c r="A2" s="3" t="str">
        <f>ADDRESS(8,(A3-1),1,)</f>
        <v>$AQ$8</v>
      </c>
    </row>
    <row r="3" spans="1:59" s="3" customFormat="1" x14ac:dyDescent="0.25">
      <c r="A3" s="86">
        <f>MATCH("Cumulative Total",A8:DG8)</f>
        <v>44</v>
      </c>
    </row>
    <row r="4" spans="1:59" x14ac:dyDescent="0.25">
      <c r="B4" s="269"/>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x14ac:dyDescent="0.25">
      <c r="AB5" s="270"/>
      <c r="AC5" s="270"/>
      <c r="AD5" s="270"/>
      <c r="AE5" s="270"/>
      <c r="AF5" s="270"/>
      <c r="AG5" s="270"/>
      <c r="AH5" s="270"/>
      <c r="AI5" s="270"/>
      <c r="AJ5" s="270"/>
      <c r="AK5" s="270"/>
      <c r="AL5" s="270"/>
      <c r="AM5" s="270"/>
      <c r="AN5" s="270"/>
      <c r="AO5" s="270"/>
      <c r="AP5" s="270"/>
      <c r="AQ5" s="270"/>
    </row>
    <row r="6" spans="1:59" x14ac:dyDescent="0.25">
      <c r="AB6" s="270"/>
      <c r="AC6" s="87"/>
      <c r="AD6" s="87"/>
      <c r="AE6" s="87"/>
      <c r="AF6" s="87"/>
      <c r="AG6" s="87"/>
      <c r="AH6" s="87"/>
      <c r="AI6" s="87"/>
      <c r="AJ6" s="87"/>
      <c r="AK6" s="87"/>
      <c r="AL6" s="87"/>
      <c r="AM6" s="87"/>
      <c r="AN6" s="87"/>
      <c r="AO6" s="87"/>
      <c r="AP6" s="87"/>
    </row>
    <row r="7" spans="1:59" ht="15.75" thickBot="1" x14ac:dyDescent="0.3">
      <c r="A7" s="88" t="s">
        <v>124</v>
      </c>
    </row>
    <row r="8" spans="1:59" s="3" customFormat="1" x14ac:dyDescent="0.25">
      <c r="A8" s="593" t="s">
        <v>63</v>
      </c>
      <c r="B8" s="271" t="s">
        <v>125</v>
      </c>
      <c r="C8" s="272" t="s">
        <v>126</v>
      </c>
      <c r="D8" s="272" t="s">
        <v>127</v>
      </c>
      <c r="E8" s="272" t="s">
        <v>128</v>
      </c>
      <c r="F8" s="272" t="s">
        <v>129</v>
      </c>
      <c r="G8" s="272" t="s">
        <v>130</v>
      </c>
      <c r="H8" s="272" t="s">
        <v>131</v>
      </c>
      <c r="I8" s="272" t="s">
        <v>132</v>
      </c>
      <c r="J8" s="272" t="s">
        <v>133</v>
      </c>
      <c r="K8" s="272" t="s">
        <v>134</v>
      </c>
      <c r="L8" s="272" t="s">
        <v>135</v>
      </c>
      <c r="M8" s="272" t="s">
        <v>136</v>
      </c>
      <c r="N8" s="272" t="s">
        <v>137</v>
      </c>
      <c r="O8" s="272" t="s">
        <v>138</v>
      </c>
      <c r="P8" s="272" t="s">
        <v>139</v>
      </c>
      <c r="Q8" s="272" t="s">
        <v>140</v>
      </c>
      <c r="R8" s="272" t="s">
        <v>141</v>
      </c>
      <c r="S8" s="272" t="s">
        <v>142</v>
      </c>
      <c r="T8" s="272" t="s">
        <v>143</v>
      </c>
      <c r="U8" s="272" t="s">
        <v>144</v>
      </c>
      <c r="V8" s="272" t="s">
        <v>145</v>
      </c>
      <c r="W8" s="272" t="s">
        <v>146</v>
      </c>
      <c r="X8" s="272" t="s">
        <v>147</v>
      </c>
      <c r="Y8" s="272" t="s">
        <v>148</v>
      </c>
      <c r="Z8" s="272" t="s">
        <v>149</v>
      </c>
      <c r="AA8" s="272" t="s">
        <v>150</v>
      </c>
      <c r="AB8" s="272" t="s">
        <v>151</v>
      </c>
      <c r="AC8" s="272" t="s">
        <v>152</v>
      </c>
      <c r="AD8" s="272" t="s">
        <v>153</v>
      </c>
      <c r="AE8" s="272" t="s">
        <v>154</v>
      </c>
      <c r="AF8" s="272" t="s">
        <v>155</v>
      </c>
      <c r="AG8" s="272" t="s">
        <v>156</v>
      </c>
      <c r="AH8" s="272" t="s">
        <v>81</v>
      </c>
      <c r="AI8" s="272" t="s">
        <v>82</v>
      </c>
      <c r="AJ8" s="272" t="s">
        <v>83</v>
      </c>
      <c r="AK8" s="272" t="s">
        <v>84</v>
      </c>
      <c r="AL8" s="272" t="s">
        <v>85</v>
      </c>
      <c r="AM8" s="272" t="s">
        <v>86</v>
      </c>
      <c r="AN8" s="272" t="s">
        <v>87</v>
      </c>
      <c r="AO8" s="272" t="s">
        <v>88</v>
      </c>
      <c r="AP8" s="272" t="s">
        <v>585</v>
      </c>
      <c r="AQ8" s="272" t="s">
        <v>824</v>
      </c>
      <c r="AR8" s="595" t="s">
        <v>89</v>
      </c>
      <c r="AS8" s="596"/>
    </row>
    <row r="9" spans="1:59" s="3" customFormat="1" x14ac:dyDescent="0.25">
      <c r="A9" s="594"/>
      <c r="B9" s="249" t="s">
        <v>116</v>
      </c>
      <c r="C9" s="273" t="s">
        <v>116</v>
      </c>
      <c r="D9" s="273" t="s">
        <v>116</v>
      </c>
      <c r="E9" s="274" t="s">
        <v>116</v>
      </c>
      <c r="F9" s="273" t="s">
        <v>116</v>
      </c>
      <c r="G9" s="274" t="s">
        <v>116</v>
      </c>
      <c r="H9" s="273" t="s">
        <v>116</v>
      </c>
      <c r="I9" s="274" t="s">
        <v>116</v>
      </c>
      <c r="J9" s="273" t="s">
        <v>116</v>
      </c>
      <c r="K9" s="274" t="s">
        <v>116</v>
      </c>
      <c r="L9" s="274" t="s">
        <v>116</v>
      </c>
      <c r="M9" s="274" t="s">
        <v>116</v>
      </c>
      <c r="N9" s="274" t="s">
        <v>116</v>
      </c>
      <c r="O9" s="274" t="s">
        <v>116</v>
      </c>
      <c r="P9" s="273" t="s">
        <v>116</v>
      </c>
      <c r="Q9" s="273" t="s">
        <v>116</v>
      </c>
      <c r="R9" s="275" t="s">
        <v>116</v>
      </c>
      <c r="S9" s="275" t="s">
        <v>116</v>
      </c>
      <c r="T9" s="275" t="s">
        <v>116</v>
      </c>
      <c r="U9" s="275" t="s">
        <v>116</v>
      </c>
      <c r="V9" s="275" t="s">
        <v>116</v>
      </c>
      <c r="W9" s="275" t="s">
        <v>116</v>
      </c>
      <c r="X9" s="275" t="s">
        <v>116</v>
      </c>
      <c r="Y9" s="275" t="s">
        <v>116</v>
      </c>
      <c r="Z9" s="276" t="s">
        <v>116</v>
      </c>
      <c r="AA9" s="276" t="s">
        <v>116</v>
      </c>
      <c r="AB9" s="276" t="s">
        <v>116</v>
      </c>
      <c r="AC9" s="276" t="s">
        <v>116</v>
      </c>
      <c r="AD9" s="276" t="s">
        <v>116</v>
      </c>
      <c r="AE9" s="276" t="s">
        <v>116</v>
      </c>
      <c r="AF9" s="276" t="s">
        <v>116</v>
      </c>
      <c r="AG9" s="276" t="s">
        <v>116</v>
      </c>
      <c r="AH9" s="276" t="s">
        <v>116</v>
      </c>
      <c r="AI9" s="276" t="s">
        <v>116</v>
      </c>
      <c r="AJ9" s="276" t="s">
        <v>116</v>
      </c>
      <c r="AK9" s="276" t="s">
        <v>116</v>
      </c>
      <c r="AL9" s="276" t="s">
        <v>116</v>
      </c>
      <c r="AM9" s="276" t="s">
        <v>116</v>
      </c>
      <c r="AN9" s="276" t="s">
        <v>116</v>
      </c>
      <c r="AO9" s="276" t="s">
        <v>116</v>
      </c>
      <c r="AP9" s="276" t="s">
        <v>116</v>
      </c>
      <c r="AQ9" s="276" t="s">
        <v>116</v>
      </c>
      <c r="AR9" s="277" t="s">
        <v>116</v>
      </c>
      <c r="AS9" s="278" t="s">
        <v>90</v>
      </c>
    </row>
    <row r="10" spans="1:59" x14ac:dyDescent="0.25">
      <c r="A10" s="279" t="s">
        <v>117</v>
      </c>
      <c r="B10" s="280">
        <v>7.6971400000000001</v>
      </c>
      <c r="C10" s="107">
        <v>9.6387029999999996</v>
      </c>
      <c r="D10" s="107">
        <v>9.9236059999999995</v>
      </c>
      <c r="E10" s="107">
        <v>10.540225</v>
      </c>
      <c r="F10" s="107">
        <v>12.132982999999999</v>
      </c>
      <c r="G10" s="107">
        <v>20.797429999999999</v>
      </c>
      <c r="H10" s="107">
        <v>34.349514999999997</v>
      </c>
      <c r="I10" s="107">
        <v>33.894790999999998</v>
      </c>
      <c r="J10" s="107">
        <v>29.315957999999998</v>
      </c>
      <c r="K10" s="107">
        <v>28.715039000000001</v>
      </c>
      <c r="L10" s="107">
        <v>30.737151000000001</v>
      </c>
      <c r="M10" s="107">
        <v>27.484829000000001</v>
      </c>
      <c r="N10" s="107">
        <v>30.194089000000002</v>
      </c>
      <c r="O10" s="107">
        <v>33.739736000000001</v>
      </c>
      <c r="P10" s="107">
        <v>36.247579999999999</v>
      </c>
      <c r="Q10" s="107">
        <v>39.138672</v>
      </c>
      <c r="R10" s="107">
        <v>40.738370000000003</v>
      </c>
      <c r="S10" s="107">
        <v>55.512739000000003</v>
      </c>
      <c r="T10" s="107">
        <v>61.408085</v>
      </c>
      <c r="U10" s="107">
        <v>54.952314000000001</v>
      </c>
      <c r="V10" s="107">
        <v>49.998033</v>
      </c>
      <c r="W10" s="107">
        <v>54.578682000000001</v>
      </c>
      <c r="X10" s="107">
        <v>64.090699999999998</v>
      </c>
      <c r="Y10" s="107">
        <v>83.444013999999996</v>
      </c>
      <c r="Z10" s="107">
        <v>80.535398000000001</v>
      </c>
      <c r="AA10" s="107">
        <v>75.982727999999994</v>
      </c>
      <c r="AB10" s="107">
        <v>61.860134000000002</v>
      </c>
      <c r="AC10" s="107">
        <v>66.136236999999994</v>
      </c>
      <c r="AD10" s="107">
        <v>68.320773000000003</v>
      </c>
      <c r="AE10" s="107">
        <v>65.114003999999994</v>
      </c>
      <c r="AF10" s="107">
        <v>70.419138000000004</v>
      </c>
      <c r="AG10" s="107">
        <v>77.738389999999995</v>
      </c>
      <c r="AH10" s="107">
        <v>84.323525930000002</v>
      </c>
      <c r="AI10" s="107">
        <v>81.082360930000007</v>
      </c>
      <c r="AJ10" s="107">
        <v>99.231865760000005</v>
      </c>
      <c r="AK10" s="107">
        <v>135.00388719999998</v>
      </c>
      <c r="AL10" s="107">
        <v>113.60258414</v>
      </c>
      <c r="AM10" s="107">
        <v>92.446233109999994</v>
      </c>
      <c r="AN10" s="107">
        <v>101.09</v>
      </c>
      <c r="AO10" s="107">
        <v>113.64670525</v>
      </c>
      <c r="AP10" s="107">
        <v>109.12560028000001</v>
      </c>
      <c r="AQ10" s="107">
        <v>131.52256701000002</v>
      </c>
      <c r="AR10" s="281">
        <f t="shared" ref="AR10:AR22" si="2">SUM(B10:AQ10)</f>
        <v>2486.4525156099999</v>
      </c>
      <c r="AS10" s="282">
        <f t="shared" ref="AS10:AS21" si="3">AR10/AR$22</f>
        <v>1.7258476795902231E-2</v>
      </c>
    </row>
    <row r="11" spans="1:59" x14ac:dyDescent="0.25">
      <c r="A11" s="279" t="s">
        <v>118</v>
      </c>
      <c r="B11" s="253" t="s">
        <v>77</v>
      </c>
      <c r="C11" s="283" t="s">
        <v>77</v>
      </c>
      <c r="D11" s="283" t="s">
        <v>77</v>
      </c>
      <c r="E11" s="283" t="s">
        <v>77</v>
      </c>
      <c r="F11" s="283" t="s">
        <v>77</v>
      </c>
      <c r="G11" s="283" t="s">
        <v>77</v>
      </c>
      <c r="H11" s="283" t="s">
        <v>77</v>
      </c>
      <c r="I11" s="283" t="s">
        <v>77</v>
      </c>
      <c r="J11" s="283" t="s">
        <v>77</v>
      </c>
      <c r="K11" s="283" t="s">
        <v>77</v>
      </c>
      <c r="L11" s="283" t="s">
        <v>77</v>
      </c>
      <c r="M11" s="283" t="s">
        <v>77</v>
      </c>
      <c r="N11" s="283" t="s">
        <v>77</v>
      </c>
      <c r="O11" s="283" t="s">
        <v>77</v>
      </c>
      <c r="P11" s="283" t="s">
        <v>77</v>
      </c>
      <c r="Q11" s="283" t="s">
        <v>77</v>
      </c>
      <c r="R11" s="283" t="s">
        <v>77</v>
      </c>
      <c r="S11" s="283" t="s">
        <v>77</v>
      </c>
      <c r="T11" s="283" t="s">
        <v>77</v>
      </c>
      <c r="U11" s="283" t="s">
        <v>77</v>
      </c>
      <c r="V11" s="283" t="s">
        <v>77</v>
      </c>
      <c r="W11" s="283" t="s">
        <v>77</v>
      </c>
      <c r="X11" s="283" t="s">
        <v>77</v>
      </c>
      <c r="Y11" s="283" t="s">
        <v>77</v>
      </c>
      <c r="Z11" s="283" t="s">
        <v>77</v>
      </c>
      <c r="AA11" s="283" t="s">
        <v>77</v>
      </c>
      <c r="AB11" s="283" t="s">
        <v>77</v>
      </c>
      <c r="AC11" s="283" t="s">
        <v>77</v>
      </c>
      <c r="AD11" s="283" t="s">
        <v>77</v>
      </c>
      <c r="AE11" s="283" t="s">
        <v>77</v>
      </c>
      <c r="AF11" s="283">
        <v>77.128089000000003</v>
      </c>
      <c r="AG11" s="283">
        <v>67.389606000000001</v>
      </c>
      <c r="AH11" s="283">
        <v>59.238461059999899</v>
      </c>
      <c r="AI11" s="283">
        <v>59.915817759999996</v>
      </c>
      <c r="AJ11" s="283">
        <v>70.778183749999997</v>
      </c>
      <c r="AK11" s="283">
        <v>76.166555160000001</v>
      </c>
      <c r="AL11" s="283">
        <v>67.643884630000002</v>
      </c>
      <c r="AM11" s="283">
        <v>70.545597279999996</v>
      </c>
      <c r="AN11" s="283">
        <v>104.58</v>
      </c>
      <c r="AO11" s="283">
        <v>74.81588081000001</v>
      </c>
      <c r="AP11" s="283">
        <v>51.985805689999999</v>
      </c>
      <c r="AQ11" s="283">
        <v>64.278937499999984</v>
      </c>
      <c r="AR11" s="284">
        <f t="shared" si="2"/>
        <v>844.46681863999993</v>
      </c>
      <c r="AS11" s="285">
        <f t="shared" si="3"/>
        <v>5.8614475454128413E-3</v>
      </c>
    </row>
    <row r="12" spans="1:59" x14ac:dyDescent="0.25">
      <c r="A12" s="286" t="s">
        <v>119</v>
      </c>
      <c r="B12" s="280">
        <v>3.8021669999999999</v>
      </c>
      <c r="C12" s="107">
        <v>3.0626319999999998</v>
      </c>
      <c r="D12" s="107">
        <v>2.864655</v>
      </c>
      <c r="E12" s="107">
        <v>13.109394999999999</v>
      </c>
      <c r="F12" s="107">
        <v>12.221752</v>
      </c>
      <c r="G12" s="107">
        <v>12.055669999999999</v>
      </c>
      <c r="H12" s="107">
        <v>27.202476000000001</v>
      </c>
      <c r="I12" s="107">
        <v>27.289552</v>
      </c>
      <c r="J12" s="107">
        <v>30.985306000000001</v>
      </c>
      <c r="K12" s="107">
        <v>40.819425000000003</v>
      </c>
      <c r="L12" s="107">
        <v>40.201661999999999</v>
      </c>
      <c r="M12" s="107">
        <v>28.551514000000001</v>
      </c>
      <c r="N12" s="107">
        <v>37.972557000000002</v>
      </c>
      <c r="O12" s="107">
        <v>35.266731</v>
      </c>
      <c r="P12" s="107">
        <v>40.086339000000002</v>
      </c>
      <c r="Q12" s="107">
        <v>54.940671999999999</v>
      </c>
      <c r="R12" s="107">
        <v>62.496274999999997</v>
      </c>
      <c r="S12" s="107">
        <v>88.054636000000002</v>
      </c>
      <c r="T12" s="107">
        <v>62.636372000000001</v>
      </c>
      <c r="U12" s="107">
        <v>89.292743999999999</v>
      </c>
      <c r="V12" s="107">
        <v>45.022368999999998</v>
      </c>
      <c r="W12" s="107">
        <v>32.635114999999999</v>
      </c>
      <c r="X12" s="107">
        <v>48.225088</v>
      </c>
      <c r="Y12" s="107">
        <v>20.969208999999999</v>
      </c>
      <c r="Z12" s="107">
        <v>43.436045</v>
      </c>
      <c r="AA12" s="107">
        <v>18.838566</v>
      </c>
      <c r="AB12" s="107">
        <v>19.192682000000001</v>
      </c>
      <c r="AC12" s="107">
        <v>15.746836999999999</v>
      </c>
      <c r="AD12" s="107">
        <v>15.183261999999999</v>
      </c>
      <c r="AE12" s="107">
        <v>15.966746000000001</v>
      </c>
      <c r="AF12" s="107">
        <v>20.482859000000001</v>
      </c>
      <c r="AG12" s="107">
        <v>15.40889</v>
      </c>
      <c r="AH12" s="107">
        <v>18.324337539999998</v>
      </c>
      <c r="AI12" s="107">
        <v>13.01965483</v>
      </c>
      <c r="AJ12" s="107">
        <v>12.09403223</v>
      </c>
      <c r="AK12" s="107">
        <v>11.624602320000001</v>
      </c>
      <c r="AL12" s="107">
        <v>11.33563165</v>
      </c>
      <c r="AM12" s="107">
        <v>9.4321085500000006</v>
      </c>
      <c r="AN12" s="107">
        <v>0.46</v>
      </c>
      <c r="AO12" s="107">
        <v>0</v>
      </c>
      <c r="AP12" s="107">
        <v>0</v>
      </c>
      <c r="AQ12" s="107">
        <v>0.25594422999999999</v>
      </c>
      <c r="AR12" s="281">
        <f t="shared" si="2"/>
        <v>1100.5665113500002</v>
      </c>
      <c r="AS12" s="282">
        <f t="shared" si="3"/>
        <v>7.639036530653889E-3</v>
      </c>
    </row>
    <row r="13" spans="1:59" x14ac:dyDescent="0.25">
      <c r="A13" s="279" t="s">
        <v>68</v>
      </c>
      <c r="B13" s="253">
        <v>8.7825E-2</v>
      </c>
      <c r="C13" s="283">
        <v>0.100622</v>
      </c>
      <c r="D13" s="283">
        <v>0.10366300000000001</v>
      </c>
      <c r="E13" s="283">
        <v>0.111974</v>
      </c>
      <c r="F13" s="283">
        <v>0.12281400000000001</v>
      </c>
      <c r="G13" s="283">
        <v>0.21961</v>
      </c>
      <c r="H13" s="283">
        <v>0.19936200000000001</v>
      </c>
      <c r="I13" s="283">
        <v>0.29169099999999998</v>
      </c>
      <c r="J13" s="283">
        <v>0.204375</v>
      </c>
      <c r="K13" s="283">
        <v>0.25411499999999998</v>
      </c>
      <c r="L13" s="283">
        <v>0.28651500000000002</v>
      </c>
      <c r="M13" s="283">
        <v>0.386544</v>
      </c>
      <c r="N13" s="283">
        <v>0.36636800000000003</v>
      </c>
      <c r="O13" s="283">
        <v>0.46406599999999998</v>
      </c>
      <c r="P13" s="283">
        <v>0.36513299999999999</v>
      </c>
      <c r="Q13" s="283">
        <v>28.296903</v>
      </c>
      <c r="R13" s="283">
        <v>33.446114000000001</v>
      </c>
      <c r="S13" s="283">
        <v>65.638722000000001</v>
      </c>
      <c r="T13" s="283">
        <v>79.808780999999996</v>
      </c>
      <c r="U13" s="283">
        <v>85.356088999999997</v>
      </c>
      <c r="V13" s="283">
        <v>79.500095000000002</v>
      </c>
      <c r="W13" s="283">
        <v>72.914303000000004</v>
      </c>
      <c r="X13" s="283">
        <v>81.622995000000003</v>
      </c>
      <c r="Y13" s="283">
        <v>104.88511099999999</v>
      </c>
      <c r="Z13" s="283">
        <v>99.481977000000001</v>
      </c>
      <c r="AA13" s="283">
        <v>116.420727</v>
      </c>
      <c r="AB13" s="283">
        <v>152.528649</v>
      </c>
      <c r="AC13" s="283">
        <v>197.79251600000001</v>
      </c>
      <c r="AD13" s="283">
        <v>224.72959499999999</v>
      </c>
      <c r="AE13" s="283">
        <v>220.13046399999999</v>
      </c>
      <c r="AF13" s="283">
        <v>215.830725</v>
      </c>
      <c r="AG13" s="283">
        <v>218.59672399999999</v>
      </c>
      <c r="AH13" s="283">
        <v>239.5538248</v>
      </c>
      <c r="AI13" s="283">
        <v>262.87380459000002</v>
      </c>
      <c r="AJ13" s="283">
        <v>272.77052816000003</v>
      </c>
      <c r="AK13" s="283">
        <v>291.41580162000002</v>
      </c>
      <c r="AL13" s="283">
        <v>361.42894910000001</v>
      </c>
      <c r="AM13" s="283">
        <v>415.65066354000004</v>
      </c>
      <c r="AN13" s="283">
        <v>412.29</v>
      </c>
      <c r="AO13" s="283">
        <v>436.01871603000006</v>
      </c>
      <c r="AP13" s="283">
        <v>496.75666791999981</v>
      </c>
      <c r="AQ13" s="283">
        <v>655.21510432000082</v>
      </c>
      <c r="AR13" s="284">
        <f t="shared" si="2"/>
        <v>5924.5192270800017</v>
      </c>
      <c r="AS13" s="285">
        <f t="shared" si="3"/>
        <v>4.1122111508472683E-2</v>
      </c>
    </row>
    <row r="14" spans="1:59" x14ac:dyDescent="0.25">
      <c r="A14" s="279" t="s">
        <v>69</v>
      </c>
      <c r="B14" s="280">
        <v>78.165503000000001</v>
      </c>
      <c r="C14" s="107">
        <v>88.531268999999995</v>
      </c>
      <c r="D14" s="107">
        <v>101.950692</v>
      </c>
      <c r="E14" s="107">
        <v>92.780315000000002</v>
      </c>
      <c r="F14" s="107">
        <v>94.807770000000005</v>
      </c>
      <c r="G14" s="107">
        <v>92.722783000000007</v>
      </c>
      <c r="H14" s="107">
        <v>112.532211</v>
      </c>
      <c r="I14" s="107">
        <v>130.93514099999999</v>
      </c>
      <c r="J14" s="107">
        <v>152.88022799999999</v>
      </c>
      <c r="K14" s="107">
        <v>152.67407299999999</v>
      </c>
      <c r="L14" s="107">
        <v>173.90010899999999</v>
      </c>
      <c r="M14" s="107">
        <v>165.40684999999999</v>
      </c>
      <c r="N14" s="107">
        <v>181.10211000000001</v>
      </c>
      <c r="O14" s="107">
        <v>186.81940299999999</v>
      </c>
      <c r="P14" s="107">
        <v>224.58256499999999</v>
      </c>
      <c r="Q14" s="107">
        <v>231.977012</v>
      </c>
      <c r="R14" s="107">
        <v>198.95226500000001</v>
      </c>
      <c r="S14" s="107">
        <v>270.18821700000001</v>
      </c>
      <c r="T14" s="107">
        <v>276.08928600000002</v>
      </c>
      <c r="U14" s="107">
        <v>286.70755200000002</v>
      </c>
      <c r="V14" s="107">
        <v>293.67516599999999</v>
      </c>
      <c r="W14" s="107">
        <v>380.332086</v>
      </c>
      <c r="X14" s="107">
        <v>679.62847699999998</v>
      </c>
      <c r="Y14" s="107">
        <v>851.06961100000001</v>
      </c>
      <c r="Z14" s="107">
        <v>964.42994099999999</v>
      </c>
      <c r="AA14" s="107">
        <v>1946.717875</v>
      </c>
      <c r="AB14" s="107">
        <v>1495.438193</v>
      </c>
      <c r="AC14" s="107">
        <v>3358.6286759999998</v>
      </c>
      <c r="AD14" s="107">
        <v>3831.2677290000001</v>
      </c>
      <c r="AE14" s="107">
        <v>3654.716731</v>
      </c>
      <c r="AF14" s="107">
        <v>5307.5205509999996</v>
      </c>
      <c r="AG14" s="107">
        <v>4389.8428029999995</v>
      </c>
      <c r="AH14" s="107">
        <v>3472.7656642900001</v>
      </c>
      <c r="AI14" s="107">
        <v>4619.5509469399994</v>
      </c>
      <c r="AJ14" s="107">
        <v>4476.8708212600004</v>
      </c>
      <c r="AK14" s="107">
        <v>4884.1962673500002</v>
      </c>
      <c r="AL14" s="107">
        <v>7802.7205386000005</v>
      </c>
      <c r="AM14" s="107">
        <v>9796.7863337999988</v>
      </c>
      <c r="AN14" s="107">
        <v>10847.96</v>
      </c>
      <c r="AO14" s="107">
        <v>9393.1288647400033</v>
      </c>
      <c r="AP14" s="107">
        <v>10372.32968635</v>
      </c>
      <c r="AQ14" s="107">
        <v>8616.6948301799912</v>
      </c>
      <c r="AR14" s="281">
        <f t="shared" si="2"/>
        <v>104729.97714650999</v>
      </c>
      <c r="AS14" s="282">
        <f t="shared" si="3"/>
        <v>0.72693118773474175</v>
      </c>
    </row>
    <row r="15" spans="1:59" x14ac:dyDescent="0.25">
      <c r="A15" s="279" t="s">
        <v>70</v>
      </c>
      <c r="B15" s="253" t="s">
        <v>77</v>
      </c>
      <c r="C15" s="283" t="s">
        <v>77</v>
      </c>
      <c r="D15" s="283" t="s">
        <v>77</v>
      </c>
      <c r="E15" s="283" t="s">
        <v>77</v>
      </c>
      <c r="F15" s="283" t="s">
        <v>77</v>
      </c>
      <c r="G15" s="283" t="s">
        <v>77</v>
      </c>
      <c r="H15" s="283" t="s">
        <v>77</v>
      </c>
      <c r="I15" s="283" t="s">
        <v>77</v>
      </c>
      <c r="J15" s="283" t="s">
        <v>77</v>
      </c>
      <c r="K15" s="283" t="s">
        <v>77</v>
      </c>
      <c r="L15" s="283" t="s">
        <v>77</v>
      </c>
      <c r="M15" s="283" t="s">
        <v>77</v>
      </c>
      <c r="N15" s="283" t="s">
        <v>77</v>
      </c>
      <c r="O15" s="283" t="s">
        <v>77</v>
      </c>
      <c r="P15" s="283" t="s">
        <v>77</v>
      </c>
      <c r="Q15" s="283" t="s">
        <v>77</v>
      </c>
      <c r="R15" s="283" t="s">
        <v>77</v>
      </c>
      <c r="S15" s="283" t="s">
        <v>77</v>
      </c>
      <c r="T15" s="283" t="s">
        <v>77</v>
      </c>
      <c r="U15" s="283" t="s">
        <v>77</v>
      </c>
      <c r="V15" s="283" t="s">
        <v>77</v>
      </c>
      <c r="W15" s="283" t="s">
        <v>77</v>
      </c>
      <c r="X15" s="283" t="s">
        <v>77</v>
      </c>
      <c r="Y15" s="283" t="s">
        <v>77</v>
      </c>
      <c r="Z15" s="283" t="s">
        <v>77</v>
      </c>
      <c r="AA15" s="283" t="s">
        <v>77</v>
      </c>
      <c r="AB15" s="283" t="s">
        <v>77</v>
      </c>
      <c r="AC15" s="283" t="s">
        <v>77</v>
      </c>
      <c r="AD15" s="283" t="s">
        <v>77</v>
      </c>
      <c r="AE15" s="283" t="s">
        <v>77</v>
      </c>
      <c r="AF15" s="283" t="s">
        <v>77</v>
      </c>
      <c r="AG15" s="283" t="s">
        <v>77</v>
      </c>
      <c r="AH15" s="283" t="s">
        <v>77</v>
      </c>
      <c r="AI15" s="283">
        <v>15.474308539999999</v>
      </c>
      <c r="AJ15" s="283">
        <v>78.713769020000001</v>
      </c>
      <c r="AK15" s="283">
        <v>83.247251640000002</v>
      </c>
      <c r="AL15" s="283">
        <v>66.31183111</v>
      </c>
      <c r="AM15" s="283">
        <v>43.324947219999999</v>
      </c>
      <c r="AN15" s="283">
        <v>150.43</v>
      </c>
      <c r="AO15" s="283">
        <v>929.86525984999992</v>
      </c>
      <c r="AP15" s="283">
        <v>710.17382730000008</v>
      </c>
      <c r="AQ15" s="283">
        <v>249.32583438000003</v>
      </c>
      <c r="AR15" s="284">
        <f t="shared" si="2"/>
        <v>2326.8670290599998</v>
      </c>
      <c r="AS15" s="285">
        <f t="shared" si="3"/>
        <v>1.6150793299316232E-2</v>
      </c>
    </row>
    <row r="16" spans="1:59" x14ac:dyDescent="0.25">
      <c r="A16" s="279" t="s">
        <v>71</v>
      </c>
      <c r="B16" s="280" t="s">
        <v>77</v>
      </c>
      <c r="C16" s="107" t="s">
        <v>77</v>
      </c>
      <c r="D16" s="107" t="s">
        <v>77</v>
      </c>
      <c r="E16" s="107" t="s">
        <v>77</v>
      </c>
      <c r="F16" s="107" t="s">
        <v>77</v>
      </c>
      <c r="G16" s="107" t="s">
        <v>77</v>
      </c>
      <c r="H16" s="107" t="s">
        <v>77</v>
      </c>
      <c r="I16" s="107" t="s">
        <v>77</v>
      </c>
      <c r="J16" s="107" t="s">
        <v>77</v>
      </c>
      <c r="K16" s="107" t="s">
        <v>77</v>
      </c>
      <c r="L16" s="107" t="s">
        <v>77</v>
      </c>
      <c r="M16" s="107" t="s">
        <v>77</v>
      </c>
      <c r="N16" s="107" t="s">
        <v>77</v>
      </c>
      <c r="O16" s="107" t="s">
        <v>77</v>
      </c>
      <c r="P16" s="107" t="s">
        <v>77</v>
      </c>
      <c r="Q16" s="107" t="s">
        <v>77</v>
      </c>
      <c r="R16" s="107" t="s">
        <v>77</v>
      </c>
      <c r="S16" s="107" t="s">
        <v>77</v>
      </c>
      <c r="T16" s="107" t="s">
        <v>77</v>
      </c>
      <c r="U16" s="107" t="s">
        <v>77</v>
      </c>
      <c r="V16" s="107" t="s">
        <v>77</v>
      </c>
      <c r="W16" s="107" t="s">
        <v>77</v>
      </c>
      <c r="X16" s="107" t="s">
        <v>77</v>
      </c>
      <c r="Y16" s="107" t="s">
        <v>77</v>
      </c>
      <c r="Z16" s="107">
        <v>21.110828000000001</v>
      </c>
      <c r="AA16" s="107">
        <v>26.681512999999999</v>
      </c>
      <c r="AB16" s="107">
        <v>22.008559000000002</v>
      </c>
      <c r="AC16" s="107">
        <v>19.937428000000001</v>
      </c>
      <c r="AD16" s="107">
        <v>19.220492</v>
      </c>
      <c r="AE16" s="107">
        <v>27.514333000000001</v>
      </c>
      <c r="AF16" s="107">
        <v>16.393497</v>
      </c>
      <c r="AG16" s="107">
        <v>11.965647000000001</v>
      </c>
      <c r="AH16" s="107">
        <v>16.818397469999997</v>
      </c>
      <c r="AI16" s="107">
        <v>14.31715741</v>
      </c>
      <c r="AJ16" s="107">
        <v>12.290989439999999</v>
      </c>
      <c r="AK16" s="107">
        <v>18.559685050000002</v>
      </c>
      <c r="AL16" s="107">
        <v>23.004162609999998</v>
      </c>
      <c r="AM16" s="107">
        <v>31.04237371</v>
      </c>
      <c r="AN16" s="107">
        <v>44.19</v>
      </c>
      <c r="AO16" s="107">
        <v>46.587669900000002</v>
      </c>
      <c r="AP16" s="107">
        <v>43.224860360000001</v>
      </c>
      <c r="AQ16" s="107">
        <v>49.307934660000001</v>
      </c>
      <c r="AR16" s="281">
        <f t="shared" si="2"/>
        <v>464.17552760999996</v>
      </c>
      <c r="AS16" s="282">
        <f t="shared" si="3"/>
        <v>3.2218441825009217E-3</v>
      </c>
    </row>
    <row r="17" spans="1:45" x14ac:dyDescent="0.25">
      <c r="A17" s="279" t="s">
        <v>72</v>
      </c>
      <c r="B17" s="253">
        <v>4.6538279999999999</v>
      </c>
      <c r="C17" s="283">
        <v>5.7121950000000004</v>
      </c>
      <c r="D17" s="283">
        <v>6.0884090000000004</v>
      </c>
      <c r="E17" s="283">
        <v>4.4207879999999999</v>
      </c>
      <c r="F17" s="283">
        <v>3.8279879999999999</v>
      </c>
      <c r="G17" s="283">
        <v>9.6334750000000007</v>
      </c>
      <c r="H17" s="283">
        <v>10.114608</v>
      </c>
      <c r="I17" s="283">
        <v>10.724031</v>
      </c>
      <c r="J17" s="283">
        <v>11.131740000000001</v>
      </c>
      <c r="K17" s="283">
        <v>9.6005939999999992</v>
      </c>
      <c r="L17" s="283">
        <v>8.3045650000000002</v>
      </c>
      <c r="M17" s="283">
        <v>18.810777999999999</v>
      </c>
      <c r="N17" s="283">
        <v>25.296064999999999</v>
      </c>
      <c r="O17" s="283">
        <v>26.009848999999999</v>
      </c>
      <c r="P17" s="283">
        <v>24.456824000000001</v>
      </c>
      <c r="Q17" s="283">
        <v>21.464409</v>
      </c>
      <c r="R17" s="283">
        <v>36.312728999999997</v>
      </c>
      <c r="S17" s="283">
        <v>60.573799999999999</v>
      </c>
      <c r="T17" s="283">
        <v>49.266666999999998</v>
      </c>
      <c r="U17" s="283">
        <v>59.950943000000002</v>
      </c>
      <c r="V17" s="283">
        <v>72.781351000000001</v>
      </c>
      <c r="W17" s="283">
        <v>88.353630999999993</v>
      </c>
      <c r="X17" s="283">
        <v>82.677958000000004</v>
      </c>
      <c r="Y17" s="283">
        <v>177.750033</v>
      </c>
      <c r="Z17" s="283">
        <v>158.40464700000001</v>
      </c>
      <c r="AA17" s="283">
        <v>81.829168999999993</v>
      </c>
      <c r="AB17" s="283">
        <v>83.359667999999999</v>
      </c>
      <c r="AC17" s="283">
        <v>112.934304</v>
      </c>
      <c r="AD17" s="283">
        <v>89.827389999999994</v>
      </c>
      <c r="AE17" s="283">
        <v>92.813249999999996</v>
      </c>
      <c r="AF17" s="283">
        <v>78.290452000000002</v>
      </c>
      <c r="AG17" s="283">
        <v>82.878023999999996</v>
      </c>
      <c r="AH17" s="283">
        <v>54.093241990000003</v>
      </c>
      <c r="AI17" s="283">
        <v>49.169482909999999</v>
      </c>
      <c r="AJ17" s="283">
        <v>56.957900969999997</v>
      </c>
      <c r="AK17" s="283">
        <v>65.991181929999996</v>
      </c>
      <c r="AL17" s="283">
        <v>76.155816979999997</v>
      </c>
      <c r="AM17" s="283">
        <v>83.530749110000002</v>
      </c>
      <c r="AN17" s="283">
        <v>107.58</v>
      </c>
      <c r="AO17" s="283">
        <v>139.69026995000002</v>
      </c>
      <c r="AP17" s="283">
        <v>98.503548449999997</v>
      </c>
      <c r="AQ17" s="283">
        <v>64.494277109999999</v>
      </c>
      <c r="AR17" s="284">
        <f t="shared" si="2"/>
        <v>2404.4206314000003</v>
      </c>
      <c r="AS17" s="285">
        <f t="shared" si="3"/>
        <v>1.6689093161477549E-2</v>
      </c>
    </row>
    <row r="18" spans="1:45" x14ac:dyDescent="0.25">
      <c r="A18" s="279" t="s">
        <v>121</v>
      </c>
      <c r="B18" s="280">
        <v>5.5610059999999999</v>
      </c>
      <c r="C18" s="107">
        <v>6.3930509999999998</v>
      </c>
      <c r="D18" s="107">
        <v>8.0271319999999999</v>
      </c>
      <c r="E18" s="107">
        <v>7.9095449999999996</v>
      </c>
      <c r="F18" s="107">
        <v>13.068519999999999</v>
      </c>
      <c r="G18" s="107">
        <v>20.034945</v>
      </c>
      <c r="H18" s="107">
        <v>28.046506000000001</v>
      </c>
      <c r="I18" s="107">
        <v>28.849383</v>
      </c>
      <c r="J18" s="107">
        <v>33.842216999999998</v>
      </c>
      <c r="K18" s="107">
        <v>37.293396999999999</v>
      </c>
      <c r="L18" s="107">
        <v>33.044978999999998</v>
      </c>
      <c r="M18" s="107">
        <v>36.107399999999998</v>
      </c>
      <c r="N18" s="107">
        <v>51.626274000000002</v>
      </c>
      <c r="O18" s="107">
        <v>48.774479999999997</v>
      </c>
      <c r="P18" s="107">
        <v>49.092109000000001</v>
      </c>
      <c r="Q18" s="107">
        <v>52.704507999999997</v>
      </c>
      <c r="R18" s="107">
        <v>59.839576000000001</v>
      </c>
      <c r="S18" s="107">
        <v>69.642539999999997</v>
      </c>
      <c r="T18" s="107">
        <v>70.628006999999997</v>
      </c>
      <c r="U18" s="107">
        <v>74.150046000000003</v>
      </c>
      <c r="V18" s="107">
        <v>76.273469000000006</v>
      </c>
      <c r="W18" s="107">
        <v>77.409141000000005</v>
      </c>
      <c r="X18" s="107">
        <v>101.51466000000001</v>
      </c>
      <c r="Y18" s="107">
        <v>140.46548799999999</v>
      </c>
      <c r="Z18" s="107">
        <v>118.23414699999999</v>
      </c>
      <c r="AA18" s="107">
        <v>104.42389</v>
      </c>
      <c r="AB18" s="107">
        <v>107.688425</v>
      </c>
      <c r="AC18" s="107">
        <v>145.17455899999999</v>
      </c>
      <c r="AD18" s="107">
        <v>116.56926199999999</v>
      </c>
      <c r="AE18" s="107">
        <v>142.10414299999999</v>
      </c>
      <c r="AF18" s="107">
        <v>73.008505999999997</v>
      </c>
      <c r="AG18" s="107">
        <v>72.449831000000003</v>
      </c>
      <c r="AH18" s="107">
        <v>69.692153939999997</v>
      </c>
      <c r="AI18" s="107">
        <v>53.0669874499999</v>
      </c>
      <c r="AJ18" s="107">
        <v>69.636069689999999</v>
      </c>
      <c r="AK18" s="107">
        <v>86.701707720000101</v>
      </c>
      <c r="AL18" s="107">
        <v>78.304997260000007</v>
      </c>
      <c r="AM18" s="107">
        <v>73.271480100000105</v>
      </c>
      <c r="AN18" s="107">
        <v>91.6</v>
      </c>
      <c r="AO18" s="107">
        <v>78.697871399999997</v>
      </c>
      <c r="AP18" s="107">
        <v>101.26134295000011</v>
      </c>
      <c r="AQ18" s="107">
        <v>87.750728469999956</v>
      </c>
      <c r="AR18" s="281">
        <f t="shared" si="2"/>
        <v>2799.9344809800004</v>
      </c>
      <c r="AS18" s="287">
        <f t="shared" si="3"/>
        <v>1.9434356363803289E-2</v>
      </c>
    </row>
    <row r="19" spans="1:45" x14ac:dyDescent="0.25">
      <c r="A19" s="279" t="s">
        <v>73</v>
      </c>
      <c r="B19" s="253">
        <v>18.141971999999999</v>
      </c>
      <c r="C19" s="283">
        <v>17.555803000000001</v>
      </c>
      <c r="D19" s="283">
        <v>34.023504000000003</v>
      </c>
      <c r="E19" s="283">
        <v>27.409625999999999</v>
      </c>
      <c r="F19" s="283">
        <v>30.044163999999999</v>
      </c>
      <c r="G19" s="283">
        <v>20.579606999999999</v>
      </c>
      <c r="H19" s="283">
        <v>51.777318999999999</v>
      </c>
      <c r="I19" s="283">
        <v>92.427104999999997</v>
      </c>
      <c r="J19" s="283">
        <v>86.520780999999999</v>
      </c>
      <c r="K19" s="283">
        <v>79.728049999999996</v>
      </c>
      <c r="L19" s="283">
        <v>72.886319</v>
      </c>
      <c r="M19" s="283">
        <v>113.736997</v>
      </c>
      <c r="N19" s="283">
        <v>159.405226</v>
      </c>
      <c r="O19" s="283">
        <v>229.74677199999999</v>
      </c>
      <c r="P19" s="283">
        <v>247.40349000000001</v>
      </c>
      <c r="Q19" s="283">
        <v>176.94987699999999</v>
      </c>
      <c r="R19" s="283">
        <v>344.89695799999998</v>
      </c>
      <c r="S19" s="283">
        <v>526.71487500000001</v>
      </c>
      <c r="T19" s="283">
        <v>428.286945</v>
      </c>
      <c r="U19" s="283">
        <v>488.56950000000001</v>
      </c>
      <c r="V19" s="283">
        <v>416.33150599999999</v>
      </c>
      <c r="W19" s="283">
        <v>549.66091300000005</v>
      </c>
      <c r="X19" s="283">
        <v>678.82588699999997</v>
      </c>
      <c r="Y19" s="283">
        <v>714.09106699999995</v>
      </c>
      <c r="Z19" s="283">
        <v>811.02602400000001</v>
      </c>
      <c r="AA19" s="283">
        <v>868.76158099999998</v>
      </c>
      <c r="AB19" s="283">
        <v>21.925331</v>
      </c>
      <c r="AC19" s="283">
        <v>21.535059</v>
      </c>
      <c r="AD19" s="283">
        <v>18.749521999999999</v>
      </c>
      <c r="AE19" s="283">
        <v>18.187507</v>
      </c>
      <c r="AF19" s="283">
        <v>11.493467000000001</v>
      </c>
      <c r="AG19" s="283">
        <v>8.7168390000000002</v>
      </c>
      <c r="AH19" s="283">
        <v>7.2391104200000003</v>
      </c>
      <c r="AI19" s="283">
        <v>3.4318297100000001</v>
      </c>
      <c r="AJ19" s="283">
        <v>3.2122615699999999</v>
      </c>
      <c r="AK19" s="283">
        <v>11.675785679999999</v>
      </c>
      <c r="AL19" s="283">
        <v>6.9222543400000003</v>
      </c>
      <c r="AM19" s="283">
        <v>2.4262555299999997</v>
      </c>
      <c r="AN19" s="283">
        <v>8.52</v>
      </c>
      <c r="AO19" s="283">
        <v>15.285560609999997</v>
      </c>
      <c r="AP19" s="283">
        <v>22.908999769999994</v>
      </c>
      <c r="AQ19" s="283">
        <v>18.389879730000008</v>
      </c>
      <c r="AR19" s="284">
        <f t="shared" si="2"/>
        <v>7486.1215303600002</v>
      </c>
      <c r="AS19" s="285">
        <f t="shared" si="3"/>
        <v>5.1961199303790381E-2</v>
      </c>
    </row>
    <row r="20" spans="1:45" x14ac:dyDescent="0.25">
      <c r="A20" s="279" t="s">
        <v>122</v>
      </c>
      <c r="B20" s="280" t="s">
        <v>77</v>
      </c>
      <c r="C20" s="107" t="s">
        <v>77</v>
      </c>
      <c r="D20" s="107" t="s">
        <v>77</v>
      </c>
      <c r="E20" s="107" t="s">
        <v>77</v>
      </c>
      <c r="F20" s="107" t="s">
        <v>77</v>
      </c>
      <c r="G20" s="107" t="s">
        <v>77</v>
      </c>
      <c r="H20" s="107" t="s">
        <v>77</v>
      </c>
      <c r="I20" s="107" t="s">
        <v>77</v>
      </c>
      <c r="J20" s="107" t="s">
        <v>77</v>
      </c>
      <c r="K20" s="107" t="s">
        <v>77</v>
      </c>
      <c r="L20" s="107" t="s">
        <v>77</v>
      </c>
      <c r="M20" s="107" t="s">
        <v>77</v>
      </c>
      <c r="N20" s="107" t="s">
        <v>77</v>
      </c>
      <c r="O20" s="107" t="s">
        <v>77</v>
      </c>
      <c r="P20" s="107" t="s">
        <v>77</v>
      </c>
      <c r="Q20" s="107" t="s">
        <v>77</v>
      </c>
      <c r="R20" s="107" t="s">
        <v>77</v>
      </c>
      <c r="S20" s="107" t="s">
        <v>77</v>
      </c>
      <c r="T20" s="107" t="s">
        <v>77</v>
      </c>
      <c r="U20" s="107" t="s">
        <v>77</v>
      </c>
      <c r="V20" s="107" t="s">
        <v>77</v>
      </c>
      <c r="W20" s="107" t="s">
        <v>77</v>
      </c>
      <c r="X20" s="107" t="s">
        <v>77</v>
      </c>
      <c r="Y20" s="107" t="s">
        <v>77</v>
      </c>
      <c r="Z20" s="107" t="s">
        <v>77</v>
      </c>
      <c r="AA20" s="107" t="s">
        <v>77</v>
      </c>
      <c r="AB20" s="107">
        <v>875.1</v>
      </c>
      <c r="AC20" s="107">
        <v>933.69310700000005</v>
      </c>
      <c r="AD20" s="107">
        <v>935.59844199999998</v>
      </c>
      <c r="AE20" s="107">
        <v>1019.886602</v>
      </c>
      <c r="AF20" s="107">
        <v>1106.892595</v>
      </c>
      <c r="AG20" s="107">
        <v>943.79589599999997</v>
      </c>
      <c r="AH20" s="107">
        <v>615.47500000000002</v>
      </c>
      <c r="AI20" s="107">
        <v>573</v>
      </c>
      <c r="AJ20" s="107">
        <v>681.96500000000003</v>
      </c>
      <c r="AK20" s="107">
        <v>889.35599999999999</v>
      </c>
      <c r="AL20" s="107">
        <v>690.20228391000001</v>
      </c>
      <c r="AM20" s="107">
        <v>386.23153463</v>
      </c>
      <c r="AN20" s="107">
        <v>959.5</v>
      </c>
      <c r="AO20" s="107">
        <v>1528.3771826699999</v>
      </c>
      <c r="AP20" s="107">
        <v>694.408815</v>
      </c>
      <c r="AQ20" s="107">
        <v>670.40326400000004</v>
      </c>
      <c r="AR20" s="281">
        <f t="shared" si="2"/>
        <v>13503.885722210001</v>
      </c>
      <c r="AS20" s="282">
        <f t="shared" si="3"/>
        <v>9.3730524483433039E-2</v>
      </c>
    </row>
    <row r="21" spans="1:45" x14ac:dyDescent="0.25">
      <c r="A21" s="288" t="s">
        <v>123</v>
      </c>
      <c r="B21" s="290">
        <f t="shared" ref="B21:AF21" si="4">SUM(B10:B19)</f>
        <v>118.109441</v>
      </c>
      <c r="C21" s="290">
        <f t="shared" si="4"/>
        <v>130.99427499999999</v>
      </c>
      <c r="D21" s="290">
        <f t="shared" si="4"/>
        <v>162.981661</v>
      </c>
      <c r="E21" s="290">
        <f t="shared" si="4"/>
        <v>156.281868</v>
      </c>
      <c r="F21" s="290">
        <f t="shared" si="4"/>
        <v>166.22599099999999</v>
      </c>
      <c r="G21" s="290">
        <f t="shared" si="4"/>
        <v>176.04352</v>
      </c>
      <c r="H21" s="290">
        <f t="shared" si="4"/>
        <v>264.22199699999999</v>
      </c>
      <c r="I21" s="290">
        <f t="shared" si="4"/>
        <v>324.41169399999995</v>
      </c>
      <c r="J21" s="290">
        <f t="shared" si="4"/>
        <v>344.880605</v>
      </c>
      <c r="K21" s="290">
        <f t="shared" si="4"/>
        <v>349.08469299999996</v>
      </c>
      <c r="L21" s="290">
        <f t="shared" si="4"/>
        <v>359.36129999999997</v>
      </c>
      <c r="M21" s="290">
        <f t="shared" si="4"/>
        <v>390.48491200000001</v>
      </c>
      <c r="N21" s="290">
        <f t="shared" si="4"/>
        <v>485.96268900000007</v>
      </c>
      <c r="O21" s="290">
        <f t="shared" si="4"/>
        <v>560.82103699999993</v>
      </c>
      <c r="P21" s="290">
        <f t="shared" si="4"/>
        <v>622.23403999999994</v>
      </c>
      <c r="Q21" s="290">
        <f t="shared" si="4"/>
        <v>605.47205299999996</v>
      </c>
      <c r="R21" s="290">
        <f t="shared" si="4"/>
        <v>776.68228699999997</v>
      </c>
      <c r="S21" s="290">
        <f t="shared" si="4"/>
        <v>1136.3255290000002</v>
      </c>
      <c r="T21" s="290">
        <f t="shared" si="4"/>
        <v>1028.124143</v>
      </c>
      <c r="U21" s="290">
        <f t="shared" si="4"/>
        <v>1138.979188</v>
      </c>
      <c r="V21" s="290">
        <f t="shared" si="4"/>
        <v>1033.5819889999998</v>
      </c>
      <c r="W21" s="290">
        <f t="shared" si="4"/>
        <v>1255.883871</v>
      </c>
      <c r="X21" s="290">
        <f t="shared" si="4"/>
        <v>1736.585765</v>
      </c>
      <c r="Y21" s="290">
        <f t="shared" si="4"/>
        <v>2092.6745329999999</v>
      </c>
      <c r="Z21" s="290">
        <f t="shared" si="4"/>
        <v>2296.6590070000002</v>
      </c>
      <c r="AA21" s="290">
        <f t="shared" si="4"/>
        <v>3239.6560490000002</v>
      </c>
      <c r="AB21" s="290">
        <f t="shared" si="4"/>
        <v>1964.0016410000001</v>
      </c>
      <c r="AC21" s="290">
        <f t="shared" si="4"/>
        <v>3937.8856159999996</v>
      </c>
      <c r="AD21" s="290">
        <f t="shared" si="4"/>
        <v>4383.8680250000007</v>
      </c>
      <c r="AE21" s="290">
        <f t="shared" si="4"/>
        <v>4236.5471779999998</v>
      </c>
      <c r="AF21" s="290">
        <f t="shared" si="4"/>
        <v>5870.5672840000007</v>
      </c>
      <c r="AG21" s="290">
        <f>SUM(AG10:AG19)</f>
        <v>4944.9867539999987</v>
      </c>
      <c r="AH21" s="290">
        <v>4022.049</v>
      </c>
      <c r="AI21" s="290">
        <v>5171.902</v>
      </c>
      <c r="AJ21" s="290">
        <v>5152.5559999999996</v>
      </c>
      <c r="AK21" s="290">
        <v>5664.5829999999996</v>
      </c>
      <c r="AL21" s="290">
        <v>8607.4306504200049</v>
      </c>
      <c r="AM21" s="290">
        <v>10618.456741950016</v>
      </c>
      <c r="AN21" s="290">
        <v>11868.69</v>
      </c>
      <c r="AO21" s="290">
        <v>11227.73679854</v>
      </c>
      <c r="AP21" s="290">
        <f>SUM(AP10:AP19)</f>
        <v>12006.270339070001</v>
      </c>
      <c r="AQ21" s="290">
        <f>SUM(AQ10:AQ19)</f>
        <v>9937.2360375899934</v>
      </c>
      <c r="AR21" s="289">
        <f t="shared" si="2"/>
        <v>130567.49120257002</v>
      </c>
      <c r="AS21" s="531">
        <f t="shared" si="3"/>
        <v>0.90626947551656711</v>
      </c>
    </row>
    <row r="22" spans="1:45" ht="15.75" thickBot="1" x14ac:dyDescent="0.3">
      <c r="A22" s="291" t="s">
        <v>1224</v>
      </c>
      <c r="B22" s="292">
        <f>SUM(B20:B21)</f>
        <v>118.109441</v>
      </c>
      <c r="C22" s="293">
        <f t="shared" ref="C22:AO22" si="5">SUM(C20:C21)</f>
        <v>130.99427499999999</v>
      </c>
      <c r="D22" s="293">
        <f t="shared" si="5"/>
        <v>162.981661</v>
      </c>
      <c r="E22" s="293">
        <f t="shared" si="5"/>
        <v>156.281868</v>
      </c>
      <c r="F22" s="293">
        <f t="shared" si="5"/>
        <v>166.22599099999999</v>
      </c>
      <c r="G22" s="293">
        <f t="shared" si="5"/>
        <v>176.04352</v>
      </c>
      <c r="H22" s="293">
        <f t="shared" si="5"/>
        <v>264.22199699999999</v>
      </c>
      <c r="I22" s="293">
        <f t="shared" si="5"/>
        <v>324.41169399999995</v>
      </c>
      <c r="J22" s="293">
        <f t="shared" si="5"/>
        <v>344.880605</v>
      </c>
      <c r="K22" s="293">
        <f t="shared" si="5"/>
        <v>349.08469299999996</v>
      </c>
      <c r="L22" s="293">
        <f t="shared" si="5"/>
        <v>359.36129999999997</v>
      </c>
      <c r="M22" s="293">
        <f t="shared" si="5"/>
        <v>390.48491200000001</v>
      </c>
      <c r="N22" s="293">
        <f t="shared" si="5"/>
        <v>485.96268900000007</v>
      </c>
      <c r="O22" s="293">
        <f t="shared" si="5"/>
        <v>560.82103699999993</v>
      </c>
      <c r="P22" s="293">
        <f t="shared" si="5"/>
        <v>622.23403999999994</v>
      </c>
      <c r="Q22" s="293">
        <f t="shared" si="5"/>
        <v>605.47205299999996</v>
      </c>
      <c r="R22" s="293">
        <f t="shared" si="5"/>
        <v>776.68228699999997</v>
      </c>
      <c r="S22" s="293">
        <f t="shared" si="5"/>
        <v>1136.3255290000002</v>
      </c>
      <c r="T22" s="293">
        <f t="shared" si="5"/>
        <v>1028.124143</v>
      </c>
      <c r="U22" s="293">
        <f t="shared" si="5"/>
        <v>1138.979188</v>
      </c>
      <c r="V22" s="293">
        <f t="shared" si="5"/>
        <v>1033.5819889999998</v>
      </c>
      <c r="W22" s="293">
        <f t="shared" si="5"/>
        <v>1255.883871</v>
      </c>
      <c r="X22" s="293">
        <f t="shared" si="5"/>
        <v>1736.585765</v>
      </c>
      <c r="Y22" s="293">
        <f t="shared" si="5"/>
        <v>2092.6745329999999</v>
      </c>
      <c r="Z22" s="293">
        <f t="shared" si="5"/>
        <v>2296.6590070000002</v>
      </c>
      <c r="AA22" s="293">
        <f t="shared" si="5"/>
        <v>3239.6560490000002</v>
      </c>
      <c r="AB22" s="293">
        <f t="shared" si="5"/>
        <v>2839.1016410000002</v>
      </c>
      <c r="AC22" s="293">
        <f t="shared" si="5"/>
        <v>4871.5787229999996</v>
      </c>
      <c r="AD22" s="293">
        <f t="shared" si="5"/>
        <v>5319.4664670000002</v>
      </c>
      <c r="AE22" s="293">
        <f t="shared" si="5"/>
        <v>5256.4337799999994</v>
      </c>
      <c r="AF22" s="293">
        <f t="shared" si="5"/>
        <v>6977.4598790000009</v>
      </c>
      <c r="AG22" s="293">
        <f>SUM(AG20:AG21)</f>
        <v>5888.7826499999983</v>
      </c>
      <c r="AH22" s="293">
        <f t="shared" si="5"/>
        <v>4637.5240000000003</v>
      </c>
      <c r="AI22" s="293">
        <f t="shared" si="5"/>
        <v>5744.902</v>
      </c>
      <c r="AJ22" s="293">
        <f t="shared" si="5"/>
        <v>5834.5209999999997</v>
      </c>
      <c r="AK22" s="293">
        <f t="shared" si="5"/>
        <v>6553.9389999999994</v>
      </c>
      <c r="AL22" s="293">
        <f t="shared" si="5"/>
        <v>9297.6329343300058</v>
      </c>
      <c r="AM22" s="293">
        <f t="shared" si="5"/>
        <v>11004.688276580016</v>
      </c>
      <c r="AN22" s="293">
        <f t="shared" si="5"/>
        <v>12828.19</v>
      </c>
      <c r="AO22" s="293">
        <f t="shared" si="5"/>
        <v>12756.113981209999</v>
      </c>
      <c r="AP22" s="293">
        <f t="shared" ref="AP22" si="6">SUM(AP20:AP21)</f>
        <v>12700.679154070001</v>
      </c>
      <c r="AQ22" s="448">
        <f>SUM(AQ20:AQ21)</f>
        <v>10607.639301589994</v>
      </c>
      <c r="AR22" s="292">
        <f t="shared" si="2"/>
        <v>144071.37692477999</v>
      </c>
      <c r="AS22" s="294">
        <f>AR22/AR$22</f>
        <v>1</v>
      </c>
    </row>
    <row r="23" spans="1:45" x14ac:dyDescent="0.25">
      <c r="A23" s="103"/>
      <c r="B23" s="104"/>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295"/>
      <c r="AG23" s="104"/>
      <c r="AH23" s="104"/>
      <c r="AI23" s="104"/>
      <c r="AJ23" s="104"/>
      <c r="AK23" s="104"/>
      <c r="AL23" s="105"/>
      <c r="AM23" s="105"/>
      <c r="AN23" s="104"/>
      <c r="AO23" s="88"/>
      <c r="AP23" s="88"/>
    </row>
    <row r="24" spans="1:45" ht="15.75" thickBot="1" x14ac:dyDescent="0.3">
      <c r="A24" s="4" t="s">
        <v>157</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row>
    <row r="25" spans="1:45" x14ac:dyDescent="0.25">
      <c r="A25" s="593" t="s">
        <v>63</v>
      </c>
      <c r="B25" s="271">
        <v>1984</v>
      </c>
      <c r="C25" s="272">
        <v>1985</v>
      </c>
      <c r="D25" s="272">
        <v>1986</v>
      </c>
      <c r="E25" s="272">
        <v>1987</v>
      </c>
      <c r="F25" s="272">
        <v>1988</v>
      </c>
      <c r="G25" s="272">
        <v>1989</v>
      </c>
      <c r="H25" s="272">
        <v>1990</v>
      </c>
      <c r="I25" s="272">
        <v>1991</v>
      </c>
      <c r="J25" s="272">
        <v>1992</v>
      </c>
      <c r="K25" s="272">
        <v>1993</v>
      </c>
      <c r="L25" s="272">
        <v>1994</v>
      </c>
      <c r="M25" s="272">
        <v>1995</v>
      </c>
      <c r="N25" s="272">
        <v>1996</v>
      </c>
      <c r="O25" s="272">
        <v>1997</v>
      </c>
      <c r="P25" s="272">
        <v>1998</v>
      </c>
      <c r="Q25" s="272">
        <v>1999</v>
      </c>
      <c r="R25" s="272">
        <v>2000</v>
      </c>
      <c r="S25" s="272">
        <v>2001</v>
      </c>
      <c r="T25" s="272">
        <v>2002</v>
      </c>
      <c r="U25" s="272">
        <v>2003</v>
      </c>
      <c r="V25" s="272">
        <v>2004</v>
      </c>
      <c r="W25" s="272">
        <v>2005</v>
      </c>
      <c r="X25" s="272">
        <v>2006</v>
      </c>
      <c r="Y25" s="272">
        <v>2007</v>
      </c>
      <c r="Z25" s="272">
        <v>2008</v>
      </c>
      <c r="AA25" s="272">
        <v>2009</v>
      </c>
      <c r="AB25" s="272">
        <v>2010</v>
      </c>
      <c r="AC25" s="272">
        <v>2011</v>
      </c>
      <c r="AD25" s="272">
        <v>2012</v>
      </c>
      <c r="AE25" s="272">
        <v>2013</v>
      </c>
      <c r="AF25" s="272">
        <v>2014</v>
      </c>
      <c r="AG25" s="272">
        <v>2015</v>
      </c>
      <c r="AH25" s="272">
        <v>2016</v>
      </c>
      <c r="AI25" s="272">
        <v>2017</v>
      </c>
      <c r="AJ25" s="272">
        <v>2018</v>
      </c>
      <c r="AK25" s="272">
        <v>2019</v>
      </c>
      <c r="AL25" s="272">
        <v>2020</v>
      </c>
      <c r="AM25" s="272">
        <v>2021</v>
      </c>
      <c r="AN25" s="272">
        <v>2022</v>
      </c>
      <c r="AO25" s="272">
        <v>2023</v>
      </c>
      <c r="AP25" s="272">
        <v>2024</v>
      </c>
      <c r="AQ25" s="272">
        <v>2025</v>
      </c>
      <c r="AR25" s="595" t="s">
        <v>89</v>
      </c>
      <c r="AS25" s="596"/>
    </row>
    <row r="26" spans="1:45" x14ac:dyDescent="0.25">
      <c r="A26" s="594"/>
      <c r="B26" s="249" t="s">
        <v>116</v>
      </c>
      <c r="C26" s="273" t="s">
        <v>116</v>
      </c>
      <c r="D26" s="273" t="s">
        <v>116</v>
      </c>
      <c r="E26" s="274" t="s">
        <v>116</v>
      </c>
      <c r="F26" s="273" t="s">
        <v>116</v>
      </c>
      <c r="G26" s="274" t="s">
        <v>116</v>
      </c>
      <c r="H26" s="273" t="s">
        <v>116</v>
      </c>
      <c r="I26" s="274" t="s">
        <v>116</v>
      </c>
      <c r="J26" s="273" t="s">
        <v>116</v>
      </c>
      <c r="K26" s="274" t="s">
        <v>116</v>
      </c>
      <c r="L26" s="274" t="s">
        <v>116</v>
      </c>
      <c r="M26" s="274" t="s">
        <v>116</v>
      </c>
      <c r="N26" s="274" t="s">
        <v>116</v>
      </c>
      <c r="O26" s="274" t="s">
        <v>116</v>
      </c>
      <c r="P26" s="273" t="s">
        <v>116</v>
      </c>
      <c r="Q26" s="273" t="s">
        <v>116</v>
      </c>
      <c r="R26" s="275" t="s">
        <v>116</v>
      </c>
      <c r="S26" s="275" t="s">
        <v>116</v>
      </c>
      <c r="T26" s="275" t="s">
        <v>116</v>
      </c>
      <c r="U26" s="275" t="s">
        <v>116</v>
      </c>
      <c r="V26" s="275" t="s">
        <v>116</v>
      </c>
      <c r="W26" s="275" t="s">
        <v>116</v>
      </c>
      <c r="X26" s="275" t="s">
        <v>116</v>
      </c>
      <c r="Y26" s="275" t="s">
        <v>116</v>
      </c>
      <c r="Z26" s="276" t="s">
        <v>116</v>
      </c>
      <c r="AA26" s="276" t="s">
        <v>116</v>
      </c>
      <c r="AB26" s="276" t="s">
        <v>116</v>
      </c>
      <c r="AC26" s="276" t="s">
        <v>116</v>
      </c>
      <c r="AD26" s="276" t="s">
        <v>116</v>
      </c>
      <c r="AE26" s="276" t="s">
        <v>116</v>
      </c>
      <c r="AF26" s="276" t="s">
        <v>116</v>
      </c>
      <c r="AG26" s="276" t="s">
        <v>116</v>
      </c>
      <c r="AH26" s="276" t="s">
        <v>116</v>
      </c>
      <c r="AI26" s="276" t="s">
        <v>116</v>
      </c>
      <c r="AJ26" s="276" t="s">
        <v>116</v>
      </c>
      <c r="AK26" s="276" t="s">
        <v>116</v>
      </c>
      <c r="AL26" s="276" t="s">
        <v>116</v>
      </c>
      <c r="AM26" s="276" t="s">
        <v>116</v>
      </c>
      <c r="AN26" s="276" t="s">
        <v>116</v>
      </c>
      <c r="AO26" s="276" t="s">
        <v>116</v>
      </c>
      <c r="AP26" s="276" t="s">
        <v>116</v>
      </c>
      <c r="AQ26" s="276" t="s">
        <v>116</v>
      </c>
      <c r="AR26" s="277" t="s">
        <v>116</v>
      </c>
      <c r="AS26" s="278" t="s">
        <v>90</v>
      </c>
    </row>
    <row r="27" spans="1:45" x14ac:dyDescent="0.25">
      <c r="A27" s="279" t="s">
        <v>117</v>
      </c>
      <c r="B27" s="280">
        <v>8.8597769999999993</v>
      </c>
      <c r="C27" s="107">
        <v>9.9765149999999991</v>
      </c>
      <c r="D27" s="107">
        <v>10.368378</v>
      </c>
      <c r="E27" s="107">
        <v>10.484702</v>
      </c>
      <c r="F27" s="107">
        <v>15.693844</v>
      </c>
      <c r="G27" s="107">
        <v>28.799883000000001</v>
      </c>
      <c r="H27" s="107">
        <v>34.945118000000001</v>
      </c>
      <c r="I27" s="107">
        <v>30.697526</v>
      </c>
      <c r="J27" s="107">
        <v>28.084012000000001</v>
      </c>
      <c r="K27" s="107">
        <v>30.723077</v>
      </c>
      <c r="L27" s="107">
        <v>29.077739000000001</v>
      </c>
      <c r="M27" s="107">
        <v>28.353370999999999</v>
      </c>
      <c r="N27" s="107">
        <v>31.598661</v>
      </c>
      <c r="O27" s="107">
        <v>34.568199</v>
      </c>
      <c r="P27" s="107">
        <v>38.281457000000003</v>
      </c>
      <c r="Q27" s="107">
        <v>39.021614999999997</v>
      </c>
      <c r="R27" s="107">
        <v>47.244112000000001</v>
      </c>
      <c r="S27" s="107">
        <v>62.545602000000002</v>
      </c>
      <c r="T27" s="107">
        <v>57.229191999999998</v>
      </c>
      <c r="U27" s="107">
        <v>51.081237999999999</v>
      </c>
      <c r="V27" s="107">
        <v>52.514256000000003</v>
      </c>
      <c r="W27" s="107">
        <v>57.283451999999997</v>
      </c>
      <c r="X27" s="107">
        <v>74.832357000000002</v>
      </c>
      <c r="Y27" s="107">
        <v>85.152337000000003</v>
      </c>
      <c r="Z27" s="107">
        <v>78.222581000000005</v>
      </c>
      <c r="AA27" s="107">
        <v>66.627260000000007</v>
      </c>
      <c r="AB27" s="107">
        <v>64.564846000000003</v>
      </c>
      <c r="AC27" s="107">
        <v>68.402558999999997</v>
      </c>
      <c r="AD27" s="107">
        <v>65.293682000000004</v>
      </c>
      <c r="AE27" s="107">
        <v>66.744770000000003</v>
      </c>
      <c r="AF27" s="107">
        <v>71.724530999999999</v>
      </c>
      <c r="AG27" s="107">
        <v>87.731436119999998</v>
      </c>
      <c r="AH27" s="107">
        <v>77.258851640000003</v>
      </c>
      <c r="AI27" s="107">
        <v>87.380759659999967</v>
      </c>
      <c r="AJ27" s="107">
        <v>120.37349791</v>
      </c>
      <c r="AK27" s="107">
        <v>130.41165364</v>
      </c>
      <c r="AL27" s="107">
        <v>99.919503579999997</v>
      </c>
      <c r="AM27" s="107">
        <v>89.791290740000008</v>
      </c>
      <c r="AN27" s="107">
        <v>115.41442070999999</v>
      </c>
      <c r="AO27" s="107">
        <v>109.10580370999998</v>
      </c>
      <c r="AP27" s="107">
        <v>110.14848893999999</v>
      </c>
      <c r="AQ27" s="107">
        <v>137.21358168</v>
      </c>
      <c r="AR27" s="281">
        <f t="shared" ref="AR27:AR37" si="7">SUM(B27:AQ27)</f>
        <v>2543.7459373299998</v>
      </c>
      <c r="AS27" s="282">
        <f t="shared" ref="AS27:AS38" si="8">AR27/AR$39</f>
        <v>1.7042339469006632E-2</v>
      </c>
    </row>
    <row r="28" spans="1:45" x14ac:dyDescent="0.25">
      <c r="A28" s="279" t="s">
        <v>118</v>
      </c>
      <c r="B28" s="253" t="s">
        <v>77</v>
      </c>
      <c r="C28" s="283" t="s">
        <v>77</v>
      </c>
      <c r="D28" s="283" t="s">
        <v>77</v>
      </c>
      <c r="E28" s="283" t="s">
        <v>77</v>
      </c>
      <c r="F28" s="283" t="s">
        <v>77</v>
      </c>
      <c r="G28" s="283" t="s">
        <v>77</v>
      </c>
      <c r="H28" s="283" t="s">
        <v>77</v>
      </c>
      <c r="I28" s="283" t="s">
        <v>77</v>
      </c>
      <c r="J28" s="283" t="s">
        <v>77</v>
      </c>
      <c r="K28" s="283" t="s">
        <v>77</v>
      </c>
      <c r="L28" s="283" t="s">
        <v>77</v>
      </c>
      <c r="M28" s="283" t="s">
        <v>77</v>
      </c>
      <c r="N28" s="283" t="s">
        <v>77</v>
      </c>
      <c r="O28" s="283" t="s">
        <v>77</v>
      </c>
      <c r="P28" s="283" t="s">
        <v>77</v>
      </c>
      <c r="Q28" s="283" t="s">
        <v>77</v>
      </c>
      <c r="R28" s="283" t="s">
        <v>77</v>
      </c>
      <c r="S28" s="283" t="s">
        <v>77</v>
      </c>
      <c r="T28" s="283" t="s">
        <v>77</v>
      </c>
      <c r="U28" s="283" t="s">
        <v>77</v>
      </c>
      <c r="V28" s="283" t="s">
        <v>77</v>
      </c>
      <c r="W28" s="283" t="s">
        <v>77</v>
      </c>
      <c r="X28" s="283" t="s">
        <v>77</v>
      </c>
      <c r="Y28" s="283" t="s">
        <v>77</v>
      </c>
      <c r="Z28" s="283" t="s">
        <v>77</v>
      </c>
      <c r="AA28" s="283" t="s">
        <v>77</v>
      </c>
      <c r="AB28" s="283" t="s">
        <v>77</v>
      </c>
      <c r="AC28" s="283" t="s">
        <v>77</v>
      </c>
      <c r="AD28" s="283" t="s">
        <v>77</v>
      </c>
      <c r="AE28" s="283" t="s">
        <v>77</v>
      </c>
      <c r="AF28" s="283">
        <v>71.060969999999998</v>
      </c>
      <c r="AG28" s="283">
        <v>68.116599660000006</v>
      </c>
      <c r="AH28" s="283">
        <v>51.636841089999983</v>
      </c>
      <c r="AI28" s="283">
        <v>66.071363290000008</v>
      </c>
      <c r="AJ28" s="283">
        <v>76.312812349999945</v>
      </c>
      <c r="AK28" s="283">
        <v>74.181488959999939</v>
      </c>
      <c r="AL28" s="283">
        <v>63.683051430000027</v>
      </c>
      <c r="AM28" s="283">
        <v>88.731068229999963</v>
      </c>
      <c r="AN28" s="283">
        <v>96.879523579999955</v>
      </c>
      <c r="AO28" s="283">
        <v>72.231671000000063</v>
      </c>
      <c r="AP28" s="283">
        <v>44.021825590000006</v>
      </c>
      <c r="AQ28" s="283">
        <v>67.96319170000001</v>
      </c>
      <c r="AR28" s="284">
        <f t="shared" si="7"/>
        <v>840.89040688</v>
      </c>
      <c r="AS28" s="285">
        <f t="shared" si="8"/>
        <v>5.6337150499086762E-3</v>
      </c>
    </row>
    <row r="29" spans="1:45" x14ac:dyDescent="0.25">
      <c r="A29" s="286" t="s">
        <v>119</v>
      </c>
      <c r="B29" s="280">
        <v>3.4508830000000001</v>
      </c>
      <c r="C29" s="107">
        <v>2.1567259999999999</v>
      </c>
      <c r="D29" s="107">
        <v>7.474564</v>
      </c>
      <c r="E29" s="107">
        <v>14.522383</v>
      </c>
      <c r="F29" s="107">
        <v>9.9715330000000009</v>
      </c>
      <c r="G29" s="107">
        <v>17.415032</v>
      </c>
      <c r="H29" s="107">
        <v>31.173756999999998</v>
      </c>
      <c r="I29" s="107">
        <v>20.363022000000001</v>
      </c>
      <c r="J29" s="107">
        <v>42.342416999999998</v>
      </c>
      <c r="K29" s="107">
        <v>40.152290000000001</v>
      </c>
      <c r="L29" s="107">
        <v>39.937640999999999</v>
      </c>
      <c r="M29" s="107">
        <v>32.381880000000002</v>
      </c>
      <c r="N29" s="107">
        <v>34.781689999999998</v>
      </c>
      <c r="O29" s="107">
        <v>36.098081000000001</v>
      </c>
      <c r="P29" s="107">
        <v>45.192711000000003</v>
      </c>
      <c r="Q29" s="107">
        <v>53.713093999999998</v>
      </c>
      <c r="R29" s="107">
        <v>65.775672999999998</v>
      </c>
      <c r="S29" s="107">
        <v>84.697851</v>
      </c>
      <c r="T29" s="107">
        <v>77.106520000000003</v>
      </c>
      <c r="U29" s="107">
        <v>72.794516999999999</v>
      </c>
      <c r="V29" s="107">
        <v>36.539966</v>
      </c>
      <c r="W29" s="107">
        <v>50.335666000000003</v>
      </c>
      <c r="X29" s="107">
        <v>27.687850000000001</v>
      </c>
      <c r="Y29" s="107">
        <v>33.182993000000003</v>
      </c>
      <c r="Z29" s="107">
        <v>30.998567999999999</v>
      </c>
      <c r="AA29" s="107">
        <v>18.332882999999999</v>
      </c>
      <c r="AB29" s="107">
        <v>15.818955000000001</v>
      </c>
      <c r="AC29" s="107">
        <v>13.509606</v>
      </c>
      <c r="AD29" s="107">
        <v>16.194434000000001</v>
      </c>
      <c r="AE29" s="107">
        <v>18.137585000000001</v>
      </c>
      <c r="AF29" s="107">
        <v>19.137695999999998</v>
      </c>
      <c r="AG29" s="107">
        <v>15.9639685</v>
      </c>
      <c r="AH29" s="107">
        <v>15.668356170000001</v>
      </c>
      <c r="AI29" s="107">
        <v>12.526838660000003</v>
      </c>
      <c r="AJ29" s="107">
        <v>11.901943150000001</v>
      </c>
      <c r="AK29" s="107">
        <v>12.35870401</v>
      </c>
      <c r="AL29" s="107">
        <v>9.1200844400000012</v>
      </c>
      <c r="AM29" s="107">
        <v>6.1599591699999987</v>
      </c>
      <c r="AN29" s="107">
        <v>5.7405999999999993E-4</v>
      </c>
      <c r="AO29" s="107">
        <v>0</v>
      </c>
      <c r="AP29" s="107">
        <v>8.7937279999999993E-2</v>
      </c>
      <c r="AQ29" s="107">
        <v>0.16800695000000002</v>
      </c>
      <c r="AR29" s="281">
        <f t="shared" si="7"/>
        <v>1095.3348393900003</v>
      </c>
      <c r="AS29" s="282">
        <f t="shared" si="8"/>
        <v>7.3384168957957409E-3</v>
      </c>
    </row>
    <row r="30" spans="1:45" x14ac:dyDescent="0.25">
      <c r="A30" s="279" t="s">
        <v>68</v>
      </c>
      <c r="B30" s="253">
        <v>7.2142999999999999E-2</v>
      </c>
      <c r="C30" s="283">
        <v>9.2987E-2</v>
      </c>
      <c r="D30" s="283">
        <v>0.10014199999999999</v>
      </c>
      <c r="E30" s="283">
        <v>0.13852200000000001</v>
      </c>
      <c r="F30" s="283">
        <v>0.15553400000000001</v>
      </c>
      <c r="G30" s="283">
        <v>0.21237300000000001</v>
      </c>
      <c r="H30" s="283">
        <v>0.22845599999999999</v>
      </c>
      <c r="I30" s="283">
        <v>0.28478999999999999</v>
      </c>
      <c r="J30" s="283">
        <v>0.21290799999999999</v>
      </c>
      <c r="K30" s="283">
        <v>0.27401599999999998</v>
      </c>
      <c r="L30" s="283">
        <v>0.35212700000000002</v>
      </c>
      <c r="M30" s="283">
        <v>0.37231199999999998</v>
      </c>
      <c r="N30" s="283">
        <v>0.37588500000000002</v>
      </c>
      <c r="O30" s="283">
        <v>0.43601200000000001</v>
      </c>
      <c r="P30" s="283">
        <v>9.2709379999999992</v>
      </c>
      <c r="Q30" s="283">
        <v>35.152990000000003</v>
      </c>
      <c r="R30" s="283">
        <v>43.866770000000002</v>
      </c>
      <c r="S30" s="283">
        <v>79.146827000000002</v>
      </c>
      <c r="T30" s="283">
        <v>81.952568999999997</v>
      </c>
      <c r="U30" s="283">
        <v>83.599621999999997</v>
      </c>
      <c r="V30" s="283">
        <v>74.334581999999997</v>
      </c>
      <c r="W30" s="283">
        <v>74.081029999999998</v>
      </c>
      <c r="X30" s="283">
        <v>96.783541999999997</v>
      </c>
      <c r="Y30" s="283">
        <v>100.58320399999999</v>
      </c>
      <c r="Z30" s="283">
        <v>99.877858000000003</v>
      </c>
      <c r="AA30" s="283">
        <v>139.58882</v>
      </c>
      <c r="AB30" s="283">
        <v>175.68911299999999</v>
      </c>
      <c r="AC30" s="283">
        <v>210.97038499999999</v>
      </c>
      <c r="AD30" s="283">
        <v>218.91829100000001</v>
      </c>
      <c r="AE30" s="283">
        <v>222.800476</v>
      </c>
      <c r="AF30" s="283">
        <v>216.55936</v>
      </c>
      <c r="AG30" s="283">
        <v>228.70081798000001</v>
      </c>
      <c r="AH30" s="283">
        <v>254.83356949999981</v>
      </c>
      <c r="AI30" s="283">
        <v>267.82795695999988</v>
      </c>
      <c r="AJ30" s="283">
        <v>279.41474358000016</v>
      </c>
      <c r="AK30" s="283">
        <v>312.67474552999971</v>
      </c>
      <c r="AL30" s="283">
        <v>410.57403921000059</v>
      </c>
      <c r="AM30" s="283">
        <v>399.91643091999941</v>
      </c>
      <c r="AN30" s="283">
        <v>428.87508299000001</v>
      </c>
      <c r="AO30" s="283">
        <v>467.62614800999972</v>
      </c>
      <c r="AP30" s="283">
        <v>542.66671464000012</v>
      </c>
      <c r="AQ30" s="283">
        <v>788.98291674000041</v>
      </c>
      <c r="AR30" s="284">
        <f t="shared" si="7"/>
        <v>6348.5777500600007</v>
      </c>
      <c r="AS30" s="285">
        <f t="shared" si="8"/>
        <v>4.2533578363360275E-2</v>
      </c>
    </row>
    <row r="31" spans="1:45" x14ac:dyDescent="0.25">
      <c r="A31" s="279" t="s">
        <v>69</v>
      </c>
      <c r="B31" s="280">
        <v>84.053077999999999</v>
      </c>
      <c r="C31" s="107">
        <v>94.497727999999995</v>
      </c>
      <c r="D31" s="107">
        <v>102.414688</v>
      </c>
      <c r="E31" s="107">
        <v>89.274396999999993</v>
      </c>
      <c r="F31" s="107">
        <v>99.783895999999999</v>
      </c>
      <c r="G31" s="107">
        <v>102.392765</v>
      </c>
      <c r="H31" s="107">
        <v>111.80137999999999</v>
      </c>
      <c r="I31" s="107">
        <v>144.74190200000001</v>
      </c>
      <c r="J31" s="107">
        <v>151.445144</v>
      </c>
      <c r="K31" s="107">
        <v>182.85987900000001</v>
      </c>
      <c r="L31" s="107">
        <v>164.83283399999999</v>
      </c>
      <c r="M31" s="107">
        <v>179.175207</v>
      </c>
      <c r="N31" s="107">
        <v>177.67747900000001</v>
      </c>
      <c r="O31" s="107">
        <v>206.98787400000001</v>
      </c>
      <c r="P31" s="107">
        <v>235.06343699999999</v>
      </c>
      <c r="Q31" s="107">
        <v>204.971947</v>
      </c>
      <c r="R31" s="107">
        <v>232.69292999999999</v>
      </c>
      <c r="S31" s="107">
        <v>285.62792400000001</v>
      </c>
      <c r="T31" s="107">
        <v>272.49998399999998</v>
      </c>
      <c r="U31" s="107">
        <v>290.64790399999998</v>
      </c>
      <c r="V31" s="107">
        <v>330.19448699999998</v>
      </c>
      <c r="W31" s="107">
        <v>534.95757700000001</v>
      </c>
      <c r="X31" s="107">
        <v>774.77279499999997</v>
      </c>
      <c r="Y31" s="107">
        <v>830.41280200000006</v>
      </c>
      <c r="Z31" s="107">
        <v>1518.472327</v>
      </c>
      <c r="AA31" s="107">
        <v>1701.6030490000001</v>
      </c>
      <c r="AB31" s="107">
        <v>2394.704119</v>
      </c>
      <c r="AC31" s="107">
        <v>3785.1195250000001</v>
      </c>
      <c r="AD31" s="107">
        <v>3535.4177709999999</v>
      </c>
      <c r="AE31" s="107">
        <v>4344.0157790000003</v>
      </c>
      <c r="AF31" s="107">
        <v>5226.5965159999996</v>
      </c>
      <c r="AG31" s="107">
        <v>3862.8572184800014</v>
      </c>
      <c r="AH31" s="107">
        <v>3644.4235184000008</v>
      </c>
      <c r="AI31" s="107">
        <v>4831.4840539100014</v>
      </c>
      <c r="AJ31" s="107">
        <v>4470.861284689995</v>
      </c>
      <c r="AK31" s="107">
        <v>6953.3065179500018</v>
      </c>
      <c r="AL31" s="107">
        <v>7812.8063570200011</v>
      </c>
      <c r="AM31" s="107">
        <v>12403.108044279988</v>
      </c>
      <c r="AN31" s="107">
        <v>8700.4184968600057</v>
      </c>
      <c r="AO31" s="107">
        <v>9390.2929693900005</v>
      </c>
      <c r="AP31" s="107">
        <v>9938.2742784499987</v>
      </c>
      <c r="AQ31" s="107">
        <v>8659.6084190500005</v>
      </c>
      <c r="AR31" s="281">
        <f t="shared" si="7"/>
        <v>109057.15028248</v>
      </c>
      <c r="AS31" s="282">
        <f t="shared" si="8"/>
        <v>0.73065039607978044</v>
      </c>
    </row>
    <row r="32" spans="1:45" x14ac:dyDescent="0.25">
      <c r="A32" s="279" t="s">
        <v>70</v>
      </c>
      <c r="B32" s="253" t="s">
        <v>77</v>
      </c>
      <c r="C32" s="283" t="s">
        <v>77</v>
      </c>
      <c r="D32" s="283" t="s">
        <v>77</v>
      </c>
      <c r="E32" s="283" t="s">
        <v>77</v>
      </c>
      <c r="F32" s="283" t="s">
        <v>77</v>
      </c>
      <c r="G32" s="283" t="s">
        <v>77</v>
      </c>
      <c r="H32" s="283" t="s">
        <v>77</v>
      </c>
      <c r="I32" s="283" t="s">
        <v>77</v>
      </c>
      <c r="J32" s="283" t="s">
        <v>77</v>
      </c>
      <c r="K32" s="283" t="s">
        <v>77</v>
      </c>
      <c r="L32" s="283" t="s">
        <v>77</v>
      </c>
      <c r="M32" s="283" t="s">
        <v>77</v>
      </c>
      <c r="N32" s="283" t="s">
        <v>77</v>
      </c>
      <c r="O32" s="283" t="s">
        <v>77</v>
      </c>
      <c r="P32" s="283" t="s">
        <v>77</v>
      </c>
      <c r="Q32" s="283" t="s">
        <v>77</v>
      </c>
      <c r="R32" s="283" t="s">
        <v>77</v>
      </c>
      <c r="S32" s="283" t="s">
        <v>77</v>
      </c>
      <c r="T32" s="283" t="s">
        <v>77</v>
      </c>
      <c r="U32" s="283" t="s">
        <v>77</v>
      </c>
      <c r="V32" s="283" t="s">
        <v>77</v>
      </c>
      <c r="W32" s="283" t="s">
        <v>77</v>
      </c>
      <c r="X32" s="283" t="s">
        <v>77</v>
      </c>
      <c r="Y32" s="283" t="s">
        <v>77</v>
      </c>
      <c r="Z32" s="283" t="s">
        <v>77</v>
      </c>
      <c r="AA32" s="283" t="s">
        <v>77</v>
      </c>
      <c r="AB32" s="283" t="s">
        <v>77</v>
      </c>
      <c r="AC32" s="283" t="s">
        <v>77</v>
      </c>
      <c r="AD32" s="283" t="s">
        <v>77</v>
      </c>
      <c r="AE32" s="283" t="s">
        <v>77</v>
      </c>
      <c r="AF32" s="283" t="s">
        <v>77</v>
      </c>
      <c r="AG32" s="283" t="s">
        <v>77</v>
      </c>
      <c r="AH32" s="283">
        <v>11.7107116</v>
      </c>
      <c r="AI32" s="283">
        <v>44.40498233000001</v>
      </c>
      <c r="AJ32" s="283">
        <v>89.076650709999981</v>
      </c>
      <c r="AK32" s="283">
        <v>82.076538890000009</v>
      </c>
      <c r="AL32" s="283">
        <v>46.903377010000014</v>
      </c>
      <c r="AM32" s="283">
        <v>60.374975630000023</v>
      </c>
      <c r="AN32" s="283">
        <v>457.36432666000013</v>
      </c>
      <c r="AO32" s="283">
        <v>1051.1827203599998</v>
      </c>
      <c r="AP32" s="283">
        <v>376.65560485000003</v>
      </c>
      <c r="AQ32" s="283">
        <v>221.19037430000009</v>
      </c>
      <c r="AR32" s="284">
        <f t="shared" si="7"/>
        <v>2440.9402623400001</v>
      </c>
      <c r="AS32" s="285">
        <f t="shared" si="8"/>
        <v>1.6353572093771453E-2</v>
      </c>
    </row>
    <row r="33" spans="1:45" x14ac:dyDescent="0.25">
      <c r="A33" s="279" t="s">
        <v>71</v>
      </c>
      <c r="B33" s="280" t="s">
        <v>77</v>
      </c>
      <c r="C33" s="107" t="s">
        <v>77</v>
      </c>
      <c r="D33" s="107" t="s">
        <v>77</v>
      </c>
      <c r="E33" s="107" t="s">
        <v>77</v>
      </c>
      <c r="F33" s="107" t="s">
        <v>77</v>
      </c>
      <c r="G33" s="107" t="s">
        <v>77</v>
      </c>
      <c r="H33" s="107" t="s">
        <v>77</v>
      </c>
      <c r="I33" s="107" t="s">
        <v>77</v>
      </c>
      <c r="J33" s="107" t="s">
        <v>77</v>
      </c>
      <c r="K33" s="107" t="s">
        <v>77</v>
      </c>
      <c r="L33" s="107" t="s">
        <v>77</v>
      </c>
      <c r="M33" s="107" t="s">
        <v>77</v>
      </c>
      <c r="N33" s="107" t="s">
        <v>77</v>
      </c>
      <c r="O33" s="107" t="s">
        <v>77</v>
      </c>
      <c r="P33" s="107" t="s">
        <v>77</v>
      </c>
      <c r="Q33" s="107" t="s">
        <v>77</v>
      </c>
      <c r="R33" s="107" t="s">
        <v>77</v>
      </c>
      <c r="S33" s="107" t="s">
        <v>77</v>
      </c>
      <c r="T33" s="107" t="s">
        <v>77</v>
      </c>
      <c r="U33" s="107" t="s">
        <v>77</v>
      </c>
      <c r="V33" s="107" t="s">
        <v>77</v>
      </c>
      <c r="W33" s="107" t="s">
        <v>77</v>
      </c>
      <c r="X33" s="107" t="s">
        <v>77</v>
      </c>
      <c r="Y33" s="107" t="s">
        <v>77</v>
      </c>
      <c r="Z33" s="107" t="s">
        <v>77</v>
      </c>
      <c r="AA33" s="107">
        <v>21.462494</v>
      </c>
      <c r="AB33" s="107">
        <v>24.355874</v>
      </c>
      <c r="AC33" s="107">
        <v>19.222522999999999</v>
      </c>
      <c r="AD33" s="107">
        <v>25.124566000000002</v>
      </c>
      <c r="AE33" s="107">
        <v>20.032661000000001</v>
      </c>
      <c r="AF33" s="107">
        <v>13.867438999999999</v>
      </c>
      <c r="AG33" s="107">
        <v>12.902157649999996</v>
      </c>
      <c r="AH33" s="107">
        <v>17.110661820000001</v>
      </c>
      <c r="AI33" s="107">
        <v>12.704224999999996</v>
      </c>
      <c r="AJ33" s="107">
        <v>15.432036929999999</v>
      </c>
      <c r="AK33" s="107">
        <v>21.114101730000009</v>
      </c>
      <c r="AL33" s="107">
        <v>27.519279090000008</v>
      </c>
      <c r="AM33" s="107">
        <v>33.667262760000014</v>
      </c>
      <c r="AN33" s="107">
        <v>49.08868308000001</v>
      </c>
      <c r="AO33" s="107">
        <v>47.484565280000012</v>
      </c>
      <c r="AP33" s="107">
        <v>45.228050260000003</v>
      </c>
      <c r="AQ33" s="107">
        <v>49.215002159999997</v>
      </c>
      <c r="AR33" s="281">
        <f t="shared" si="7"/>
        <v>455.53158276000005</v>
      </c>
      <c r="AS33" s="282">
        <f t="shared" si="8"/>
        <v>3.0519258068667241E-3</v>
      </c>
    </row>
    <row r="34" spans="1:45" x14ac:dyDescent="0.25">
      <c r="A34" s="279" t="s">
        <v>72</v>
      </c>
      <c r="B34" s="253">
        <v>3.9682089999999999</v>
      </c>
      <c r="C34" s="283">
        <v>5.0308330000000003</v>
      </c>
      <c r="D34" s="283">
        <v>5.8192750000000002</v>
      </c>
      <c r="E34" s="283">
        <v>3.3647079999999998</v>
      </c>
      <c r="F34" s="283">
        <v>6.5740340000000002</v>
      </c>
      <c r="G34" s="283">
        <v>10.694293</v>
      </c>
      <c r="H34" s="283">
        <v>9.9092339999999997</v>
      </c>
      <c r="I34" s="283">
        <v>10.082058</v>
      </c>
      <c r="J34" s="283">
        <v>10.846182000000001</v>
      </c>
      <c r="K34" s="283">
        <v>8.1570459999999994</v>
      </c>
      <c r="L34" s="283">
        <v>10.872023</v>
      </c>
      <c r="M34" s="283">
        <v>22.481707</v>
      </c>
      <c r="N34" s="283">
        <v>24.375886000000001</v>
      </c>
      <c r="O34" s="283">
        <v>21.581045</v>
      </c>
      <c r="P34" s="283">
        <v>24.60351</v>
      </c>
      <c r="Q34" s="283">
        <v>20.268521</v>
      </c>
      <c r="R34" s="283">
        <v>51.541488000000001</v>
      </c>
      <c r="S34" s="283">
        <v>53.134321999999997</v>
      </c>
      <c r="T34" s="283">
        <v>46.654437000000001</v>
      </c>
      <c r="U34" s="283">
        <v>63.881419000000001</v>
      </c>
      <c r="V34" s="283">
        <v>82.189510999999996</v>
      </c>
      <c r="W34" s="283">
        <v>87.554131999999996</v>
      </c>
      <c r="X34" s="283">
        <v>117.65648</v>
      </c>
      <c r="Y34" s="283">
        <v>197.97207599999999</v>
      </c>
      <c r="Z34" s="283">
        <v>116.720356</v>
      </c>
      <c r="AA34" s="283">
        <v>67.742963000000003</v>
      </c>
      <c r="AB34" s="283">
        <v>100.73661300000001</v>
      </c>
      <c r="AC34" s="283">
        <v>103.02030999999999</v>
      </c>
      <c r="AD34" s="283">
        <v>94.532049999999998</v>
      </c>
      <c r="AE34" s="283">
        <v>84.413621000000006</v>
      </c>
      <c r="AF34" s="283">
        <v>84.339056999999997</v>
      </c>
      <c r="AG34" s="283">
        <v>66.572766459999997</v>
      </c>
      <c r="AH34" s="283">
        <v>47.413265929999994</v>
      </c>
      <c r="AI34" s="283">
        <v>51.274919679999996</v>
      </c>
      <c r="AJ34" s="283">
        <v>66.71823277</v>
      </c>
      <c r="AK34" s="283">
        <v>73.107660919999958</v>
      </c>
      <c r="AL34" s="283">
        <v>74.741380269999979</v>
      </c>
      <c r="AM34" s="283">
        <v>87.401677310000039</v>
      </c>
      <c r="AN34" s="283">
        <v>128.17398615000002</v>
      </c>
      <c r="AO34" s="283">
        <v>131.60841126999995</v>
      </c>
      <c r="AP34" s="283">
        <v>80.630319810000003</v>
      </c>
      <c r="AQ34" s="283">
        <v>39.249502739999983</v>
      </c>
      <c r="AR34" s="284">
        <f t="shared" si="7"/>
        <v>2397.6095223099996</v>
      </c>
      <c r="AS34" s="285">
        <f t="shared" si="8"/>
        <v>1.6063269052812239E-2</v>
      </c>
    </row>
    <row r="35" spans="1:45" x14ac:dyDescent="0.25">
      <c r="A35" s="279" t="s">
        <v>121</v>
      </c>
      <c r="B35" s="280">
        <v>7.3000670000000003</v>
      </c>
      <c r="C35" s="107">
        <v>8.2229519999999994</v>
      </c>
      <c r="D35" s="107">
        <v>7.8940830000000002</v>
      </c>
      <c r="E35" s="107">
        <v>8.8009199999999996</v>
      </c>
      <c r="F35" s="107">
        <v>17.862929999999999</v>
      </c>
      <c r="G35" s="107">
        <v>25.917968999999999</v>
      </c>
      <c r="H35" s="107">
        <v>27.917249999999999</v>
      </c>
      <c r="I35" s="107">
        <v>31.605571000000001</v>
      </c>
      <c r="J35" s="107">
        <v>36.102908999999997</v>
      </c>
      <c r="K35" s="107">
        <v>33.744779999999999</v>
      </c>
      <c r="L35" s="107">
        <v>33.088425000000001</v>
      </c>
      <c r="M35" s="107">
        <v>48.087128</v>
      </c>
      <c r="N35" s="107">
        <v>50.255875000000003</v>
      </c>
      <c r="O35" s="107">
        <v>48.443001000000002</v>
      </c>
      <c r="P35" s="107">
        <v>55.097645999999997</v>
      </c>
      <c r="Q35" s="107">
        <v>56.511277</v>
      </c>
      <c r="R35" s="107">
        <v>67.244718000000006</v>
      </c>
      <c r="S35" s="107">
        <v>76.107667000000006</v>
      </c>
      <c r="T35" s="107">
        <v>75.554355000000001</v>
      </c>
      <c r="U35" s="107">
        <v>77.110478000000001</v>
      </c>
      <c r="V35" s="107">
        <v>76.127526000000003</v>
      </c>
      <c r="W35" s="107">
        <v>84.339597999999995</v>
      </c>
      <c r="X35" s="107">
        <v>122.036845</v>
      </c>
      <c r="Y35" s="107">
        <v>183.56032400000001</v>
      </c>
      <c r="Z35" s="107">
        <v>147.95616899999999</v>
      </c>
      <c r="AA35" s="107">
        <v>85.733526999999995</v>
      </c>
      <c r="AB35" s="107">
        <v>106.02801599999999</v>
      </c>
      <c r="AC35" s="107">
        <v>139.40100200000001</v>
      </c>
      <c r="AD35" s="107">
        <v>136.91198199999999</v>
      </c>
      <c r="AE35" s="107">
        <v>142.803504</v>
      </c>
      <c r="AF35" s="107">
        <v>72.087712999999994</v>
      </c>
      <c r="AG35" s="107">
        <v>76.165911569999963</v>
      </c>
      <c r="AH35" s="107">
        <v>49.19550032999998</v>
      </c>
      <c r="AI35" s="107">
        <v>58.921453069999949</v>
      </c>
      <c r="AJ35" s="107">
        <v>83.588267510000009</v>
      </c>
      <c r="AK35" s="107">
        <v>83.106348810000043</v>
      </c>
      <c r="AL35" s="107">
        <v>72.792384989999945</v>
      </c>
      <c r="AM35" s="107">
        <v>76.812480540000024</v>
      </c>
      <c r="AN35" s="107">
        <v>90.83848973000002</v>
      </c>
      <c r="AO35" s="107">
        <v>85.277919390000022</v>
      </c>
      <c r="AP35" s="107">
        <v>102.33566375000025</v>
      </c>
      <c r="AQ35" s="107">
        <v>95.515465910000003</v>
      </c>
      <c r="AR35" s="281">
        <f t="shared" si="7"/>
        <v>2964.4060926000006</v>
      </c>
      <c r="AS35" s="287">
        <f t="shared" si="8"/>
        <v>1.9860637107143111E-2</v>
      </c>
    </row>
    <row r="36" spans="1:45" x14ac:dyDescent="0.25">
      <c r="A36" s="279" t="s">
        <v>73</v>
      </c>
      <c r="B36" s="253">
        <v>17.840906</v>
      </c>
      <c r="C36" s="283">
        <v>20.821733999999999</v>
      </c>
      <c r="D36" s="283">
        <v>31.243739000000001</v>
      </c>
      <c r="E36" s="283">
        <v>29.930962999999998</v>
      </c>
      <c r="F36" s="283">
        <v>28.430859000000002</v>
      </c>
      <c r="G36" s="283">
        <v>25.391576000000001</v>
      </c>
      <c r="H36" s="283">
        <v>85.807862</v>
      </c>
      <c r="I36" s="283">
        <v>88.291780000000003</v>
      </c>
      <c r="J36" s="283">
        <v>82.862410999999994</v>
      </c>
      <c r="K36" s="283">
        <v>77.885557000000006</v>
      </c>
      <c r="L36" s="283">
        <v>84.194806999999997</v>
      </c>
      <c r="M36" s="283">
        <v>154.57946999999999</v>
      </c>
      <c r="N36" s="283">
        <v>166.151815</v>
      </c>
      <c r="O36" s="283">
        <v>236.83548300000001</v>
      </c>
      <c r="P36" s="283">
        <v>228.77493999999999</v>
      </c>
      <c r="Q36" s="283">
        <v>190.128231</v>
      </c>
      <c r="R36" s="283">
        <v>510.72407299999998</v>
      </c>
      <c r="S36" s="283">
        <v>494.45031999999998</v>
      </c>
      <c r="T36" s="283">
        <v>438.49728499999998</v>
      </c>
      <c r="U36" s="283">
        <v>441.346858</v>
      </c>
      <c r="V36" s="283">
        <v>489.335936</v>
      </c>
      <c r="W36" s="283">
        <v>624.69057399999997</v>
      </c>
      <c r="X36" s="283">
        <v>700.83078899999998</v>
      </c>
      <c r="Y36" s="283">
        <v>737.11452199999997</v>
      </c>
      <c r="Z36" s="283">
        <v>929.25872200000003</v>
      </c>
      <c r="AA36" s="283">
        <v>17.851848</v>
      </c>
      <c r="AB36" s="283">
        <v>22.882171</v>
      </c>
      <c r="AC36" s="283">
        <v>21.987487999999999</v>
      </c>
      <c r="AD36" s="283">
        <v>17.220538999999999</v>
      </c>
      <c r="AE36" s="283">
        <v>14.427177</v>
      </c>
      <c r="AF36" s="283">
        <v>11.123224</v>
      </c>
      <c r="AG36" s="283">
        <v>8.7359958299999949</v>
      </c>
      <c r="AH36" s="283">
        <v>3.4935449599999999</v>
      </c>
      <c r="AI36" s="283">
        <v>4.0546405700000001</v>
      </c>
      <c r="AJ36" s="283">
        <v>8.3174555299999984</v>
      </c>
      <c r="AK36" s="283">
        <v>10.568204839999998</v>
      </c>
      <c r="AL36" s="283">
        <v>2.3277912099999996</v>
      </c>
      <c r="AM36" s="283">
        <v>5.8236728300000005</v>
      </c>
      <c r="AN36" s="283">
        <v>14.182022009999994</v>
      </c>
      <c r="AO36" s="283">
        <v>15.797970289999997</v>
      </c>
      <c r="AP36" s="283">
        <v>20.826791570000005</v>
      </c>
      <c r="AQ36" s="283">
        <v>17.02421249</v>
      </c>
      <c r="AR36" s="284">
        <f t="shared" si="7"/>
        <v>7132.0659611299989</v>
      </c>
      <c r="AS36" s="285">
        <f t="shared" si="8"/>
        <v>4.7782715813397769E-2</v>
      </c>
    </row>
    <row r="37" spans="1:45" x14ac:dyDescent="0.25">
      <c r="A37" s="279" t="s">
        <v>122</v>
      </c>
      <c r="B37" s="280" t="s">
        <v>77</v>
      </c>
      <c r="C37" s="107" t="s">
        <v>77</v>
      </c>
      <c r="D37" s="107" t="s">
        <v>77</v>
      </c>
      <c r="E37" s="107" t="s">
        <v>77</v>
      </c>
      <c r="F37" s="107" t="s">
        <v>77</v>
      </c>
      <c r="G37" s="107" t="s">
        <v>77</v>
      </c>
      <c r="H37" s="107" t="s">
        <v>77</v>
      </c>
      <c r="I37" s="107" t="s">
        <v>77</v>
      </c>
      <c r="J37" s="107" t="s">
        <v>77</v>
      </c>
      <c r="K37" s="107" t="s">
        <v>77</v>
      </c>
      <c r="L37" s="107" t="s">
        <v>77</v>
      </c>
      <c r="M37" s="107" t="s">
        <v>77</v>
      </c>
      <c r="N37" s="107" t="s">
        <v>77</v>
      </c>
      <c r="O37" s="107" t="s">
        <v>77</v>
      </c>
      <c r="P37" s="107" t="s">
        <v>77</v>
      </c>
      <c r="Q37" s="107" t="s">
        <v>77</v>
      </c>
      <c r="R37" s="107" t="s">
        <v>77</v>
      </c>
      <c r="S37" s="107" t="s">
        <v>77</v>
      </c>
      <c r="T37" s="107" t="s">
        <v>77</v>
      </c>
      <c r="U37" s="107" t="s">
        <v>77</v>
      </c>
      <c r="V37" s="107" t="s">
        <v>77</v>
      </c>
      <c r="W37" s="107" t="s">
        <v>77</v>
      </c>
      <c r="X37" s="107" t="s">
        <v>77</v>
      </c>
      <c r="Y37" s="107" t="s">
        <v>77</v>
      </c>
      <c r="Z37" s="107" t="s">
        <v>77</v>
      </c>
      <c r="AA37" s="107">
        <v>673.84336599999995</v>
      </c>
      <c r="AB37" s="107">
        <v>962.19831699999997</v>
      </c>
      <c r="AC37" s="107">
        <v>927.12396799999999</v>
      </c>
      <c r="AD37" s="107">
        <v>985.83227699999998</v>
      </c>
      <c r="AE37" s="107">
        <v>1039.1903070000001</v>
      </c>
      <c r="AF37" s="107">
        <v>1079.461374</v>
      </c>
      <c r="AG37" s="107">
        <v>742.80582800000002</v>
      </c>
      <c r="AH37" s="107">
        <v>567.04499999999996</v>
      </c>
      <c r="AI37" s="107">
        <v>622.81438276999984</v>
      </c>
      <c r="AJ37" s="107">
        <v>832.39</v>
      </c>
      <c r="AK37" s="107">
        <v>766.41866484999991</v>
      </c>
      <c r="AL37" s="107">
        <v>494.94433580999998</v>
      </c>
      <c r="AM37" s="107">
        <v>732.42540717999998</v>
      </c>
      <c r="AN37" s="107">
        <v>1342.62165645</v>
      </c>
      <c r="AO37" s="107">
        <v>981.51533762999998</v>
      </c>
      <c r="AP37" s="107">
        <v>710.8764352799999</v>
      </c>
      <c r="AQ37" s="107">
        <v>522.61320073999991</v>
      </c>
      <c r="AR37" s="281">
        <f t="shared" si="7"/>
        <v>13984.119857709999</v>
      </c>
      <c r="AS37" s="282">
        <f t="shared" si="8"/>
        <v>9.368943426815704E-2</v>
      </c>
    </row>
    <row r="38" spans="1:45" x14ac:dyDescent="0.25">
      <c r="A38" s="288" t="s">
        <v>123</v>
      </c>
      <c r="B38" s="290">
        <f t="shared" ref="B38:AN38" si="9">SUM(B27:B36)</f>
        <v>125.545063</v>
      </c>
      <c r="C38" s="290">
        <f t="shared" si="9"/>
        <v>140.79947499999997</v>
      </c>
      <c r="D38" s="290">
        <f t="shared" si="9"/>
        <v>165.31486900000002</v>
      </c>
      <c r="E38" s="290">
        <f t="shared" si="9"/>
        <v>156.516595</v>
      </c>
      <c r="F38" s="290">
        <f t="shared" si="9"/>
        <v>178.47263000000001</v>
      </c>
      <c r="G38" s="290">
        <f t="shared" si="9"/>
        <v>210.823891</v>
      </c>
      <c r="H38" s="290">
        <f t="shared" si="9"/>
        <v>301.78305699999999</v>
      </c>
      <c r="I38" s="290">
        <f t="shared" si="9"/>
        <v>326.06664899999998</v>
      </c>
      <c r="J38" s="290">
        <f t="shared" si="9"/>
        <v>351.895983</v>
      </c>
      <c r="K38" s="290">
        <f t="shared" si="9"/>
        <v>373.79664500000001</v>
      </c>
      <c r="L38" s="290">
        <f t="shared" si="9"/>
        <v>362.35559599999999</v>
      </c>
      <c r="M38" s="290">
        <f t="shared" si="9"/>
        <v>465.43107499999996</v>
      </c>
      <c r="N38" s="290">
        <f t="shared" si="9"/>
        <v>485.21729099999999</v>
      </c>
      <c r="O38" s="290">
        <f t="shared" si="9"/>
        <v>584.94969500000002</v>
      </c>
      <c r="P38" s="290">
        <f t="shared" si="9"/>
        <v>636.28463899999997</v>
      </c>
      <c r="Q38" s="290">
        <f t="shared" si="9"/>
        <v>599.76767500000005</v>
      </c>
      <c r="R38" s="290">
        <f t="shared" si="9"/>
        <v>1019.0897639999999</v>
      </c>
      <c r="S38" s="290">
        <f t="shared" si="9"/>
        <v>1135.710513</v>
      </c>
      <c r="T38" s="290">
        <f t="shared" si="9"/>
        <v>1049.494342</v>
      </c>
      <c r="U38" s="290">
        <f t="shared" si="9"/>
        <v>1080.4620359999999</v>
      </c>
      <c r="V38" s="290">
        <f t="shared" si="9"/>
        <v>1141.2362639999999</v>
      </c>
      <c r="W38" s="290">
        <f t="shared" si="9"/>
        <v>1513.242029</v>
      </c>
      <c r="X38" s="290">
        <f t="shared" si="9"/>
        <v>1914.6006580000003</v>
      </c>
      <c r="Y38" s="290">
        <f t="shared" si="9"/>
        <v>2167.9782580000001</v>
      </c>
      <c r="Z38" s="290">
        <f t="shared" si="9"/>
        <v>2921.5065810000001</v>
      </c>
      <c r="AA38" s="290">
        <f t="shared" si="9"/>
        <v>2118.9428439999997</v>
      </c>
      <c r="AB38" s="290">
        <f t="shared" si="9"/>
        <v>2904.7797070000001</v>
      </c>
      <c r="AC38" s="290">
        <f t="shared" si="9"/>
        <v>4361.633397999999</v>
      </c>
      <c r="AD38" s="290">
        <f t="shared" si="9"/>
        <v>4109.6133149999996</v>
      </c>
      <c r="AE38" s="290">
        <f t="shared" si="9"/>
        <v>4913.3755730000003</v>
      </c>
      <c r="AF38" s="290">
        <f t="shared" si="9"/>
        <v>5786.4965059999995</v>
      </c>
      <c r="AG38" s="290">
        <f t="shared" si="9"/>
        <v>4427.7468722500016</v>
      </c>
      <c r="AH38" s="290">
        <f t="shared" si="9"/>
        <v>4172.744821440001</v>
      </c>
      <c r="AI38" s="290">
        <f t="shared" si="9"/>
        <v>5436.651193130001</v>
      </c>
      <c r="AJ38" s="290">
        <f t="shared" si="9"/>
        <v>5221.9969251299954</v>
      </c>
      <c r="AK38" s="290">
        <f t="shared" si="9"/>
        <v>7752.9059652800015</v>
      </c>
      <c r="AL38" s="290">
        <f t="shared" si="9"/>
        <v>8620.387248250001</v>
      </c>
      <c r="AM38" s="290">
        <f t="shared" si="9"/>
        <v>13251.786862409988</v>
      </c>
      <c r="AN38" s="290">
        <f t="shared" si="9"/>
        <v>10081.235605830003</v>
      </c>
      <c r="AO38" s="290">
        <v>11370.608178699998</v>
      </c>
      <c r="AP38" s="290">
        <f>SUM(AP27:AP36)</f>
        <v>11260.87567514</v>
      </c>
      <c r="AQ38" s="290">
        <f>SUM(AQ27:AQ36)</f>
        <v>10076.130673720001</v>
      </c>
      <c r="AR38" s="289">
        <f>SUM(AR27:AR36)</f>
        <v>135276.25263727998</v>
      </c>
      <c r="AS38" s="531">
        <f t="shared" si="8"/>
        <v>0.90631056573184299</v>
      </c>
    </row>
    <row r="39" spans="1:45" ht="15.75" thickBot="1" x14ac:dyDescent="0.3">
      <c r="A39" s="291" t="s">
        <v>1224</v>
      </c>
      <c r="B39" s="293">
        <f t="shared" ref="B39:AN39" si="10">SUM(B37:B38)</f>
        <v>125.545063</v>
      </c>
      <c r="C39" s="293">
        <f t="shared" si="10"/>
        <v>140.79947499999997</v>
      </c>
      <c r="D39" s="293">
        <f t="shared" si="10"/>
        <v>165.31486900000002</v>
      </c>
      <c r="E39" s="293">
        <f t="shared" si="10"/>
        <v>156.516595</v>
      </c>
      <c r="F39" s="293">
        <f t="shared" si="10"/>
        <v>178.47263000000001</v>
      </c>
      <c r="G39" s="293">
        <f t="shared" si="10"/>
        <v>210.823891</v>
      </c>
      <c r="H39" s="293">
        <f t="shared" si="10"/>
        <v>301.78305699999999</v>
      </c>
      <c r="I39" s="293">
        <f t="shared" si="10"/>
        <v>326.06664899999998</v>
      </c>
      <c r="J39" s="293">
        <f t="shared" si="10"/>
        <v>351.895983</v>
      </c>
      <c r="K39" s="293">
        <f t="shared" si="10"/>
        <v>373.79664500000001</v>
      </c>
      <c r="L39" s="293">
        <f t="shared" si="10"/>
        <v>362.35559599999999</v>
      </c>
      <c r="M39" s="293">
        <f t="shared" si="10"/>
        <v>465.43107499999996</v>
      </c>
      <c r="N39" s="293">
        <f t="shared" si="10"/>
        <v>485.21729099999999</v>
      </c>
      <c r="O39" s="293">
        <f t="shared" si="10"/>
        <v>584.94969500000002</v>
      </c>
      <c r="P39" s="293">
        <f t="shared" si="10"/>
        <v>636.28463899999997</v>
      </c>
      <c r="Q39" s="293">
        <f t="shared" si="10"/>
        <v>599.76767500000005</v>
      </c>
      <c r="R39" s="293">
        <f t="shared" si="10"/>
        <v>1019.0897639999999</v>
      </c>
      <c r="S39" s="293">
        <f t="shared" si="10"/>
        <v>1135.710513</v>
      </c>
      <c r="T39" s="293">
        <f t="shared" si="10"/>
        <v>1049.494342</v>
      </c>
      <c r="U39" s="293">
        <f t="shared" si="10"/>
        <v>1080.4620359999999</v>
      </c>
      <c r="V39" s="293">
        <f t="shared" si="10"/>
        <v>1141.2362639999999</v>
      </c>
      <c r="W39" s="293">
        <f t="shared" si="10"/>
        <v>1513.242029</v>
      </c>
      <c r="X39" s="293">
        <f t="shared" si="10"/>
        <v>1914.6006580000003</v>
      </c>
      <c r="Y39" s="293">
        <f t="shared" si="10"/>
        <v>2167.9782580000001</v>
      </c>
      <c r="Z39" s="293">
        <f t="shared" si="10"/>
        <v>2921.5065810000001</v>
      </c>
      <c r="AA39" s="293">
        <f t="shared" si="10"/>
        <v>2792.7862099999998</v>
      </c>
      <c r="AB39" s="293">
        <f t="shared" si="10"/>
        <v>3866.978024</v>
      </c>
      <c r="AC39" s="293">
        <f t="shared" si="10"/>
        <v>5288.7573659999989</v>
      </c>
      <c r="AD39" s="293">
        <f t="shared" si="10"/>
        <v>5095.445592</v>
      </c>
      <c r="AE39" s="293">
        <f t="shared" si="10"/>
        <v>5952.5658800000001</v>
      </c>
      <c r="AF39" s="293">
        <f t="shared" si="10"/>
        <v>6865.9578799999999</v>
      </c>
      <c r="AG39" s="293">
        <f t="shared" si="10"/>
        <v>5170.5527002500021</v>
      </c>
      <c r="AH39" s="293">
        <f t="shared" si="10"/>
        <v>4739.7898214400011</v>
      </c>
      <c r="AI39" s="293">
        <f t="shared" si="10"/>
        <v>6059.4655759000007</v>
      </c>
      <c r="AJ39" s="293">
        <f t="shared" si="10"/>
        <v>6054.3869251299957</v>
      </c>
      <c r="AK39" s="293">
        <f t="shared" si="10"/>
        <v>8519.3246301300023</v>
      </c>
      <c r="AL39" s="293">
        <f t="shared" si="10"/>
        <v>9115.3315840600008</v>
      </c>
      <c r="AM39" s="293">
        <f t="shared" si="10"/>
        <v>13984.212269589989</v>
      </c>
      <c r="AN39" s="293">
        <f t="shared" si="10"/>
        <v>11423.857262280002</v>
      </c>
      <c r="AO39" s="293">
        <v>12352.123516329999</v>
      </c>
      <c r="AP39" s="293">
        <f>SUM(AP37:AP38)</f>
        <v>11971.752110419999</v>
      </c>
      <c r="AQ39" s="293">
        <f>SUM(AQ37:AQ38)</f>
        <v>10598.74387446</v>
      </c>
      <c r="AR39" s="292">
        <f>SUM(AR37:AR38)</f>
        <v>149260.37249498998</v>
      </c>
      <c r="AS39" s="294">
        <f>AR39/AR$39</f>
        <v>1</v>
      </c>
    </row>
    <row r="204" spans="2:2" x14ac:dyDescent="0.25">
      <c r="B204">
        <v>63.54</v>
      </c>
    </row>
    <row r="205" spans="2:2" x14ac:dyDescent="0.25">
      <c r="B205">
        <v>63.86</v>
      </c>
    </row>
    <row r="206" spans="2:2" x14ac:dyDescent="0.25">
      <c r="B206">
        <v>63.7</v>
      </c>
    </row>
    <row r="207" spans="2:2" x14ac:dyDescent="0.25">
      <c r="B207">
        <v>64.67</v>
      </c>
    </row>
    <row r="208" spans="2:2" x14ac:dyDescent="0.25">
      <c r="B208">
        <v>65.03</v>
      </c>
    </row>
    <row r="209" spans="2:2" x14ac:dyDescent="0.25">
      <c r="B209">
        <v>64.67</v>
      </c>
    </row>
    <row r="210" spans="2:2" x14ac:dyDescent="0.25">
      <c r="B210">
        <v>65.260000000000005</v>
      </c>
    </row>
    <row r="211" spans="2:2" x14ac:dyDescent="0.25">
      <c r="B211">
        <v>66.599999999999994</v>
      </c>
    </row>
    <row r="212" spans="2:2" x14ac:dyDescent="0.25">
      <c r="B212">
        <v>66.28</v>
      </c>
    </row>
    <row r="213" spans="2:2" x14ac:dyDescent="0.25">
      <c r="B213">
        <v>65.11</v>
      </c>
    </row>
    <row r="214" spans="2:2" x14ac:dyDescent="0.25">
      <c r="B214">
        <v>64.040000000000006</v>
      </c>
    </row>
    <row r="215" spans="2:2" x14ac:dyDescent="0.25">
      <c r="B215">
        <v>64.569999999999993</v>
      </c>
    </row>
  </sheetData>
  <mergeCells count="4">
    <mergeCell ref="A8:A9"/>
    <mergeCell ref="AR8:AS8"/>
    <mergeCell ref="A25:A26"/>
    <mergeCell ref="AR25:AS25"/>
  </mergeCells>
  <pageMargins left="0.7" right="0.7" top="0.75" bottom="0.75" header="0.3" footer="0.3"/>
  <pageSetup paperSize="9" orientation="portrait" r:id="rId1"/>
  <ignoredErrors>
    <ignoredError sqref="AH22:AO22 AL38 AH38:AK38 AM38:AN38 AP21:AQ21 AP38:AQ38" formulaRange="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375BB-E2A3-4B4E-8771-E2B9DCCD45E7}">
  <sheetPr codeName="Sheet16"/>
  <dimension ref="A1:GH104"/>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50.7109375" customWidth="1"/>
    <col min="2" max="26" width="12.7109375" customWidth="1"/>
  </cols>
  <sheetData>
    <row r="1" spans="1:190" s="3" customFormat="1" ht="15.75" customHeight="1" x14ac:dyDescent="0.25">
      <c r="B1" s="321">
        <f t="shared" ref="B1:BM1" ca="1" si="0">INDIRECT(ADDRESS(MATCH($P$53,$A$1:$A$23,0),COLUMN(B$2)))</f>
        <v>42991.258000000002</v>
      </c>
      <c r="C1" s="321">
        <f t="shared" ca="1" si="0"/>
        <v>41764.942499999997</v>
      </c>
      <c r="D1" s="321">
        <f t="shared" ca="1" si="0"/>
        <v>44078.262499999997</v>
      </c>
      <c r="E1" s="321">
        <f t="shared" ca="1" si="0"/>
        <v>48591.583500000001</v>
      </c>
      <c r="F1" s="321">
        <f t="shared" ca="1" si="0"/>
        <v>52448.976000000002</v>
      </c>
      <c r="G1" s="321">
        <f t="shared" ca="1" si="0"/>
        <v>59673.662499999999</v>
      </c>
      <c r="H1" s="321">
        <f t="shared" ca="1" si="0"/>
        <v>65017.728999999999</v>
      </c>
      <c r="I1" s="321">
        <f t="shared" ca="1" si="0"/>
        <v>71036.789000000004</v>
      </c>
      <c r="J1" s="321">
        <f t="shared" ca="1" si="0"/>
        <v>67598.002999999997</v>
      </c>
      <c r="K1" s="321">
        <f t="shared" ca="1" si="0"/>
        <v>72082.560500000007</v>
      </c>
      <c r="L1" s="321">
        <f t="shared" ca="1" si="0"/>
        <v>85991.841499999995</v>
      </c>
      <c r="M1" s="321">
        <f t="shared" ca="1" si="0"/>
        <v>98595.561499999996</v>
      </c>
      <c r="N1" s="321">
        <f t="shared" ca="1" si="0"/>
        <v>101677.788</v>
      </c>
      <c r="O1" s="321">
        <f t="shared" ca="1" si="0"/>
        <v>95243.471999999994</v>
      </c>
      <c r="P1" s="321">
        <f t="shared" ca="1" si="0"/>
        <v>89207.509000000005</v>
      </c>
      <c r="Q1" s="321">
        <f t="shared" ca="1" si="0"/>
        <v>83499.633000000002</v>
      </c>
      <c r="R1" s="321">
        <f t="shared" ca="1" si="0"/>
        <v>86679.081000000006</v>
      </c>
      <c r="S1" s="321">
        <f t="shared" ca="1" si="0"/>
        <v>94220.370500000005</v>
      </c>
      <c r="T1" s="321">
        <f t="shared" ca="1" si="0"/>
        <v>101792.511</v>
      </c>
      <c r="U1" s="321">
        <f t="shared" ca="1" si="0"/>
        <v>108396.39049999999</v>
      </c>
      <c r="V1" s="321">
        <f t="shared" ca="1" si="0"/>
        <v>117659.97199999999</v>
      </c>
      <c r="W1" s="321">
        <f t="shared" ca="1" si="0"/>
        <v>122779.06050000001</v>
      </c>
      <c r="X1" s="321">
        <f t="shared" ca="1" si="0"/>
        <v>130884.13649999999</v>
      </c>
      <c r="Y1" s="321">
        <f t="shared" ca="1" si="0"/>
        <v>136011.0675</v>
      </c>
      <c r="Z1" s="321">
        <f t="shared" ca="1" si="0"/>
        <v>136179.3175</v>
      </c>
      <c r="AA1" s="321">
        <f t="shared" ca="1" si="0"/>
        <v>0</v>
      </c>
      <c r="AB1" s="321">
        <f t="shared" ca="1" si="0"/>
        <v>0</v>
      </c>
      <c r="AC1" s="321">
        <f t="shared" ca="1" si="0"/>
        <v>0</v>
      </c>
      <c r="AD1" s="321">
        <f t="shared" ca="1" si="0"/>
        <v>0</v>
      </c>
      <c r="AE1" s="321">
        <f t="shared" ca="1" si="0"/>
        <v>0</v>
      </c>
      <c r="AF1" s="321">
        <f t="shared" ca="1" si="0"/>
        <v>0</v>
      </c>
      <c r="AG1" s="321">
        <f t="shared" ca="1" si="0"/>
        <v>0</v>
      </c>
      <c r="AH1" s="321">
        <f t="shared" ca="1" si="0"/>
        <v>0</v>
      </c>
      <c r="AI1" s="321">
        <f t="shared" ca="1" si="0"/>
        <v>0</v>
      </c>
      <c r="AJ1" s="321">
        <f t="shared" ca="1" si="0"/>
        <v>0</v>
      </c>
      <c r="AK1" s="321">
        <f t="shared" ca="1" si="0"/>
        <v>0</v>
      </c>
      <c r="AL1" s="321">
        <f t="shared" ca="1" si="0"/>
        <v>0</v>
      </c>
      <c r="AM1" s="321">
        <f t="shared" ca="1" si="0"/>
        <v>0</v>
      </c>
      <c r="AN1" s="321">
        <f t="shared" ca="1" si="0"/>
        <v>0</v>
      </c>
      <c r="AO1" s="321">
        <f t="shared" ca="1" si="0"/>
        <v>0</v>
      </c>
      <c r="AP1" s="321">
        <f t="shared" ca="1" si="0"/>
        <v>0</v>
      </c>
      <c r="AQ1" s="321">
        <f t="shared" ca="1" si="0"/>
        <v>0</v>
      </c>
      <c r="AR1" s="321">
        <f t="shared" ca="1" si="0"/>
        <v>0</v>
      </c>
      <c r="AS1" s="321">
        <f t="shared" ca="1" si="0"/>
        <v>0</v>
      </c>
      <c r="AT1" s="321">
        <f t="shared" ca="1" si="0"/>
        <v>0</v>
      </c>
      <c r="AU1" s="321">
        <f t="shared" ca="1" si="0"/>
        <v>0</v>
      </c>
      <c r="AV1" s="321">
        <f t="shared" ca="1" si="0"/>
        <v>0</v>
      </c>
      <c r="AW1" s="321">
        <f t="shared" ca="1" si="0"/>
        <v>0</v>
      </c>
      <c r="AX1" s="321">
        <f t="shared" ca="1" si="0"/>
        <v>0</v>
      </c>
      <c r="AY1" s="321">
        <f t="shared" ca="1" si="0"/>
        <v>0</v>
      </c>
      <c r="AZ1" s="321">
        <f t="shared" ca="1" si="0"/>
        <v>0</v>
      </c>
      <c r="BA1" s="321">
        <f t="shared" ca="1" si="0"/>
        <v>0</v>
      </c>
      <c r="BB1" s="321">
        <f t="shared" ca="1" si="0"/>
        <v>0</v>
      </c>
      <c r="BC1" s="321">
        <f t="shared" ca="1" si="0"/>
        <v>0</v>
      </c>
      <c r="BD1" s="321">
        <f t="shared" ca="1" si="0"/>
        <v>0</v>
      </c>
      <c r="BE1" s="321">
        <f t="shared" ca="1" si="0"/>
        <v>0</v>
      </c>
      <c r="BF1" s="321">
        <f t="shared" ca="1" si="0"/>
        <v>0</v>
      </c>
      <c r="BG1" s="321">
        <f t="shared" ca="1" si="0"/>
        <v>0</v>
      </c>
      <c r="BH1" s="321">
        <f t="shared" ca="1" si="0"/>
        <v>0</v>
      </c>
      <c r="BI1" s="321">
        <f t="shared" ca="1" si="0"/>
        <v>0</v>
      </c>
      <c r="BJ1" s="321">
        <f t="shared" ca="1" si="0"/>
        <v>0</v>
      </c>
      <c r="BK1" s="321">
        <f t="shared" ca="1" si="0"/>
        <v>0</v>
      </c>
      <c r="BL1" s="321">
        <f t="shared" ca="1" si="0"/>
        <v>0</v>
      </c>
      <c r="BM1" s="321">
        <f t="shared" ca="1" si="0"/>
        <v>0</v>
      </c>
      <c r="BN1" s="321">
        <f t="shared" ref="BN1:DY1" ca="1" si="1">INDIRECT(ADDRESS(MATCH($P$53,$A$1:$A$23,0),COLUMN(BN$2)))</f>
        <v>0</v>
      </c>
      <c r="BO1" s="321">
        <f t="shared" ca="1" si="1"/>
        <v>0</v>
      </c>
      <c r="BP1" s="321">
        <f t="shared" ca="1" si="1"/>
        <v>0</v>
      </c>
      <c r="BQ1" s="321">
        <f t="shared" ca="1" si="1"/>
        <v>0</v>
      </c>
      <c r="BR1" s="321">
        <f t="shared" ca="1" si="1"/>
        <v>0</v>
      </c>
      <c r="BS1" s="321">
        <f t="shared" ca="1" si="1"/>
        <v>0</v>
      </c>
      <c r="BT1" s="321">
        <f t="shared" ca="1" si="1"/>
        <v>0</v>
      </c>
      <c r="BU1" s="321">
        <f t="shared" ca="1" si="1"/>
        <v>0</v>
      </c>
      <c r="BV1" s="321">
        <f t="shared" ca="1" si="1"/>
        <v>0</v>
      </c>
      <c r="BW1" s="321">
        <f t="shared" ca="1" si="1"/>
        <v>0</v>
      </c>
      <c r="BX1" s="321">
        <f t="shared" ca="1" si="1"/>
        <v>0</v>
      </c>
      <c r="BY1" s="321">
        <f t="shared" ca="1" si="1"/>
        <v>0</v>
      </c>
      <c r="BZ1" s="321">
        <f t="shared" ca="1" si="1"/>
        <v>0</v>
      </c>
      <c r="CA1" s="321">
        <f t="shared" ca="1" si="1"/>
        <v>0</v>
      </c>
      <c r="CB1" s="321">
        <f t="shared" ca="1" si="1"/>
        <v>0</v>
      </c>
      <c r="CC1" s="321">
        <f t="shared" ca="1" si="1"/>
        <v>0</v>
      </c>
      <c r="CD1" s="321">
        <f t="shared" ca="1" si="1"/>
        <v>0</v>
      </c>
      <c r="CE1" s="321">
        <f t="shared" ca="1" si="1"/>
        <v>0</v>
      </c>
      <c r="CF1" s="321">
        <f t="shared" ca="1" si="1"/>
        <v>0</v>
      </c>
      <c r="CG1" s="321">
        <f t="shared" ca="1" si="1"/>
        <v>0</v>
      </c>
      <c r="CH1" s="321">
        <f t="shared" ca="1" si="1"/>
        <v>0</v>
      </c>
      <c r="CI1" s="321">
        <f t="shared" ca="1" si="1"/>
        <v>0</v>
      </c>
      <c r="CJ1" s="321">
        <f t="shared" ca="1" si="1"/>
        <v>0</v>
      </c>
      <c r="CK1" s="321">
        <f t="shared" ca="1" si="1"/>
        <v>0</v>
      </c>
      <c r="CL1" s="321">
        <f t="shared" ca="1" si="1"/>
        <v>0</v>
      </c>
      <c r="CM1" s="321">
        <f t="shared" ca="1" si="1"/>
        <v>0</v>
      </c>
      <c r="CN1" s="321">
        <f t="shared" ca="1" si="1"/>
        <v>0</v>
      </c>
      <c r="CO1" s="321">
        <f t="shared" ca="1" si="1"/>
        <v>0</v>
      </c>
      <c r="CP1" s="321">
        <f t="shared" ca="1" si="1"/>
        <v>0</v>
      </c>
      <c r="CQ1" s="321">
        <f t="shared" ca="1" si="1"/>
        <v>0</v>
      </c>
      <c r="CR1" s="321">
        <f t="shared" ca="1" si="1"/>
        <v>0</v>
      </c>
      <c r="CS1" s="321">
        <f t="shared" ca="1" si="1"/>
        <v>0</v>
      </c>
      <c r="CT1" s="321">
        <f t="shared" ca="1" si="1"/>
        <v>0</v>
      </c>
      <c r="CU1" s="321">
        <f t="shared" ca="1" si="1"/>
        <v>0</v>
      </c>
      <c r="CV1" s="321">
        <f t="shared" ca="1" si="1"/>
        <v>0</v>
      </c>
      <c r="CW1" s="321">
        <f t="shared" ca="1" si="1"/>
        <v>0</v>
      </c>
      <c r="CX1" s="321">
        <f t="shared" ca="1" si="1"/>
        <v>0</v>
      </c>
      <c r="CY1" s="321">
        <f t="shared" ca="1" si="1"/>
        <v>0</v>
      </c>
      <c r="CZ1" s="321">
        <f t="shared" ca="1" si="1"/>
        <v>0</v>
      </c>
      <c r="DA1" s="321">
        <f t="shared" ca="1" si="1"/>
        <v>0</v>
      </c>
      <c r="DB1" s="321">
        <f t="shared" ca="1" si="1"/>
        <v>0</v>
      </c>
      <c r="DC1" s="321">
        <f t="shared" ca="1" si="1"/>
        <v>0</v>
      </c>
      <c r="DD1" s="321">
        <f t="shared" ca="1" si="1"/>
        <v>0</v>
      </c>
      <c r="DE1" s="321">
        <f t="shared" ca="1" si="1"/>
        <v>0</v>
      </c>
      <c r="DF1" s="321">
        <f t="shared" ca="1" si="1"/>
        <v>0</v>
      </c>
      <c r="DG1" s="321">
        <f t="shared" ca="1" si="1"/>
        <v>0</v>
      </c>
      <c r="DH1" s="321">
        <f t="shared" ca="1" si="1"/>
        <v>0</v>
      </c>
      <c r="DI1" s="321">
        <f t="shared" ca="1" si="1"/>
        <v>0</v>
      </c>
      <c r="DJ1" s="321">
        <f t="shared" ca="1" si="1"/>
        <v>0</v>
      </c>
      <c r="DK1" s="321">
        <f t="shared" ca="1" si="1"/>
        <v>0</v>
      </c>
      <c r="DL1" s="321">
        <f t="shared" ca="1" si="1"/>
        <v>0</v>
      </c>
      <c r="DM1" s="321">
        <f t="shared" ca="1" si="1"/>
        <v>0</v>
      </c>
      <c r="DN1" s="321">
        <f t="shared" ca="1" si="1"/>
        <v>0</v>
      </c>
      <c r="DO1" s="321">
        <f t="shared" ca="1" si="1"/>
        <v>0</v>
      </c>
      <c r="DP1" s="321">
        <f t="shared" ca="1" si="1"/>
        <v>0</v>
      </c>
      <c r="DQ1" s="321">
        <f t="shared" ca="1" si="1"/>
        <v>0</v>
      </c>
      <c r="DR1" s="321">
        <f t="shared" ca="1" si="1"/>
        <v>0</v>
      </c>
      <c r="DS1" s="321">
        <f t="shared" ca="1" si="1"/>
        <v>0</v>
      </c>
      <c r="DT1" s="321">
        <f t="shared" ca="1" si="1"/>
        <v>0</v>
      </c>
      <c r="DU1" s="321">
        <f t="shared" ca="1" si="1"/>
        <v>0</v>
      </c>
      <c r="DV1" s="321">
        <f t="shared" ca="1" si="1"/>
        <v>0</v>
      </c>
      <c r="DW1" s="321">
        <f t="shared" ca="1" si="1"/>
        <v>0</v>
      </c>
      <c r="DX1" s="321">
        <f t="shared" ca="1" si="1"/>
        <v>0</v>
      </c>
      <c r="DY1" s="321">
        <f t="shared" ca="1" si="1"/>
        <v>0</v>
      </c>
      <c r="DZ1" s="321">
        <f t="shared" ref="DZ1:GH1" ca="1" si="2">INDIRECT(ADDRESS(MATCH($P$53,$A$1:$A$23,0),COLUMN(DZ$2)))</f>
        <v>0</v>
      </c>
      <c r="EA1" s="321">
        <f t="shared" ca="1" si="2"/>
        <v>0</v>
      </c>
      <c r="EB1" s="321">
        <f t="shared" ca="1" si="2"/>
        <v>0</v>
      </c>
      <c r="EC1" s="321">
        <f t="shared" ca="1" si="2"/>
        <v>0</v>
      </c>
      <c r="ED1" s="321">
        <f t="shared" ca="1" si="2"/>
        <v>0</v>
      </c>
      <c r="EE1" s="321">
        <f t="shared" ca="1" si="2"/>
        <v>0</v>
      </c>
      <c r="EF1" s="321">
        <f t="shared" ca="1" si="2"/>
        <v>0</v>
      </c>
      <c r="EG1" s="321">
        <f t="shared" ca="1" si="2"/>
        <v>0</v>
      </c>
      <c r="EH1" s="321">
        <f t="shared" ca="1" si="2"/>
        <v>0</v>
      </c>
      <c r="EI1" s="321">
        <f t="shared" ca="1" si="2"/>
        <v>0</v>
      </c>
      <c r="EJ1" s="321">
        <f t="shared" ca="1" si="2"/>
        <v>0</v>
      </c>
      <c r="EK1" s="321">
        <f t="shared" ca="1" si="2"/>
        <v>0</v>
      </c>
      <c r="EL1" s="321">
        <f t="shared" ca="1" si="2"/>
        <v>0</v>
      </c>
      <c r="EM1" s="321">
        <f t="shared" ca="1" si="2"/>
        <v>0</v>
      </c>
      <c r="EN1" s="321">
        <f t="shared" ca="1" si="2"/>
        <v>0</v>
      </c>
      <c r="EO1" s="321">
        <f t="shared" ca="1" si="2"/>
        <v>0</v>
      </c>
      <c r="EP1" s="321">
        <f t="shared" ca="1" si="2"/>
        <v>0</v>
      </c>
      <c r="EQ1" s="321">
        <f t="shared" ca="1" si="2"/>
        <v>0</v>
      </c>
      <c r="ER1" s="321">
        <f t="shared" ca="1" si="2"/>
        <v>0</v>
      </c>
      <c r="ES1" s="321">
        <f t="shared" ca="1" si="2"/>
        <v>0</v>
      </c>
      <c r="ET1" s="321">
        <f t="shared" ca="1" si="2"/>
        <v>0</v>
      </c>
      <c r="EU1" s="321">
        <f t="shared" ca="1" si="2"/>
        <v>0</v>
      </c>
      <c r="EV1" s="321">
        <f t="shared" ca="1" si="2"/>
        <v>0</v>
      </c>
      <c r="EW1" s="321">
        <f t="shared" ca="1" si="2"/>
        <v>0</v>
      </c>
      <c r="EX1" s="321">
        <f t="shared" ca="1" si="2"/>
        <v>0</v>
      </c>
      <c r="EY1" s="321">
        <f t="shared" ca="1" si="2"/>
        <v>0</v>
      </c>
      <c r="EZ1" s="321">
        <f t="shared" ca="1" si="2"/>
        <v>0</v>
      </c>
      <c r="FA1" s="321">
        <f t="shared" ca="1" si="2"/>
        <v>0</v>
      </c>
      <c r="FB1" s="321">
        <f t="shared" ca="1" si="2"/>
        <v>0</v>
      </c>
      <c r="FC1" s="321">
        <f t="shared" ca="1" si="2"/>
        <v>0</v>
      </c>
      <c r="FD1" s="321">
        <f t="shared" ca="1" si="2"/>
        <v>0</v>
      </c>
      <c r="FE1" s="321">
        <f t="shared" ca="1" si="2"/>
        <v>0</v>
      </c>
      <c r="FF1" s="321">
        <f t="shared" ca="1" si="2"/>
        <v>0</v>
      </c>
      <c r="FG1" s="321">
        <f t="shared" ca="1" si="2"/>
        <v>0</v>
      </c>
      <c r="FH1" s="321">
        <f t="shared" ca="1" si="2"/>
        <v>0</v>
      </c>
      <c r="FI1" s="321">
        <f t="shared" ca="1" si="2"/>
        <v>0</v>
      </c>
      <c r="FJ1" s="321">
        <f t="shared" ca="1" si="2"/>
        <v>0</v>
      </c>
      <c r="FK1" s="321">
        <f t="shared" ca="1" si="2"/>
        <v>0</v>
      </c>
      <c r="FL1" s="321">
        <f t="shared" ca="1" si="2"/>
        <v>0</v>
      </c>
      <c r="FM1" s="321">
        <f t="shared" ca="1" si="2"/>
        <v>0</v>
      </c>
      <c r="FN1" s="321">
        <f t="shared" ca="1" si="2"/>
        <v>0</v>
      </c>
      <c r="FO1" s="321">
        <f t="shared" ca="1" si="2"/>
        <v>0</v>
      </c>
      <c r="FP1" s="321">
        <f t="shared" ca="1" si="2"/>
        <v>0</v>
      </c>
      <c r="FQ1" s="321">
        <f t="shared" ca="1" si="2"/>
        <v>0</v>
      </c>
      <c r="FR1" s="321">
        <f t="shared" ca="1" si="2"/>
        <v>0</v>
      </c>
      <c r="FS1" s="321">
        <f t="shared" ca="1" si="2"/>
        <v>0</v>
      </c>
      <c r="FT1" s="321">
        <f t="shared" ca="1" si="2"/>
        <v>0</v>
      </c>
      <c r="FU1" s="321">
        <f t="shared" ca="1" si="2"/>
        <v>0</v>
      </c>
      <c r="FV1" s="321">
        <f t="shared" ca="1" si="2"/>
        <v>0</v>
      </c>
      <c r="FW1" s="321">
        <f t="shared" ca="1" si="2"/>
        <v>0</v>
      </c>
      <c r="FX1" s="321">
        <f t="shared" ca="1" si="2"/>
        <v>0</v>
      </c>
      <c r="FY1" s="321">
        <f t="shared" ca="1" si="2"/>
        <v>0</v>
      </c>
      <c r="FZ1" s="321">
        <f t="shared" ca="1" si="2"/>
        <v>0</v>
      </c>
      <c r="GA1" s="321">
        <f t="shared" ca="1" si="2"/>
        <v>0</v>
      </c>
      <c r="GB1" s="321">
        <f t="shared" ca="1" si="2"/>
        <v>0</v>
      </c>
      <c r="GC1" s="321">
        <f t="shared" ca="1" si="2"/>
        <v>0</v>
      </c>
      <c r="GD1" s="321">
        <f t="shared" ca="1" si="2"/>
        <v>0</v>
      </c>
      <c r="GE1" s="321">
        <f t="shared" ca="1" si="2"/>
        <v>0</v>
      </c>
      <c r="GF1" s="321">
        <f t="shared" ca="1" si="2"/>
        <v>0</v>
      </c>
      <c r="GG1" s="321">
        <f t="shared" ca="1" si="2"/>
        <v>0</v>
      </c>
      <c r="GH1" s="321">
        <f t="shared" ca="1" si="2"/>
        <v>0</v>
      </c>
    </row>
    <row r="2" spans="1:190" ht="15.75" customHeight="1" x14ac:dyDescent="0.25"/>
    <row r="3" spans="1:190" ht="15.75" customHeight="1" x14ac:dyDescent="0.25"/>
    <row r="4" spans="1:190" ht="15.75" customHeight="1" x14ac:dyDescent="0.25"/>
    <row r="5" spans="1:190" s="87" customFormat="1" ht="15.75" customHeight="1" x14ac:dyDescent="0.25"/>
    <row r="6" spans="1:190" s="87" customFormat="1" ht="15.75" customHeight="1" x14ac:dyDescent="0.25"/>
    <row r="7" spans="1:190" s="87" customFormat="1" ht="15.75" customHeight="1" thickBot="1" x14ac:dyDescent="0.3">
      <c r="A7" s="296" t="s">
        <v>158</v>
      </c>
    </row>
    <row r="8" spans="1:190" s="87" customFormat="1" x14ac:dyDescent="0.25">
      <c r="A8" s="297" t="s">
        <v>63</v>
      </c>
      <c r="B8" s="298">
        <v>2001</v>
      </c>
      <c r="C8" s="298">
        <v>2002</v>
      </c>
      <c r="D8" s="298">
        <v>2003</v>
      </c>
      <c r="E8" s="298">
        <v>2004</v>
      </c>
      <c r="F8" s="298">
        <v>2005</v>
      </c>
      <c r="G8" s="298">
        <v>2006</v>
      </c>
      <c r="H8" s="298">
        <v>2007</v>
      </c>
      <c r="I8" s="298">
        <v>2008</v>
      </c>
      <c r="J8" s="298">
        <v>2009</v>
      </c>
      <c r="K8" s="298">
        <v>2010</v>
      </c>
      <c r="L8" s="298">
        <v>2011</v>
      </c>
      <c r="M8" s="298">
        <v>2012</v>
      </c>
      <c r="N8" s="298">
        <v>2013</v>
      </c>
      <c r="O8" s="298">
        <v>2014</v>
      </c>
      <c r="P8" s="298">
        <v>2015</v>
      </c>
      <c r="Q8" s="298">
        <v>2016</v>
      </c>
      <c r="R8" s="298">
        <v>2017</v>
      </c>
      <c r="S8" s="298">
        <v>2018</v>
      </c>
      <c r="T8" s="298">
        <v>2019</v>
      </c>
      <c r="U8" s="298">
        <v>2020</v>
      </c>
      <c r="V8" s="298">
        <v>2021</v>
      </c>
      <c r="W8" s="298">
        <v>2022</v>
      </c>
      <c r="X8" s="298">
        <v>2023</v>
      </c>
      <c r="Y8" s="298">
        <v>2024</v>
      </c>
      <c r="Z8" s="299">
        <v>2025</v>
      </c>
    </row>
    <row r="9" spans="1:190" s="87" customFormat="1" x14ac:dyDescent="0.25">
      <c r="A9" s="300" t="s">
        <v>66</v>
      </c>
      <c r="B9" s="301">
        <v>6001.6080000000002</v>
      </c>
      <c r="C9" s="301">
        <v>6259.3464999999997</v>
      </c>
      <c r="D9" s="301">
        <v>6326.8</v>
      </c>
      <c r="E9" s="301">
        <v>6904.85</v>
      </c>
      <c r="F9" s="301">
        <v>8735.3819999999996</v>
      </c>
      <c r="G9" s="301">
        <v>8690.4874999999993</v>
      </c>
      <c r="H9" s="301">
        <v>8013.0794999999998</v>
      </c>
      <c r="I9" s="301">
        <v>7866.9804999999997</v>
      </c>
      <c r="J9" s="301">
        <v>8142.2584999999999</v>
      </c>
      <c r="K9" s="301">
        <v>9754.5560000000005</v>
      </c>
      <c r="L9" s="301">
        <v>11660.439</v>
      </c>
      <c r="M9" s="301">
        <v>8213.1075000000001</v>
      </c>
      <c r="N9" s="301">
        <v>7211.6695</v>
      </c>
      <c r="O9" s="301">
        <v>7107.665</v>
      </c>
      <c r="P9" s="301">
        <v>7037.8919999999998</v>
      </c>
      <c r="Q9" s="301">
        <v>6152.4849999999997</v>
      </c>
      <c r="R9" s="301">
        <v>6268.6319999999996</v>
      </c>
      <c r="S9" s="301">
        <v>6624.1795000000002</v>
      </c>
      <c r="T9" s="301">
        <v>7057.1080000000002</v>
      </c>
      <c r="U9" s="301">
        <v>6746.4605000000001</v>
      </c>
      <c r="V9" s="301">
        <v>6850.8069999999998</v>
      </c>
      <c r="W9" s="301">
        <v>6843.9084999999995</v>
      </c>
      <c r="X9" s="301">
        <v>7235.4485000000004</v>
      </c>
      <c r="Y9" s="301">
        <v>6647.6644999999999</v>
      </c>
      <c r="Z9" s="302">
        <v>6634.38</v>
      </c>
    </row>
    <row r="10" spans="1:190" s="87" customFormat="1" x14ac:dyDescent="0.25">
      <c r="A10" s="303" t="s">
        <v>159</v>
      </c>
      <c r="B10" s="304">
        <v>593.54250000000002</v>
      </c>
      <c r="C10" s="304">
        <v>562.827</v>
      </c>
      <c r="D10" s="304">
        <v>544.00049999999999</v>
      </c>
      <c r="E10" s="304">
        <v>544.40250000000003</v>
      </c>
      <c r="F10" s="304">
        <v>580.24400000000003</v>
      </c>
      <c r="G10" s="304">
        <v>656.61400000000003</v>
      </c>
      <c r="H10" s="304">
        <v>613.41800000000001</v>
      </c>
      <c r="I10" s="304">
        <v>688.03899999999999</v>
      </c>
      <c r="J10" s="304">
        <v>724.87950000000001</v>
      </c>
      <c r="K10" s="304">
        <v>710.99300000000005</v>
      </c>
      <c r="L10" s="304">
        <v>668.47149999999999</v>
      </c>
      <c r="M10" s="304">
        <v>737.69500000000005</v>
      </c>
      <c r="N10" s="304">
        <v>703.46900000000005</v>
      </c>
      <c r="O10" s="304">
        <v>770.2835</v>
      </c>
      <c r="P10" s="304">
        <v>846.51149999999996</v>
      </c>
      <c r="Q10" s="304">
        <v>800.13099999999997</v>
      </c>
      <c r="R10" s="304">
        <v>750.92499999999995</v>
      </c>
      <c r="S10" s="304">
        <v>739.71100000000001</v>
      </c>
      <c r="T10" s="304">
        <v>707.11649999999997</v>
      </c>
      <c r="U10" s="304">
        <v>664.726</v>
      </c>
      <c r="V10" s="304">
        <v>629.00450000000001</v>
      </c>
      <c r="W10" s="304">
        <v>765.20849999999996</v>
      </c>
      <c r="X10" s="304">
        <v>852.70249999999999</v>
      </c>
      <c r="Y10" s="304">
        <v>951.66499999999996</v>
      </c>
      <c r="Z10" s="305">
        <v>1007.951</v>
      </c>
    </row>
    <row r="11" spans="1:190" s="87" customFormat="1" x14ac:dyDescent="0.25">
      <c r="A11" s="303" t="s">
        <v>160</v>
      </c>
      <c r="B11" s="301">
        <v>674.46550000000002</v>
      </c>
      <c r="C11" s="301">
        <v>388.56950000000001</v>
      </c>
      <c r="D11" s="301">
        <v>291.12099999999998</v>
      </c>
      <c r="E11" s="301">
        <v>314.01049999999998</v>
      </c>
      <c r="F11" s="301">
        <v>366.61649999999997</v>
      </c>
      <c r="G11" s="301">
        <v>468.03500000000003</v>
      </c>
      <c r="H11" s="301">
        <v>576.64400000000001</v>
      </c>
      <c r="I11" s="301">
        <v>630.62350000000004</v>
      </c>
      <c r="J11" s="301">
        <v>580.27549999999997</v>
      </c>
      <c r="K11" s="301">
        <v>637.9135</v>
      </c>
      <c r="L11" s="301">
        <v>727.08450000000005</v>
      </c>
      <c r="M11" s="301">
        <v>842.5915</v>
      </c>
      <c r="N11" s="301">
        <v>881.13900000000001</v>
      </c>
      <c r="O11" s="301">
        <v>910.33050000000003</v>
      </c>
      <c r="P11" s="301">
        <v>730.79049999999995</v>
      </c>
      <c r="Q11" s="301">
        <v>731.83050000000003</v>
      </c>
      <c r="R11" s="301">
        <v>776.71749999999997</v>
      </c>
      <c r="S11" s="301">
        <v>769.71900000000005</v>
      </c>
      <c r="T11" s="301">
        <v>730.37900000000002</v>
      </c>
      <c r="U11" s="301">
        <v>652.36099999999999</v>
      </c>
      <c r="V11" s="301">
        <v>757.35050000000001</v>
      </c>
      <c r="W11" s="301">
        <v>734.46550000000002</v>
      </c>
      <c r="X11" s="301">
        <v>967.65949999999998</v>
      </c>
      <c r="Y11" s="301">
        <v>863.23299999999995</v>
      </c>
      <c r="Z11" s="302">
        <v>810.79600000000005</v>
      </c>
    </row>
    <row r="12" spans="1:190" s="87" customFormat="1" x14ac:dyDescent="0.25">
      <c r="A12" s="303" t="s">
        <v>67</v>
      </c>
      <c r="B12" s="304">
        <v>1328.421</v>
      </c>
      <c r="C12" s="304">
        <v>1313.857</v>
      </c>
      <c r="D12" s="304">
        <v>1376.2065</v>
      </c>
      <c r="E12" s="304">
        <v>1160.5025000000001</v>
      </c>
      <c r="F12" s="304">
        <v>1629.9010000000001</v>
      </c>
      <c r="G12" s="304">
        <v>2093.6080000000002</v>
      </c>
      <c r="H12" s="304">
        <v>2463.902</v>
      </c>
      <c r="I12" s="304">
        <v>2455.6345000000001</v>
      </c>
      <c r="J12" s="304">
        <v>1476.0650000000001</v>
      </c>
      <c r="K12" s="304">
        <v>1899.7145</v>
      </c>
      <c r="L12" s="304">
        <v>2301.3575000000001</v>
      </c>
      <c r="M12" s="304">
        <v>2731.2689999999998</v>
      </c>
      <c r="N12" s="304">
        <v>2467.0889999999999</v>
      </c>
      <c r="O12" s="304">
        <v>2289.9454999999998</v>
      </c>
      <c r="P12" s="304">
        <v>2093.761</v>
      </c>
      <c r="Q12" s="304">
        <v>1867.1849999999999</v>
      </c>
      <c r="R12" s="304">
        <v>2039.9565</v>
      </c>
      <c r="S12" s="304">
        <v>2167.25</v>
      </c>
      <c r="T12" s="304">
        <v>2284.692</v>
      </c>
      <c r="U12" s="304">
        <v>1895.9735000000001</v>
      </c>
      <c r="V12" s="304">
        <v>1969.126</v>
      </c>
      <c r="W12" s="304">
        <v>2120.1605</v>
      </c>
      <c r="X12" s="304">
        <v>1656.2159999999999</v>
      </c>
      <c r="Y12" s="304">
        <v>1545.0174999999999</v>
      </c>
      <c r="Z12" s="305">
        <v>1634.4604999999999</v>
      </c>
    </row>
    <row r="13" spans="1:190" s="87" customFormat="1" x14ac:dyDescent="0.25">
      <c r="A13" s="303" t="s">
        <v>161</v>
      </c>
      <c r="B13" s="301">
        <v>1061.5864999999999</v>
      </c>
      <c r="C13" s="301">
        <v>1227.72</v>
      </c>
      <c r="D13" s="301">
        <v>1183.4314999999999</v>
      </c>
      <c r="E13" s="301">
        <v>1461.9894999999999</v>
      </c>
      <c r="F13" s="301">
        <v>1812.7235000000001</v>
      </c>
      <c r="G13" s="301">
        <v>1941.0775000000001</v>
      </c>
      <c r="H13" s="301">
        <v>2350.0770000000002</v>
      </c>
      <c r="I13" s="301">
        <v>2750.1489999999999</v>
      </c>
      <c r="J13" s="301">
        <v>1567.1355000000001</v>
      </c>
      <c r="K13" s="301">
        <v>1465.954</v>
      </c>
      <c r="L13" s="301">
        <v>1975.4555</v>
      </c>
      <c r="M13" s="301">
        <v>2740.7604999999999</v>
      </c>
      <c r="N13" s="301">
        <v>1938.3489999999999</v>
      </c>
      <c r="O13" s="301">
        <v>1418.5695000000001</v>
      </c>
      <c r="P13" s="301">
        <v>1063.1895</v>
      </c>
      <c r="Q13" s="301">
        <v>767.55799999999999</v>
      </c>
      <c r="R13" s="301">
        <v>777.69650000000001</v>
      </c>
      <c r="S13" s="301">
        <v>823.68550000000005</v>
      </c>
      <c r="T13" s="301">
        <v>754.96</v>
      </c>
      <c r="U13" s="301">
        <v>483.18200000000002</v>
      </c>
      <c r="V13" s="301">
        <v>206.66149999999999</v>
      </c>
      <c r="W13" s="301">
        <v>293.00099999999998</v>
      </c>
      <c r="X13" s="301">
        <v>377.71699999999998</v>
      </c>
      <c r="Y13" s="301">
        <v>383.32150000000001</v>
      </c>
      <c r="Z13" s="302">
        <v>392.87450000000001</v>
      </c>
    </row>
    <row r="14" spans="1:190" s="87" customFormat="1" x14ac:dyDescent="0.25">
      <c r="A14" s="303" t="s">
        <v>68</v>
      </c>
      <c r="B14" s="304">
        <v>13567.78</v>
      </c>
      <c r="C14" s="304">
        <v>13132.1425</v>
      </c>
      <c r="D14" s="304">
        <v>13248.6005</v>
      </c>
      <c r="E14" s="304">
        <v>13703.829</v>
      </c>
      <c r="F14" s="304">
        <v>12291.0015</v>
      </c>
      <c r="G14" s="304">
        <v>12756.443499999999</v>
      </c>
      <c r="H14" s="304">
        <v>14178.1435</v>
      </c>
      <c r="I14" s="304">
        <v>15555.468500000001</v>
      </c>
      <c r="J14" s="304">
        <v>16786.250499999998</v>
      </c>
      <c r="K14" s="304">
        <v>16922.73</v>
      </c>
      <c r="L14" s="304">
        <v>19194.425999999999</v>
      </c>
      <c r="M14" s="304">
        <v>21714.169000000002</v>
      </c>
      <c r="N14" s="304">
        <v>20019.310000000001</v>
      </c>
      <c r="O14" s="304">
        <v>16741.561000000002</v>
      </c>
      <c r="P14" s="304">
        <v>17939.461500000001</v>
      </c>
      <c r="Q14" s="304">
        <v>20778.964</v>
      </c>
      <c r="R14" s="304">
        <v>22766.622500000001</v>
      </c>
      <c r="S14" s="304">
        <v>24868.534500000002</v>
      </c>
      <c r="T14" s="304">
        <v>26019.452499999999</v>
      </c>
      <c r="U14" s="304">
        <v>26852.01</v>
      </c>
      <c r="V14" s="304">
        <v>30049.102500000001</v>
      </c>
      <c r="W14" s="304">
        <v>30789.253000000001</v>
      </c>
      <c r="X14" s="304">
        <v>30345.8675</v>
      </c>
      <c r="Y14" s="304">
        <v>33650.068500000001</v>
      </c>
      <c r="Z14" s="305">
        <v>38816.050000000003</v>
      </c>
    </row>
    <row r="15" spans="1:190" s="87" customFormat="1" x14ac:dyDescent="0.25">
      <c r="A15" s="303" t="s">
        <v>69</v>
      </c>
      <c r="B15" s="301">
        <v>8759.7119999999995</v>
      </c>
      <c r="C15" s="301">
        <v>8445.8960000000006</v>
      </c>
      <c r="D15" s="301">
        <v>10511.7685</v>
      </c>
      <c r="E15" s="301">
        <v>12507.32</v>
      </c>
      <c r="F15" s="301">
        <v>13059.014999999999</v>
      </c>
      <c r="G15" s="301">
        <v>16999.471000000001</v>
      </c>
      <c r="H15" s="301">
        <v>18603.615000000002</v>
      </c>
      <c r="I15" s="301">
        <v>22960.856500000002</v>
      </c>
      <c r="J15" s="301">
        <v>25922.2575</v>
      </c>
      <c r="K15" s="301">
        <v>27627.861000000001</v>
      </c>
      <c r="L15" s="301">
        <v>33912.591500000002</v>
      </c>
      <c r="M15" s="301">
        <v>47048.419500000004</v>
      </c>
      <c r="N15" s="301">
        <v>56061.383500000004</v>
      </c>
      <c r="O15" s="301">
        <v>55248.775000000001</v>
      </c>
      <c r="P15" s="301">
        <v>49038.148999999998</v>
      </c>
      <c r="Q15" s="301">
        <v>42770.739000000001</v>
      </c>
      <c r="R15" s="301">
        <v>41825.515500000001</v>
      </c>
      <c r="S15" s="301">
        <v>43353.447500000002</v>
      </c>
      <c r="T15" s="301">
        <v>48108.036999999997</v>
      </c>
      <c r="U15" s="301">
        <v>57009.485999999997</v>
      </c>
      <c r="V15" s="301">
        <v>60975.480499999998</v>
      </c>
      <c r="W15" s="301">
        <v>60272.6855</v>
      </c>
      <c r="X15" s="301">
        <v>60888.9755</v>
      </c>
      <c r="Y15" s="301">
        <v>65360.922500000001</v>
      </c>
      <c r="Z15" s="302">
        <v>66366.709000000003</v>
      </c>
    </row>
    <row r="16" spans="1:190" s="87" customFormat="1" x14ac:dyDescent="0.25">
      <c r="A16" s="303" t="s">
        <v>70</v>
      </c>
      <c r="B16" s="304">
        <v>733.43050000000005</v>
      </c>
      <c r="C16" s="304">
        <v>709.30399999999997</v>
      </c>
      <c r="D16" s="304">
        <v>603.47799999999995</v>
      </c>
      <c r="E16" s="304">
        <v>643.52650000000006</v>
      </c>
      <c r="F16" s="304">
        <v>760.4905</v>
      </c>
      <c r="G16" s="304">
        <v>577.49749999999995</v>
      </c>
      <c r="H16" s="304">
        <v>488.18549999999999</v>
      </c>
      <c r="I16" s="304">
        <v>560.69500000000005</v>
      </c>
      <c r="J16" s="304">
        <v>276.24950000000001</v>
      </c>
      <c r="K16" s="304">
        <v>508.40300000000002</v>
      </c>
      <c r="L16" s="304">
        <v>672.18499999999995</v>
      </c>
      <c r="M16" s="304">
        <v>681.37300000000005</v>
      </c>
      <c r="N16" s="304">
        <v>439.721</v>
      </c>
      <c r="O16" s="304">
        <v>413.87599999999998</v>
      </c>
      <c r="P16" s="304">
        <v>382.053</v>
      </c>
      <c r="Q16" s="304">
        <v>679.44200000000001</v>
      </c>
      <c r="R16" s="304">
        <v>1833.6395</v>
      </c>
      <c r="S16" s="304">
        <v>4500.4170000000004</v>
      </c>
      <c r="T16" s="304">
        <v>4149.8504999999996</v>
      </c>
      <c r="U16" s="304">
        <v>1813.6759999999999</v>
      </c>
      <c r="V16" s="304">
        <v>2513.5844999999999</v>
      </c>
      <c r="W16" s="304">
        <v>5779.9139999999998</v>
      </c>
      <c r="X16" s="304">
        <v>10102.3025</v>
      </c>
      <c r="Y16" s="304">
        <v>11422.456</v>
      </c>
      <c r="Z16" s="305">
        <v>7953.8705</v>
      </c>
    </row>
    <row r="17" spans="1:26" s="87" customFormat="1" x14ac:dyDescent="0.25">
      <c r="A17" s="303" t="s">
        <v>71</v>
      </c>
      <c r="B17" s="301">
        <v>2347.1619999999998</v>
      </c>
      <c r="C17" s="301">
        <v>2186.6289999999999</v>
      </c>
      <c r="D17" s="301">
        <v>2134.9769999999999</v>
      </c>
      <c r="E17" s="301">
        <v>2313.0495000000001</v>
      </c>
      <c r="F17" s="301">
        <v>2238.3150000000001</v>
      </c>
      <c r="G17" s="301">
        <v>2476.7449999999999</v>
      </c>
      <c r="H17" s="301">
        <v>2412.0349999999999</v>
      </c>
      <c r="I17" s="301">
        <v>2291.9185000000002</v>
      </c>
      <c r="J17" s="301">
        <v>1908.114</v>
      </c>
      <c r="K17" s="301">
        <v>1447.3054999999999</v>
      </c>
      <c r="L17" s="301">
        <v>1588.8040000000001</v>
      </c>
      <c r="M17" s="301">
        <v>1879.046</v>
      </c>
      <c r="N17" s="301">
        <v>1465.8544999999999</v>
      </c>
      <c r="O17" s="301">
        <v>1354.876</v>
      </c>
      <c r="P17" s="301">
        <v>1467.7035000000001</v>
      </c>
      <c r="Q17" s="301">
        <v>1328.3475000000001</v>
      </c>
      <c r="R17" s="301">
        <v>1341.163</v>
      </c>
      <c r="S17" s="301">
        <v>1848.4870000000001</v>
      </c>
      <c r="T17" s="301">
        <v>1991.2145</v>
      </c>
      <c r="U17" s="301">
        <v>1925.076</v>
      </c>
      <c r="V17" s="301">
        <v>2025.8195000000001</v>
      </c>
      <c r="W17" s="301">
        <v>2877.2730000000001</v>
      </c>
      <c r="X17" s="301">
        <v>2930.2719999999999</v>
      </c>
      <c r="Y17" s="301">
        <v>2835.6909999999998</v>
      </c>
      <c r="Z17" s="539">
        <v>2822.741</v>
      </c>
    </row>
    <row r="18" spans="1:26" s="87" customFormat="1" x14ac:dyDescent="0.25">
      <c r="A18" s="303" t="s">
        <v>72</v>
      </c>
      <c r="B18" s="304">
        <v>5914.9634999999998</v>
      </c>
      <c r="C18" s="304">
        <v>5612.6265000000003</v>
      </c>
      <c r="D18" s="304">
        <v>6004.9324999999999</v>
      </c>
      <c r="E18" s="304">
        <v>6957.5870000000004</v>
      </c>
      <c r="F18" s="304">
        <v>8558.5499999999993</v>
      </c>
      <c r="G18" s="304">
        <v>10703.3305</v>
      </c>
      <c r="H18" s="304">
        <v>12905.736999999999</v>
      </c>
      <c r="I18" s="304">
        <v>12554.744500000001</v>
      </c>
      <c r="J18" s="304">
        <v>7413.6255000000001</v>
      </c>
      <c r="K18" s="304">
        <v>7935.1279999999997</v>
      </c>
      <c r="L18" s="304">
        <v>9302.5460000000003</v>
      </c>
      <c r="M18" s="304">
        <v>8229.4349999999995</v>
      </c>
      <c r="N18" s="304">
        <v>6833.3315000000002</v>
      </c>
      <c r="O18" s="304">
        <v>5823.5865000000003</v>
      </c>
      <c r="P18" s="304">
        <v>5926.0749999999998</v>
      </c>
      <c r="Q18" s="304">
        <v>5360.2545</v>
      </c>
      <c r="R18" s="304">
        <v>5805.63</v>
      </c>
      <c r="S18" s="304">
        <v>5705.9520000000002</v>
      </c>
      <c r="T18" s="304">
        <v>7081.8885</v>
      </c>
      <c r="U18" s="304">
        <v>7288.4814999999999</v>
      </c>
      <c r="V18" s="304">
        <v>8069.1584999999995</v>
      </c>
      <c r="W18" s="304">
        <v>8758.1569999999992</v>
      </c>
      <c r="X18" s="304">
        <v>10891.031499999999</v>
      </c>
      <c r="Y18" s="304">
        <v>7659.9485000000004</v>
      </c>
      <c r="Z18" s="305">
        <v>3501.5360000000001</v>
      </c>
    </row>
    <row r="19" spans="1:26" s="87" customFormat="1" x14ac:dyDescent="0.25">
      <c r="A19" s="303" t="s">
        <v>162</v>
      </c>
      <c r="B19" s="301">
        <v>609.15350000000001</v>
      </c>
      <c r="C19" s="301">
        <v>564.35450000000003</v>
      </c>
      <c r="D19" s="301">
        <v>564.48649999999998</v>
      </c>
      <c r="E19" s="301">
        <v>570.55499999999995</v>
      </c>
      <c r="F19" s="301">
        <v>672.14449999999999</v>
      </c>
      <c r="G19" s="301">
        <v>670.50250000000005</v>
      </c>
      <c r="H19" s="301">
        <v>702.43799999999999</v>
      </c>
      <c r="I19" s="301">
        <v>718.73950000000002</v>
      </c>
      <c r="J19" s="301">
        <v>777.48050000000001</v>
      </c>
      <c r="K19" s="301">
        <v>785.77650000000006</v>
      </c>
      <c r="L19" s="301">
        <v>814.94349999999997</v>
      </c>
      <c r="M19" s="301">
        <v>865.82550000000003</v>
      </c>
      <c r="N19" s="301">
        <v>968.32399999999996</v>
      </c>
      <c r="O19" s="301">
        <v>762.44550000000004</v>
      </c>
      <c r="P19" s="301">
        <v>605.27750000000003</v>
      </c>
      <c r="Q19" s="301">
        <v>527.42849999999999</v>
      </c>
      <c r="R19" s="301">
        <v>516.13049999999998</v>
      </c>
      <c r="S19" s="301">
        <v>606.60900000000004</v>
      </c>
      <c r="T19" s="301">
        <v>642.10299999999995</v>
      </c>
      <c r="U19" s="301">
        <v>599.447</v>
      </c>
      <c r="V19" s="301">
        <v>687.3895</v>
      </c>
      <c r="W19" s="301">
        <v>984.67949999999996</v>
      </c>
      <c r="X19" s="301">
        <v>1002.2225</v>
      </c>
      <c r="Y19" s="301">
        <v>1104.058</v>
      </c>
      <c r="Z19" s="302">
        <v>1088.4780000000001</v>
      </c>
    </row>
    <row r="20" spans="1:26" s="87" customFormat="1" x14ac:dyDescent="0.25">
      <c r="A20" s="303" t="s">
        <v>74</v>
      </c>
      <c r="B20" s="304">
        <v>1399.433</v>
      </c>
      <c r="C20" s="304">
        <v>1361.67</v>
      </c>
      <c r="D20" s="304">
        <v>1288.46</v>
      </c>
      <c r="E20" s="304">
        <v>1509.9614999999999</v>
      </c>
      <c r="F20" s="304">
        <v>1744.5925</v>
      </c>
      <c r="G20" s="304">
        <v>1639.8505</v>
      </c>
      <c r="H20" s="304">
        <v>1710.4545000000001</v>
      </c>
      <c r="I20" s="304">
        <v>2002.94</v>
      </c>
      <c r="J20" s="304">
        <v>2023.4114999999999</v>
      </c>
      <c r="K20" s="304">
        <v>2386.2255</v>
      </c>
      <c r="L20" s="304">
        <v>3173.5374999999999</v>
      </c>
      <c r="M20" s="304">
        <v>2911.87</v>
      </c>
      <c r="N20" s="304">
        <v>2688.1480000000001</v>
      </c>
      <c r="O20" s="304">
        <v>2401.558</v>
      </c>
      <c r="P20" s="304">
        <v>2076.645</v>
      </c>
      <c r="Q20" s="304">
        <v>1735.268</v>
      </c>
      <c r="R20" s="304">
        <v>1976.4525000000001</v>
      </c>
      <c r="S20" s="304">
        <v>2212.3784999999998</v>
      </c>
      <c r="T20" s="304">
        <v>2265.7094999999999</v>
      </c>
      <c r="U20" s="304">
        <v>2465.511</v>
      </c>
      <c r="V20" s="304">
        <v>2926.4875000000002</v>
      </c>
      <c r="W20" s="304">
        <v>2560.3544999999999</v>
      </c>
      <c r="X20" s="304">
        <v>3633.7215000000001</v>
      </c>
      <c r="Y20" s="304">
        <v>3587.0214999999998</v>
      </c>
      <c r="Z20" s="305">
        <v>5149.4709999999995</v>
      </c>
    </row>
    <row r="21" spans="1:26" s="87" customFormat="1" x14ac:dyDescent="0.25">
      <c r="A21" s="306" t="s">
        <v>163</v>
      </c>
      <c r="B21" s="307">
        <v>42991.258000000002</v>
      </c>
      <c r="C21" s="307">
        <v>41764.942499999997</v>
      </c>
      <c r="D21" s="307">
        <v>44078.262499999997</v>
      </c>
      <c r="E21" s="307">
        <v>48591.583500000001</v>
      </c>
      <c r="F21" s="307">
        <v>52448.976000000002</v>
      </c>
      <c r="G21" s="307">
        <v>59673.662499999999</v>
      </c>
      <c r="H21" s="307">
        <v>65017.728999999999</v>
      </c>
      <c r="I21" s="307">
        <v>71036.789000000004</v>
      </c>
      <c r="J21" s="307">
        <v>67598.002999999997</v>
      </c>
      <c r="K21" s="307">
        <v>72082.560500000007</v>
      </c>
      <c r="L21" s="307">
        <v>85991.841499999995</v>
      </c>
      <c r="M21" s="307">
        <v>98595.561499999996</v>
      </c>
      <c r="N21" s="307">
        <v>101677.788</v>
      </c>
      <c r="O21" s="307">
        <v>95243.471999999994</v>
      </c>
      <c r="P21" s="307">
        <v>89207.509000000005</v>
      </c>
      <c r="Q21" s="307">
        <v>83499.633000000002</v>
      </c>
      <c r="R21" s="307">
        <v>86679.081000000006</v>
      </c>
      <c r="S21" s="307">
        <v>94220.370500000005</v>
      </c>
      <c r="T21" s="307">
        <v>101792.511</v>
      </c>
      <c r="U21" s="307">
        <v>108396.39049999999</v>
      </c>
      <c r="V21" s="307">
        <v>117659.97199999999</v>
      </c>
      <c r="W21" s="307">
        <v>122779.06050000001</v>
      </c>
      <c r="X21" s="307">
        <v>130884.13649999999</v>
      </c>
      <c r="Y21" s="307">
        <v>136011.0675</v>
      </c>
      <c r="Z21" s="308">
        <v>136179.3175</v>
      </c>
    </row>
    <row r="22" spans="1:26" s="87" customFormat="1" x14ac:dyDescent="0.25">
      <c r="A22" s="309" t="s">
        <v>164</v>
      </c>
      <c r="B22" s="310">
        <v>604.28899999999999</v>
      </c>
      <c r="C22" s="311">
        <v>464.2165</v>
      </c>
      <c r="D22" s="311">
        <v>486.31700000000001</v>
      </c>
      <c r="E22" s="311">
        <v>681.59900000000005</v>
      </c>
      <c r="F22" s="311">
        <v>817</v>
      </c>
      <c r="G22" s="311">
        <v>988.06150000000002</v>
      </c>
      <c r="H22" s="311">
        <v>1546.8489999999999</v>
      </c>
      <c r="I22" s="311">
        <v>2556.9299999999998</v>
      </c>
      <c r="J22" s="311">
        <v>2339.665</v>
      </c>
      <c r="K22" s="311">
        <v>3256.2</v>
      </c>
      <c r="L22" s="311">
        <v>3661.3114999999998</v>
      </c>
      <c r="M22" s="311">
        <v>3549.2330000000002</v>
      </c>
      <c r="N22" s="311">
        <v>2402.9135000000001</v>
      </c>
      <c r="O22" s="311">
        <v>2250.5115000000001</v>
      </c>
      <c r="P22" s="311">
        <v>1900.0235</v>
      </c>
      <c r="Q22" s="311">
        <v>1935.867</v>
      </c>
      <c r="R22" s="311">
        <v>2198.25</v>
      </c>
      <c r="S22" s="311">
        <v>2677.4380000000001</v>
      </c>
      <c r="T22" s="311">
        <v>3262.2849999999999</v>
      </c>
      <c r="U22" s="311">
        <v>3608.9654999999998</v>
      </c>
      <c r="V22" s="311">
        <v>4590.9125000000004</v>
      </c>
      <c r="W22" s="311">
        <v>4554.9319999999998</v>
      </c>
      <c r="X22" s="311">
        <v>3973.009</v>
      </c>
      <c r="Y22" s="311">
        <v>4249.7735000000002</v>
      </c>
      <c r="Z22" s="312">
        <v>4543.0225</v>
      </c>
    </row>
    <row r="23" spans="1:26" s="87" customFormat="1" ht="15.75" thickBot="1" x14ac:dyDescent="0.3">
      <c r="A23" s="313" t="s">
        <v>165</v>
      </c>
      <c r="B23" s="314">
        <v>43595.546999999999</v>
      </c>
      <c r="C23" s="314">
        <v>42229.159</v>
      </c>
      <c r="D23" s="314">
        <v>44564.5795</v>
      </c>
      <c r="E23" s="314">
        <v>49273.182500000003</v>
      </c>
      <c r="F23" s="314">
        <v>53265.976000000002</v>
      </c>
      <c r="G23" s="314">
        <v>60661.724000000002</v>
      </c>
      <c r="H23" s="314">
        <v>66564.577999999994</v>
      </c>
      <c r="I23" s="314">
        <v>73593.718999999997</v>
      </c>
      <c r="J23" s="314">
        <v>69937.668000000005</v>
      </c>
      <c r="K23" s="314">
        <v>75338.760500000004</v>
      </c>
      <c r="L23" s="314">
        <v>89653.153000000006</v>
      </c>
      <c r="M23" s="314">
        <v>102144.7945</v>
      </c>
      <c r="N23" s="314">
        <v>104080.7015</v>
      </c>
      <c r="O23" s="314">
        <v>97493.983500000002</v>
      </c>
      <c r="P23" s="314">
        <v>91107.532500000001</v>
      </c>
      <c r="Q23" s="314">
        <v>85435.5</v>
      </c>
      <c r="R23" s="314">
        <v>88877.331000000006</v>
      </c>
      <c r="S23" s="314">
        <v>96897.808499999999</v>
      </c>
      <c r="T23" s="314">
        <v>105054.796</v>
      </c>
      <c r="U23" s="314">
        <v>112005.356</v>
      </c>
      <c r="V23" s="314">
        <v>122250.8845</v>
      </c>
      <c r="W23" s="314">
        <v>127333.99249999999</v>
      </c>
      <c r="X23" s="314">
        <v>134857.14550000001</v>
      </c>
      <c r="Y23" s="314">
        <v>140260.84099999999</v>
      </c>
      <c r="Z23" s="315">
        <v>140722.34</v>
      </c>
    </row>
    <row r="24" spans="1:26" x14ac:dyDescent="0.25">
      <c r="A24" s="316"/>
      <c r="B24" s="311"/>
      <c r="C24" s="311"/>
      <c r="D24" s="311"/>
      <c r="E24" s="311"/>
      <c r="F24" s="311"/>
      <c r="G24" s="311"/>
      <c r="H24" s="311"/>
      <c r="I24" s="311"/>
      <c r="J24" s="311"/>
      <c r="K24" s="310"/>
      <c r="L24" s="310"/>
      <c r="M24" s="310"/>
      <c r="N24" s="310"/>
      <c r="O24" s="310"/>
      <c r="P24" s="310"/>
      <c r="Q24" s="317"/>
      <c r="R24" s="317"/>
      <c r="S24" s="317"/>
      <c r="T24" s="317"/>
    </row>
    <row r="25" spans="1:26" x14ac:dyDescent="0.25">
      <c r="A25" s="318" t="s">
        <v>166</v>
      </c>
      <c r="B25" s="311"/>
      <c r="C25" s="311"/>
      <c r="D25" s="311"/>
      <c r="E25" s="311"/>
      <c r="F25" s="311"/>
      <c r="G25" s="311"/>
      <c r="H25" s="311"/>
      <c r="I25" s="311"/>
      <c r="J25" s="311"/>
      <c r="K25" s="310"/>
      <c r="L25" s="310"/>
      <c r="M25" s="310"/>
      <c r="N25" s="310"/>
      <c r="O25" s="310"/>
      <c r="P25" s="310"/>
      <c r="Q25" s="317"/>
      <c r="R25" s="317"/>
      <c r="S25" s="317"/>
      <c r="T25" s="317"/>
    </row>
    <row r="52" spans="16:24" ht="15.75" thickBot="1" x14ac:dyDescent="0.3">
      <c r="P52" s="563" t="s">
        <v>167</v>
      </c>
      <c r="Q52" s="564"/>
      <c r="R52" s="564"/>
      <c r="S52" s="564"/>
      <c r="T52" s="565"/>
    </row>
    <row r="53" spans="16:24" ht="13.5" customHeight="1" thickBot="1" x14ac:dyDescent="0.3">
      <c r="P53" s="566" t="s">
        <v>163</v>
      </c>
      <c r="Q53" s="567"/>
      <c r="R53" s="567"/>
      <c r="S53" s="567"/>
      <c r="T53" s="568"/>
      <c r="X53" s="53" t="str">
        <f>CONCATENATE(P53, CHAR(10), " Last 10 Calendar Years")</f>
        <v>Total Mining
 Last 10 Calendar Years</v>
      </c>
    </row>
    <row r="54" spans="16:24" ht="0.2" customHeight="1" x14ac:dyDescent="0.25"/>
    <row r="55" spans="16:24" ht="13.5" customHeight="1" x14ac:dyDescent="0.25">
      <c r="P55" s="597" t="s">
        <v>168</v>
      </c>
      <c r="Q55" s="597"/>
      <c r="R55" s="597"/>
      <c r="S55" s="597"/>
      <c r="T55" s="597"/>
    </row>
    <row r="103" spans="13:22" x14ac:dyDescent="0.25">
      <c r="M103" s="2">
        <f>LARGE($B$8:$BD$8,10)</f>
        <v>2016</v>
      </c>
      <c r="N103" s="2">
        <f>LARGE($B$8:$BD$8,9)</f>
        <v>2017</v>
      </c>
      <c r="O103" s="2">
        <f>LARGE($B$8:$BD$8,8)</f>
        <v>2018</v>
      </c>
      <c r="P103" s="2">
        <f>LARGE($B$8:$BD$8,7)</f>
        <v>2019</v>
      </c>
      <c r="Q103" s="2">
        <f>LARGE($B$8:$BD$8,6)</f>
        <v>2020</v>
      </c>
      <c r="R103" s="2">
        <f>LARGE($B$8:$BD$8,5)</f>
        <v>2021</v>
      </c>
      <c r="S103" s="2">
        <f>LARGE($B$8:$BD$8,4)</f>
        <v>2022</v>
      </c>
      <c r="T103" s="2">
        <f>LARGE($B$8:$BD$8,3)</f>
        <v>2023</v>
      </c>
      <c r="U103" s="2">
        <f>LARGE($B$8:$BD$8,2)</f>
        <v>2024</v>
      </c>
      <c r="V103" s="2">
        <f>LARGE($B$8:$BD$8,1)</f>
        <v>2025</v>
      </c>
    </row>
    <row r="104" spans="13:22" x14ac:dyDescent="0.25">
      <c r="M104" s="2">
        <f t="shared" ref="M104:V104" ca="1" si="3">INDEX($A$1:$BC$1,1,MATCH(M103,$A$8:$BD$8,0))</f>
        <v>83499.633000000002</v>
      </c>
      <c r="N104" s="2">
        <f t="shared" ca="1" si="3"/>
        <v>86679.081000000006</v>
      </c>
      <c r="O104" s="2">
        <f t="shared" ca="1" si="3"/>
        <v>94220.370500000005</v>
      </c>
      <c r="P104" s="2">
        <f t="shared" ca="1" si="3"/>
        <v>101792.511</v>
      </c>
      <c r="Q104" s="2">
        <f t="shared" ca="1" si="3"/>
        <v>108396.39049999999</v>
      </c>
      <c r="R104" s="2">
        <f t="shared" ca="1" si="3"/>
        <v>117659.97199999999</v>
      </c>
      <c r="S104" s="2">
        <f t="shared" ca="1" si="3"/>
        <v>122779.06050000001</v>
      </c>
      <c r="T104" s="2">
        <f t="shared" ca="1" si="3"/>
        <v>130884.13649999999</v>
      </c>
      <c r="U104" s="2">
        <f t="shared" ca="1" si="3"/>
        <v>136011.0675</v>
      </c>
      <c r="V104" s="2">
        <f t="shared" ca="1" si="3"/>
        <v>136179.3175</v>
      </c>
    </row>
  </sheetData>
  <mergeCells count="3">
    <mergeCell ref="P52:T52"/>
    <mergeCell ref="P53:T53"/>
    <mergeCell ref="P55:T55"/>
  </mergeCells>
  <dataValidations count="1">
    <dataValidation type="list" allowBlank="1" showInputMessage="1" showErrorMessage="1" sqref="P53:T53" xr:uid="{8A6C1077-5C64-4405-8EB5-74902D650D0F}">
      <formula1>$A$9:$A$23</formula1>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64A9B-294B-4FDA-87D9-03F385808C91}">
  <sheetPr codeName="Sheet17"/>
  <dimension ref="A1:DD103"/>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50.7109375" customWidth="1"/>
    <col min="2" max="25" width="12.7109375" customWidth="1"/>
  </cols>
  <sheetData>
    <row r="1" spans="1:108" s="320" customFormat="1" ht="15.75" customHeight="1" x14ac:dyDescent="0.2">
      <c r="B1" s="321">
        <f t="shared" ref="B1:BM1" ca="1" si="0">INDIRECT(ADDRESS(MATCH($O$52,$A$1:$A$23,0),COLUMN(B$2)))</f>
        <v>42244.999000000003</v>
      </c>
      <c r="C1" s="321">
        <f t="shared" ca="1" si="0"/>
        <v>42913.266000000003</v>
      </c>
      <c r="D1" s="321">
        <f t="shared" ca="1" si="0"/>
        <v>46119</v>
      </c>
      <c r="E1" s="321">
        <f t="shared" ca="1" si="0"/>
        <v>50074.913500000002</v>
      </c>
      <c r="F1" s="321">
        <f t="shared" ca="1" si="0"/>
        <v>56042.737000000001</v>
      </c>
      <c r="G1" s="321">
        <f t="shared" ca="1" si="0"/>
        <v>62788.088000000003</v>
      </c>
      <c r="H1" s="321">
        <f t="shared" ca="1" si="0"/>
        <v>66949.656000000003</v>
      </c>
      <c r="I1" s="321">
        <f t="shared" ca="1" si="0"/>
        <v>71529.695000000007</v>
      </c>
      <c r="J1" s="321">
        <f t="shared" ca="1" si="0"/>
        <v>67306.161500000002</v>
      </c>
      <c r="K1" s="321">
        <f t="shared" ca="1" si="0"/>
        <v>78664.298999999999</v>
      </c>
      <c r="L1" s="321">
        <f t="shared" ca="1" si="0"/>
        <v>93669.644499999995</v>
      </c>
      <c r="M1" s="321">
        <f t="shared" ca="1" si="0"/>
        <v>101364.4175</v>
      </c>
      <c r="N1" s="321">
        <f t="shared" ca="1" si="0"/>
        <v>98058.396500000003</v>
      </c>
      <c r="O1" s="321">
        <f t="shared" ca="1" si="0"/>
        <v>92708.308999999994</v>
      </c>
      <c r="P1" s="321">
        <f t="shared" ca="1" si="0"/>
        <v>85944.517000000007</v>
      </c>
      <c r="Q1" s="321">
        <f t="shared" ca="1" si="0"/>
        <v>84423.134000000005</v>
      </c>
      <c r="R1" s="321">
        <f t="shared" ca="1" si="0"/>
        <v>89812.501999999993</v>
      </c>
      <c r="S1" s="321">
        <f t="shared" ca="1" si="0"/>
        <v>98277.895499999999</v>
      </c>
      <c r="T1" s="321">
        <f t="shared" ca="1" si="0"/>
        <v>104415.999</v>
      </c>
      <c r="U1" s="321">
        <f t="shared" ca="1" si="0"/>
        <v>113919.43700000001</v>
      </c>
      <c r="V1" s="321">
        <f t="shared" ca="1" si="0"/>
        <v>119038.236</v>
      </c>
      <c r="W1" s="321">
        <f t="shared" ca="1" si="0"/>
        <v>127625.9065</v>
      </c>
      <c r="X1" s="321">
        <f ca="1">INDIRECT(ADDRESS(MATCH($O$52,$A$1:$A$23,0),COLUMN(X$2)))</f>
        <v>134932.18900000001</v>
      </c>
      <c r="Y1" s="321">
        <f t="shared" ref="Y1:Z1" ca="1" si="1">INDIRECT(ADDRESS(MATCH($O$52,$A$1:$A$23,0),COLUMN(Y$2)))</f>
        <v>134590.027</v>
      </c>
      <c r="Z1" s="321">
        <f t="shared" ca="1" si="1"/>
        <v>0</v>
      </c>
      <c r="AA1" s="321">
        <f t="shared" ca="1" si="0"/>
        <v>0</v>
      </c>
      <c r="AB1" s="321">
        <f t="shared" ca="1" si="0"/>
        <v>0</v>
      </c>
      <c r="AC1" s="321">
        <f t="shared" ca="1" si="0"/>
        <v>0</v>
      </c>
      <c r="AD1" s="321">
        <f t="shared" ca="1" si="0"/>
        <v>0</v>
      </c>
      <c r="AE1" s="321">
        <f t="shared" ca="1" si="0"/>
        <v>0</v>
      </c>
      <c r="AF1" s="321">
        <f t="shared" ca="1" si="0"/>
        <v>0</v>
      </c>
      <c r="AG1" s="321">
        <f t="shared" ca="1" si="0"/>
        <v>0</v>
      </c>
      <c r="AH1" s="321">
        <f t="shared" ca="1" si="0"/>
        <v>0</v>
      </c>
      <c r="AI1" s="321">
        <f t="shared" ca="1" si="0"/>
        <v>0</v>
      </c>
      <c r="AJ1" s="321">
        <f t="shared" ca="1" si="0"/>
        <v>0</v>
      </c>
      <c r="AK1" s="321">
        <f t="shared" ca="1" si="0"/>
        <v>0</v>
      </c>
      <c r="AL1" s="321">
        <f t="shared" ca="1" si="0"/>
        <v>0</v>
      </c>
      <c r="AM1" s="321">
        <f t="shared" ca="1" si="0"/>
        <v>0</v>
      </c>
      <c r="AN1" s="321">
        <f t="shared" ca="1" si="0"/>
        <v>0</v>
      </c>
      <c r="AO1" s="321">
        <f t="shared" ca="1" si="0"/>
        <v>0</v>
      </c>
      <c r="AP1" s="321">
        <f t="shared" ca="1" si="0"/>
        <v>0</v>
      </c>
      <c r="AQ1" s="321">
        <f t="shared" ca="1" si="0"/>
        <v>0</v>
      </c>
      <c r="AR1" s="321">
        <f t="shared" ca="1" si="0"/>
        <v>0</v>
      </c>
      <c r="AS1" s="321">
        <f t="shared" ca="1" si="0"/>
        <v>0</v>
      </c>
      <c r="AT1" s="321">
        <f t="shared" ca="1" si="0"/>
        <v>0</v>
      </c>
      <c r="AU1" s="321">
        <f t="shared" ca="1" si="0"/>
        <v>0</v>
      </c>
      <c r="AV1" s="321">
        <f t="shared" ca="1" si="0"/>
        <v>0</v>
      </c>
      <c r="AW1" s="321">
        <f t="shared" ca="1" si="0"/>
        <v>0</v>
      </c>
      <c r="AX1" s="321">
        <f t="shared" ca="1" si="0"/>
        <v>0</v>
      </c>
      <c r="AY1" s="321">
        <f t="shared" ca="1" si="0"/>
        <v>0</v>
      </c>
      <c r="AZ1" s="321">
        <f t="shared" ca="1" si="0"/>
        <v>0</v>
      </c>
      <c r="BA1" s="321">
        <f t="shared" ca="1" si="0"/>
        <v>0</v>
      </c>
      <c r="BB1" s="321">
        <f t="shared" ca="1" si="0"/>
        <v>0</v>
      </c>
      <c r="BC1" s="321">
        <f t="shared" ca="1" si="0"/>
        <v>0</v>
      </c>
      <c r="BD1" s="321">
        <f t="shared" ca="1" si="0"/>
        <v>0</v>
      </c>
      <c r="BE1" s="321">
        <f t="shared" ca="1" si="0"/>
        <v>0</v>
      </c>
      <c r="BF1" s="321">
        <f t="shared" ca="1" si="0"/>
        <v>0</v>
      </c>
      <c r="BG1" s="321">
        <f t="shared" ca="1" si="0"/>
        <v>0</v>
      </c>
      <c r="BH1" s="321">
        <f t="shared" ca="1" si="0"/>
        <v>0</v>
      </c>
      <c r="BI1" s="321">
        <f t="shared" ca="1" si="0"/>
        <v>0</v>
      </c>
      <c r="BJ1" s="321">
        <f t="shared" ca="1" si="0"/>
        <v>0</v>
      </c>
      <c r="BK1" s="321">
        <f t="shared" ca="1" si="0"/>
        <v>0</v>
      </c>
      <c r="BL1" s="321">
        <f t="shared" ca="1" si="0"/>
        <v>0</v>
      </c>
      <c r="BM1" s="321">
        <f t="shared" ca="1" si="0"/>
        <v>0</v>
      </c>
      <c r="BN1" s="321">
        <f t="shared" ref="BN1:DD1" ca="1" si="2">INDIRECT(ADDRESS(MATCH($O$52,$A$1:$A$23,0),COLUMN(BN$2)))</f>
        <v>0</v>
      </c>
      <c r="BO1" s="321">
        <f t="shared" ca="1" si="2"/>
        <v>0</v>
      </c>
      <c r="BP1" s="321">
        <f t="shared" ca="1" si="2"/>
        <v>0</v>
      </c>
      <c r="BQ1" s="321">
        <f t="shared" ca="1" si="2"/>
        <v>0</v>
      </c>
      <c r="BR1" s="321">
        <f t="shared" ca="1" si="2"/>
        <v>0</v>
      </c>
      <c r="BS1" s="321">
        <f t="shared" ca="1" si="2"/>
        <v>0</v>
      </c>
      <c r="BT1" s="321">
        <f t="shared" ca="1" si="2"/>
        <v>0</v>
      </c>
      <c r="BU1" s="321">
        <f t="shared" ca="1" si="2"/>
        <v>0</v>
      </c>
      <c r="BV1" s="321">
        <f t="shared" ca="1" si="2"/>
        <v>0</v>
      </c>
      <c r="BW1" s="321">
        <f t="shared" ca="1" si="2"/>
        <v>0</v>
      </c>
      <c r="BX1" s="321">
        <f t="shared" ca="1" si="2"/>
        <v>0</v>
      </c>
      <c r="BY1" s="321">
        <f t="shared" ca="1" si="2"/>
        <v>0</v>
      </c>
      <c r="BZ1" s="321">
        <f t="shared" ca="1" si="2"/>
        <v>0</v>
      </c>
      <c r="CA1" s="321">
        <f t="shared" ca="1" si="2"/>
        <v>0</v>
      </c>
      <c r="CB1" s="321">
        <f t="shared" ca="1" si="2"/>
        <v>0</v>
      </c>
      <c r="CC1" s="321">
        <f t="shared" ca="1" si="2"/>
        <v>0</v>
      </c>
      <c r="CD1" s="321">
        <f t="shared" ca="1" si="2"/>
        <v>0</v>
      </c>
      <c r="CE1" s="321">
        <f t="shared" ca="1" si="2"/>
        <v>0</v>
      </c>
      <c r="CF1" s="321">
        <f t="shared" ca="1" si="2"/>
        <v>0</v>
      </c>
      <c r="CG1" s="321">
        <f t="shared" ca="1" si="2"/>
        <v>0</v>
      </c>
      <c r="CH1" s="321">
        <f t="shared" ca="1" si="2"/>
        <v>0</v>
      </c>
      <c r="CI1" s="321">
        <f t="shared" ca="1" si="2"/>
        <v>0</v>
      </c>
      <c r="CJ1" s="321">
        <f t="shared" ca="1" si="2"/>
        <v>0</v>
      </c>
      <c r="CK1" s="321">
        <f t="shared" ca="1" si="2"/>
        <v>0</v>
      </c>
      <c r="CL1" s="321">
        <f t="shared" ca="1" si="2"/>
        <v>0</v>
      </c>
      <c r="CM1" s="321">
        <f t="shared" ca="1" si="2"/>
        <v>0</v>
      </c>
      <c r="CN1" s="321">
        <f t="shared" ca="1" si="2"/>
        <v>0</v>
      </c>
      <c r="CO1" s="321">
        <f t="shared" ca="1" si="2"/>
        <v>0</v>
      </c>
      <c r="CP1" s="321">
        <f t="shared" ca="1" si="2"/>
        <v>0</v>
      </c>
      <c r="CQ1" s="321">
        <f t="shared" ca="1" si="2"/>
        <v>0</v>
      </c>
      <c r="CR1" s="321">
        <f t="shared" ca="1" si="2"/>
        <v>0</v>
      </c>
      <c r="CS1" s="321">
        <f t="shared" ca="1" si="2"/>
        <v>0</v>
      </c>
      <c r="CT1" s="321">
        <f t="shared" ca="1" si="2"/>
        <v>0</v>
      </c>
      <c r="CU1" s="321">
        <f t="shared" ca="1" si="2"/>
        <v>0</v>
      </c>
      <c r="CV1" s="321">
        <f t="shared" ca="1" si="2"/>
        <v>0</v>
      </c>
      <c r="CW1" s="321">
        <f t="shared" ca="1" si="2"/>
        <v>0</v>
      </c>
      <c r="CX1" s="321">
        <f t="shared" ca="1" si="2"/>
        <v>0</v>
      </c>
      <c r="CY1" s="321">
        <f t="shared" ca="1" si="2"/>
        <v>0</v>
      </c>
      <c r="CZ1" s="321">
        <f t="shared" ca="1" si="2"/>
        <v>0</v>
      </c>
      <c r="DA1" s="321">
        <f t="shared" ca="1" si="2"/>
        <v>0</v>
      </c>
      <c r="DB1" s="321">
        <f t="shared" ca="1" si="2"/>
        <v>0</v>
      </c>
      <c r="DC1" s="321">
        <f t="shared" ca="1" si="2"/>
        <v>0</v>
      </c>
      <c r="DD1" s="321">
        <f t="shared" ca="1" si="2"/>
        <v>0</v>
      </c>
    </row>
    <row r="2" spans="1:108" s="320" customFormat="1" ht="15.75" customHeight="1" x14ac:dyDescent="0.2">
      <c r="B2" s="321">
        <f t="shared" ref="B2:P2" si="3">_xlfn.NUMBERVALUE(LEFT(B8,4))</f>
        <v>2001</v>
      </c>
      <c r="C2" s="321">
        <f t="shared" si="3"/>
        <v>2002</v>
      </c>
      <c r="D2" s="321">
        <f t="shared" si="3"/>
        <v>2003</v>
      </c>
      <c r="E2" s="321">
        <f t="shared" si="3"/>
        <v>2004</v>
      </c>
      <c r="F2" s="321">
        <f t="shared" si="3"/>
        <v>2005</v>
      </c>
      <c r="G2" s="321">
        <f t="shared" si="3"/>
        <v>2006</v>
      </c>
      <c r="H2" s="321">
        <f t="shared" si="3"/>
        <v>2007</v>
      </c>
      <c r="I2" s="321">
        <f t="shared" si="3"/>
        <v>2008</v>
      </c>
      <c r="J2" s="321">
        <f t="shared" si="3"/>
        <v>2009</v>
      </c>
      <c r="K2" s="321">
        <f t="shared" si="3"/>
        <v>2010</v>
      </c>
      <c r="L2" s="321">
        <f t="shared" si="3"/>
        <v>2011</v>
      </c>
      <c r="M2" s="321">
        <f t="shared" si="3"/>
        <v>2012</v>
      </c>
      <c r="N2" s="321">
        <f t="shared" si="3"/>
        <v>2013</v>
      </c>
      <c r="O2" s="321">
        <f t="shared" si="3"/>
        <v>2014</v>
      </c>
      <c r="P2" s="321">
        <f t="shared" si="3"/>
        <v>2015</v>
      </c>
      <c r="Q2" s="321">
        <f>_xlfn.NUMBERVALUE(LEFT(Q8,4))</f>
        <v>2016</v>
      </c>
      <c r="R2" s="321">
        <f>_xlfn.NUMBERVALUE(LEFT(R8,4))</f>
        <v>2017</v>
      </c>
      <c r="S2" s="321">
        <f t="shared" ref="S2:U2" si="4">_xlfn.NUMBERVALUE(LEFT(S8,4))</f>
        <v>2018</v>
      </c>
      <c r="T2" s="321">
        <f>_xlfn.NUMBERVALUE(LEFT(T8,4))</f>
        <v>2019</v>
      </c>
      <c r="U2" s="321">
        <f t="shared" si="4"/>
        <v>2020</v>
      </c>
      <c r="V2" s="321">
        <f>_xlfn.NUMBERVALUE(LEFT(V8,4))</f>
        <v>2021</v>
      </c>
      <c r="W2" s="321">
        <f>_xlfn.NUMBERVALUE(LEFT(W8,4))</f>
        <v>2022</v>
      </c>
      <c r="X2" s="321">
        <f>_xlfn.NUMBERVALUE(LEFT(X8,4))</f>
        <v>2023</v>
      </c>
      <c r="Y2" s="321">
        <f t="shared" ref="Y2:Z2" si="5">_xlfn.NUMBERVALUE(LEFT(Y8,4))</f>
        <v>2024</v>
      </c>
      <c r="Z2" s="321">
        <f t="shared" si="5"/>
        <v>0</v>
      </c>
      <c r="AA2" s="321">
        <f t="shared" ref="AA2:BC2" si="6">_xlfn.NUMBERVALUE(LEFT(AB8,4))</f>
        <v>0</v>
      </c>
      <c r="AB2" s="321">
        <f t="shared" si="6"/>
        <v>0</v>
      </c>
      <c r="AC2" s="321">
        <f t="shared" si="6"/>
        <v>0</v>
      </c>
      <c r="AD2" s="321">
        <f t="shared" si="6"/>
        <v>0</v>
      </c>
      <c r="AE2" s="321">
        <f t="shared" si="6"/>
        <v>0</v>
      </c>
      <c r="AF2" s="321">
        <f t="shared" si="6"/>
        <v>0</v>
      </c>
      <c r="AG2" s="321">
        <f t="shared" si="6"/>
        <v>0</v>
      </c>
      <c r="AH2" s="321">
        <f t="shared" si="6"/>
        <v>0</v>
      </c>
      <c r="AI2" s="321">
        <f t="shared" si="6"/>
        <v>0</v>
      </c>
      <c r="AJ2" s="321">
        <f t="shared" si="6"/>
        <v>0</v>
      </c>
      <c r="AK2" s="321">
        <f t="shared" si="6"/>
        <v>0</v>
      </c>
      <c r="AL2" s="321">
        <f t="shared" si="6"/>
        <v>0</v>
      </c>
      <c r="AM2" s="321">
        <f t="shared" si="6"/>
        <v>0</v>
      </c>
      <c r="AN2" s="321">
        <f t="shared" si="6"/>
        <v>0</v>
      </c>
      <c r="AO2" s="321">
        <f t="shared" si="6"/>
        <v>0</v>
      </c>
      <c r="AP2" s="321">
        <f t="shared" si="6"/>
        <v>0</v>
      </c>
      <c r="AQ2" s="321">
        <f t="shared" si="6"/>
        <v>0</v>
      </c>
      <c r="AR2" s="321">
        <f t="shared" si="6"/>
        <v>0</v>
      </c>
      <c r="AS2" s="321">
        <f t="shared" si="6"/>
        <v>0</v>
      </c>
      <c r="AT2" s="321">
        <f t="shared" si="6"/>
        <v>0</v>
      </c>
      <c r="AU2" s="321">
        <f t="shared" si="6"/>
        <v>0</v>
      </c>
      <c r="AV2" s="321">
        <f t="shared" si="6"/>
        <v>0</v>
      </c>
      <c r="AW2" s="321">
        <f t="shared" si="6"/>
        <v>0</v>
      </c>
      <c r="AX2" s="321">
        <f t="shared" si="6"/>
        <v>0</v>
      </c>
      <c r="AY2" s="321">
        <f t="shared" si="6"/>
        <v>0</v>
      </c>
      <c r="AZ2" s="321">
        <f t="shared" si="6"/>
        <v>0</v>
      </c>
      <c r="BA2" s="321">
        <f t="shared" si="6"/>
        <v>0</v>
      </c>
      <c r="BB2" s="321">
        <f t="shared" si="6"/>
        <v>0</v>
      </c>
      <c r="BC2" s="321">
        <f t="shared" si="6"/>
        <v>0</v>
      </c>
    </row>
    <row r="3" spans="1:108" s="322" customFormat="1" ht="15.75" customHeight="1" x14ac:dyDescent="0.25"/>
    <row r="4" spans="1:108" s="322" customFormat="1" ht="15.75" customHeight="1" x14ac:dyDescent="0.25"/>
    <row r="5" spans="1:108" s="87" customFormat="1" ht="15.75" customHeight="1" x14ac:dyDescent="0.25">
      <c r="B5" s="2"/>
      <c r="C5" s="2"/>
      <c r="D5" s="2"/>
      <c r="E5" s="2"/>
      <c r="F5" s="2"/>
      <c r="G5" s="2"/>
      <c r="H5" s="2"/>
      <c r="I5" s="2"/>
      <c r="J5" s="2"/>
      <c r="K5" s="2"/>
      <c r="L5" s="2"/>
      <c r="M5" s="2"/>
      <c r="N5" s="2"/>
      <c r="O5" s="2"/>
      <c r="P5" s="2"/>
      <c r="Q5" s="2"/>
      <c r="R5" s="2"/>
      <c r="S5" s="2"/>
    </row>
    <row r="6" spans="1:108" s="87" customFormat="1" ht="15.75" customHeight="1" x14ac:dyDescent="0.25">
      <c r="B6" s="2"/>
      <c r="C6" s="2"/>
      <c r="D6" s="2"/>
      <c r="E6" s="2"/>
      <c r="F6" s="2"/>
      <c r="G6" s="2"/>
      <c r="H6" s="2"/>
      <c r="I6" s="2"/>
      <c r="J6" s="2"/>
      <c r="K6" s="2"/>
      <c r="L6" s="2"/>
      <c r="M6" s="2"/>
      <c r="N6" s="2"/>
      <c r="O6" s="2"/>
      <c r="P6" s="2"/>
      <c r="Q6" s="2"/>
      <c r="R6" s="2"/>
      <c r="S6" s="2"/>
    </row>
    <row r="7" spans="1:108" s="87" customFormat="1" ht="15.75" customHeight="1" thickBot="1" x14ac:dyDescent="0.3">
      <c r="A7" s="296" t="s">
        <v>169</v>
      </c>
    </row>
    <row r="8" spans="1:108" s="87" customFormat="1" x14ac:dyDescent="0.25">
      <c r="A8" s="297" t="s">
        <v>63</v>
      </c>
      <c r="B8" s="298" t="s">
        <v>143</v>
      </c>
      <c r="C8" s="298" t="s">
        <v>144</v>
      </c>
      <c r="D8" s="298" t="s">
        <v>145</v>
      </c>
      <c r="E8" s="298" t="s">
        <v>146</v>
      </c>
      <c r="F8" s="298" t="s">
        <v>147</v>
      </c>
      <c r="G8" s="298" t="s">
        <v>148</v>
      </c>
      <c r="H8" s="298" t="s">
        <v>149</v>
      </c>
      <c r="I8" s="298" t="s">
        <v>150</v>
      </c>
      <c r="J8" s="298" t="s">
        <v>151</v>
      </c>
      <c r="K8" s="298" t="s">
        <v>152</v>
      </c>
      <c r="L8" s="298" t="s">
        <v>153</v>
      </c>
      <c r="M8" s="298" t="s">
        <v>154</v>
      </c>
      <c r="N8" s="298" t="s">
        <v>155</v>
      </c>
      <c r="O8" s="298" t="s">
        <v>156</v>
      </c>
      <c r="P8" s="298" t="s">
        <v>81</v>
      </c>
      <c r="Q8" s="298" t="s">
        <v>82</v>
      </c>
      <c r="R8" s="298" t="s">
        <v>83</v>
      </c>
      <c r="S8" s="298" t="s">
        <v>84</v>
      </c>
      <c r="T8" s="298" t="s">
        <v>85</v>
      </c>
      <c r="U8" s="298" t="s">
        <v>86</v>
      </c>
      <c r="V8" s="298" t="s">
        <v>87</v>
      </c>
      <c r="W8" s="298" t="s">
        <v>88</v>
      </c>
      <c r="X8" s="298" t="s">
        <v>585</v>
      </c>
      <c r="Y8" s="299" t="s">
        <v>824</v>
      </c>
    </row>
    <row r="9" spans="1:108" s="87" customFormat="1" x14ac:dyDescent="0.25">
      <c r="A9" s="309" t="s">
        <v>66</v>
      </c>
      <c r="B9" s="301">
        <v>6182.0625</v>
      </c>
      <c r="C9" s="301">
        <v>6299.2704999999996</v>
      </c>
      <c r="D9" s="301">
        <v>6433.9184999999998</v>
      </c>
      <c r="E9" s="301">
        <v>7814.6634999999997</v>
      </c>
      <c r="F9" s="301">
        <v>9188.9105</v>
      </c>
      <c r="G9" s="301">
        <v>8072.42</v>
      </c>
      <c r="H9" s="301">
        <v>7914.6665000000003</v>
      </c>
      <c r="I9" s="301">
        <v>7953.06</v>
      </c>
      <c r="J9" s="301">
        <v>8706.1064999999999</v>
      </c>
      <c r="K9" s="301">
        <v>11094.102500000001</v>
      </c>
      <c r="L9" s="301">
        <v>10371.081</v>
      </c>
      <c r="M9" s="301">
        <v>7249.9129999999996</v>
      </c>
      <c r="N9" s="301">
        <v>7193.5024999999996</v>
      </c>
      <c r="O9" s="301">
        <v>7016.5155000000004</v>
      </c>
      <c r="P9" s="301">
        <v>6619.0619999999999</v>
      </c>
      <c r="Q9" s="301">
        <v>6145.0595000000003</v>
      </c>
      <c r="R9" s="301">
        <v>6481.8739999999998</v>
      </c>
      <c r="S9" s="301">
        <v>6923.7704999999996</v>
      </c>
      <c r="T9" s="301">
        <v>6764.6319999999996</v>
      </c>
      <c r="U9" s="301">
        <v>6839.7790000000005</v>
      </c>
      <c r="V9" s="301">
        <v>6733.357</v>
      </c>
      <c r="W9" s="301">
        <v>7201.9584999999997</v>
      </c>
      <c r="X9" s="301">
        <v>7021.3689999999997</v>
      </c>
      <c r="Y9" s="302">
        <v>6550.0659999999998</v>
      </c>
    </row>
    <row r="10" spans="1:108" s="87" customFormat="1" x14ac:dyDescent="0.25">
      <c r="A10" s="309" t="s">
        <v>159</v>
      </c>
      <c r="B10" s="304">
        <v>575.90150000000006</v>
      </c>
      <c r="C10" s="304">
        <v>547.36199999999997</v>
      </c>
      <c r="D10" s="304">
        <v>538.87300000000005</v>
      </c>
      <c r="E10" s="304">
        <v>553.59649999999999</v>
      </c>
      <c r="F10" s="304">
        <v>637.35149999999999</v>
      </c>
      <c r="G10" s="304">
        <v>631.94150000000002</v>
      </c>
      <c r="H10" s="304">
        <v>637.351</v>
      </c>
      <c r="I10" s="304">
        <v>717.50649999999996</v>
      </c>
      <c r="J10" s="304">
        <v>739.06550000000004</v>
      </c>
      <c r="K10" s="304">
        <v>657.14750000000004</v>
      </c>
      <c r="L10" s="304">
        <v>716.72500000000002</v>
      </c>
      <c r="M10" s="304">
        <v>728.97450000000003</v>
      </c>
      <c r="N10" s="304">
        <v>714.64400000000001</v>
      </c>
      <c r="O10" s="304">
        <v>805.846</v>
      </c>
      <c r="P10" s="304">
        <v>848.78449999999998</v>
      </c>
      <c r="Q10" s="304">
        <v>768.93349999999998</v>
      </c>
      <c r="R10" s="304">
        <v>753.64800000000002</v>
      </c>
      <c r="S10" s="304">
        <v>711.346</v>
      </c>
      <c r="T10" s="304">
        <v>700.178</v>
      </c>
      <c r="U10" s="304">
        <v>642.28200000000004</v>
      </c>
      <c r="V10" s="304">
        <v>675.17200000000003</v>
      </c>
      <c r="W10" s="304">
        <v>823.75900000000001</v>
      </c>
      <c r="X10" s="304">
        <v>885.15549999999996</v>
      </c>
      <c r="Y10" s="305">
        <v>1002.2795</v>
      </c>
    </row>
    <row r="11" spans="1:108" s="87" customFormat="1" x14ac:dyDescent="0.25">
      <c r="A11" s="309" t="s">
        <v>160</v>
      </c>
      <c r="B11" s="301">
        <v>589.6395</v>
      </c>
      <c r="C11" s="301">
        <v>290.82499999999999</v>
      </c>
      <c r="D11" s="301">
        <v>288.36200000000002</v>
      </c>
      <c r="E11" s="301">
        <v>343.80250000000001</v>
      </c>
      <c r="F11" s="301">
        <v>405.69049999999999</v>
      </c>
      <c r="G11" s="301">
        <v>527.88800000000003</v>
      </c>
      <c r="H11" s="301">
        <v>620.40499999999997</v>
      </c>
      <c r="I11" s="301">
        <v>624.41200000000003</v>
      </c>
      <c r="J11" s="301">
        <v>583.77449999999999</v>
      </c>
      <c r="K11" s="301">
        <v>648.07449999999994</v>
      </c>
      <c r="L11" s="301">
        <v>826.13599999999997</v>
      </c>
      <c r="M11" s="301">
        <v>857.94349999999997</v>
      </c>
      <c r="N11" s="301">
        <v>875.00900000000001</v>
      </c>
      <c r="O11" s="301">
        <v>856.75199999999995</v>
      </c>
      <c r="P11" s="301">
        <v>702.94399999999996</v>
      </c>
      <c r="Q11" s="301">
        <v>767.94100000000003</v>
      </c>
      <c r="R11" s="301">
        <v>764.63250000000005</v>
      </c>
      <c r="S11" s="301">
        <v>758.60749999999996</v>
      </c>
      <c r="T11" s="301">
        <v>699.25199999999995</v>
      </c>
      <c r="U11" s="301">
        <v>676.21550000000002</v>
      </c>
      <c r="V11" s="301">
        <v>773.29250000000002</v>
      </c>
      <c r="W11" s="301">
        <v>885.42899999999997</v>
      </c>
      <c r="X11" s="301">
        <v>874.00649999999996</v>
      </c>
      <c r="Y11" s="302">
        <v>821.89250000000004</v>
      </c>
    </row>
    <row r="12" spans="1:108" s="87" customFormat="1" x14ac:dyDescent="0.25">
      <c r="A12" s="309" t="s">
        <v>67</v>
      </c>
      <c r="B12" s="304">
        <v>1286.2194999999999</v>
      </c>
      <c r="C12" s="304">
        <v>1427.3335</v>
      </c>
      <c r="D12" s="304">
        <v>1132.3354999999999</v>
      </c>
      <c r="E12" s="304">
        <v>1375.2915</v>
      </c>
      <c r="F12" s="304">
        <v>1902.1020000000001</v>
      </c>
      <c r="G12" s="304">
        <v>2345.0355</v>
      </c>
      <c r="H12" s="304">
        <v>2511.2179999999998</v>
      </c>
      <c r="I12" s="304">
        <v>1902.4880000000001</v>
      </c>
      <c r="J12" s="304">
        <v>1665.4549999999999</v>
      </c>
      <c r="K12" s="304">
        <v>2041.384</v>
      </c>
      <c r="L12" s="304">
        <v>2619.991</v>
      </c>
      <c r="M12" s="304">
        <v>2581.0304999999998</v>
      </c>
      <c r="N12" s="304">
        <v>2366.7449999999999</v>
      </c>
      <c r="O12" s="304">
        <v>2234.297</v>
      </c>
      <c r="P12" s="304">
        <v>1959.7529999999999</v>
      </c>
      <c r="Q12" s="304">
        <v>1889.7085</v>
      </c>
      <c r="R12" s="304">
        <v>2147.335</v>
      </c>
      <c r="S12" s="304">
        <v>2255.8355000000001</v>
      </c>
      <c r="T12" s="304">
        <v>2075.163</v>
      </c>
      <c r="U12" s="304">
        <v>1883.1054999999999</v>
      </c>
      <c r="V12" s="304">
        <v>2067.1824999999999</v>
      </c>
      <c r="W12" s="304">
        <v>1994.0165</v>
      </c>
      <c r="X12" s="304">
        <v>1499.44</v>
      </c>
      <c r="Y12" s="305">
        <v>1586.8634999999999</v>
      </c>
    </row>
    <row r="13" spans="1:108" s="87" customFormat="1" x14ac:dyDescent="0.25">
      <c r="A13" s="309" t="s">
        <v>161</v>
      </c>
      <c r="B13" s="301">
        <v>1173.6835000000001</v>
      </c>
      <c r="C13" s="301">
        <v>1210.3235</v>
      </c>
      <c r="D13" s="301">
        <v>1284.8140000000001</v>
      </c>
      <c r="E13" s="301">
        <v>1684.4645</v>
      </c>
      <c r="F13" s="301">
        <v>1776.1115</v>
      </c>
      <c r="G13" s="301">
        <v>2154.4839999999999</v>
      </c>
      <c r="H13" s="301">
        <v>2592.8220000000001</v>
      </c>
      <c r="I13" s="301">
        <v>2326.4175</v>
      </c>
      <c r="J13" s="301">
        <v>1300.8064999999999</v>
      </c>
      <c r="K13" s="301">
        <v>1736.7825</v>
      </c>
      <c r="L13" s="301">
        <v>2356.1104999999998</v>
      </c>
      <c r="M13" s="301">
        <v>2592.0770000000002</v>
      </c>
      <c r="N13" s="301">
        <v>1526.9784999999999</v>
      </c>
      <c r="O13" s="301">
        <v>1299.405</v>
      </c>
      <c r="P13" s="301">
        <v>846.24149999999997</v>
      </c>
      <c r="Q13" s="301">
        <v>762.31200000000001</v>
      </c>
      <c r="R13" s="301">
        <v>788.7</v>
      </c>
      <c r="S13" s="301">
        <v>836.34950000000003</v>
      </c>
      <c r="T13" s="301">
        <v>617.85850000000005</v>
      </c>
      <c r="U13" s="301">
        <v>275.70800000000003</v>
      </c>
      <c r="V13" s="301">
        <v>255.7415</v>
      </c>
      <c r="W13" s="301">
        <v>357.03750000000002</v>
      </c>
      <c r="X13" s="301">
        <v>384.18599999999998</v>
      </c>
      <c r="Y13" s="302">
        <v>380.41649999999998</v>
      </c>
    </row>
    <row r="14" spans="1:108" s="87" customFormat="1" x14ac:dyDescent="0.25">
      <c r="A14" s="309" t="s">
        <v>68</v>
      </c>
      <c r="B14" s="304">
        <v>13121.8905</v>
      </c>
      <c r="C14" s="304">
        <v>13224.843500000001</v>
      </c>
      <c r="D14" s="304">
        <v>13737.7045</v>
      </c>
      <c r="E14" s="304">
        <v>12851.6865</v>
      </c>
      <c r="F14" s="304">
        <v>12355.647999999999</v>
      </c>
      <c r="G14" s="304">
        <v>13463.484</v>
      </c>
      <c r="H14" s="304">
        <v>14888.709000000001</v>
      </c>
      <c r="I14" s="304">
        <v>16660.057499999999</v>
      </c>
      <c r="J14" s="304">
        <v>16380.523499999999</v>
      </c>
      <c r="K14" s="304">
        <v>17667.217499999999</v>
      </c>
      <c r="L14" s="304">
        <v>20853.113000000001</v>
      </c>
      <c r="M14" s="304">
        <v>21695.715499999998</v>
      </c>
      <c r="N14" s="304">
        <v>17582.1145</v>
      </c>
      <c r="O14" s="304">
        <v>17152.786</v>
      </c>
      <c r="P14" s="304">
        <v>19356.7405</v>
      </c>
      <c r="Q14" s="304">
        <v>21764.202000000001</v>
      </c>
      <c r="R14" s="304">
        <v>23782.356</v>
      </c>
      <c r="S14" s="304">
        <v>25660.223000000002</v>
      </c>
      <c r="T14" s="304">
        <v>26286.661</v>
      </c>
      <c r="U14" s="304">
        <v>28419.491999999998</v>
      </c>
      <c r="V14" s="304">
        <v>30765.656999999999</v>
      </c>
      <c r="W14" s="304">
        <v>30147.523000000001</v>
      </c>
      <c r="X14" s="304">
        <v>31798.067500000001</v>
      </c>
      <c r="Y14" s="305">
        <v>35952.661999999997</v>
      </c>
    </row>
    <row r="15" spans="1:108" s="87" customFormat="1" x14ac:dyDescent="0.25">
      <c r="A15" s="309" t="s">
        <v>69</v>
      </c>
      <c r="B15" s="301">
        <v>8450.4264999999996</v>
      </c>
      <c r="C15" s="301">
        <v>9511.1934999999994</v>
      </c>
      <c r="D15" s="301">
        <v>11607.1005</v>
      </c>
      <c r="E15" s="301">
        <v>12451.105</v>
      </c>
      <c r="F15" s="301">
        <v>14860.212</v>
      </c>
      <c r="G15" s="301">
        <v>18231.694500000001</v>
      </c>
      <c r="H15" s="301">
        <v>19689.512500000001</v>
      </c>
      <c r="I15" s="301">
        <v>25537.956999999999</v>
      </c>
      <c r="J15" s="301">
        <v>25994.942999999999</v>
      </c>
      <c r="K15" s="301">
        <v>30287.775000000001</v>
      </c>
      <c r="L15" s="301">
        <v>40381.915000000001</v>
      </c>
      <c r="M15" s="301">
        <v>52268.474499999997</v>
      </c>
      <c r="N15" s="301">
        <v>56263.416499999999</v>
      </c>
      <c r="O15" s="301">
        <v>52903.197999999997</v>
      </c>
      <c r="P15" s="301">
        <v>45583.06</v>
      </c>
      <c r="Q15" s="301">
        <v>41953.004999999997</v>
      </c>
      <c r="R15" s="301">
        <v>42032.593999999997</v>
      </c>
      <c r="S15" s="301">
        <v>45115.680500000002</v>
      </c>
      <c r="T15" s="301">
        <v>52321.074999999997</v>
      </c>
      <c r="U15" s="301">
        <v>60499.021000000001</v>
      </c>
      <c r="V15" s="301">
        <v>59729.898500000003</v>
      </c>
      <c r="W15" s="301">
        <v>61202.769</v>
      </c>
      <c r="X15" s="301">
        <v>63032.228499999997</v>
      </c>
      <c r="Y15" s="302">
        <v>65637.133499999996</v>
      </c>
    </row>
    <row r="16" spans="1:108" s="87" customFormat="1" x14ac:dyDescent="0.25">
      <c r="A16" s="309" t="s">
        <v>70</v>
      </c>
      <c r="B16" s="304">
        <v>866.75350000000003</v>
      </c>
      <c r="C16" s="304">
        <v>588.76949999999999</v>
      </c>
      <c r="D16" s="304">
        <v>644.05949999999996</v>
      </c>
      <c r="E16" s="304">
        <v>704.14300000000003</v>
      </c>
      <c r="F16" s="304">
        <v>704.63800000000003</v>
      </c>
      <c r="G16" s="304">
        <v>463.3725</v>
      </c>
      <c r="H16" s="304">
        <v>559.49649999999997</v>
      </c>
      <c r="I16" s="304">
        <v>418.01799999999997</v>
      </c>
      <c r="J16" s="304">
        <v>358.57900000000001</v>
      </c>
      <c r="K16" s="304">
        <v>564.20749999999998</v>
      </c>
      <c r="L16" s="304">
        <v>805.68650000000002</v>
      </c>
      <c r="M16" s="304">
        <v>497.59949999999998</v>
      </c>
      <c r="N16" s="304">
        <v>414.93200000000002</v>
      </c>
      <c r="O16" s="304">
        <v>396.69299999999998</v>
      </c>
      <c r="P16" s="304">
        <v>458.98899999999998</v>
      </c>
      <c r="Q16" s="304">
        <v>1104.0995</v>
      </c>
      <c r="R16" s="304">
        <v>3319.9605000000001</v>
      </c>
      <c r="S16" s="304">
        <v>4855.3644999999997</v>
      </c>
      <c r="T16" s="304">
        <v>2562.7979999999998</v>
      </c>
      <c r="U16" s="304">
        <v>1846.2474999999999</v>
      </c>
      <c r="V16" s="304">
        <v>3800.5639999999999</v>
      </c>
      <c r="W16" s="304">
        <v>8091.8459999999995</v>
      </c>
      <c r="X16" s="304">
        <v>11435.112999999999</v>
      </c>
      <c r="Y16" s="305">
        <v>9576.7559999999994</v>
      </c>
    </row>
    <row r="17" spans="1:25" s="87" customFormat="1" x14ac:dyDescent="0.25">
      <c r="A17" s="309" t="s">
        <v>71</v>
      </c>
      <c r="B17" s="301">
        <v>2351.8980000000001</v>
      </c>
      <c r="C17" s="301">
        <v>2039.7985000000001</v>
      </c>
      <c r="D17" s="301">
        <v>2272.817</v>
      </c>
      <c r="E17" s="301">
        <v>2210.7139999999999</v>
      </c>
      <c r="F17" s="301">
        <v>2465.585</v>
      </c>
      <c r="G17" s="301">
        <v>2435.8694999999998</v>
      </c>
      <c r="H17" s="301">
        <v>2352.567</v>
      </c>
      <c r="I17" s="301">
        <v>2173.2595000000001</v>
      </c>
      <c r="J17" s="301">
        <v>1606.4690000000001</v>
      </c>
      <c r="K17" s="301">
        <v>1402.3489999999999</v>
      </c>
      <c r="L17" s="301">
        <v>1879.9970000000001</v>
      </c>
      <c r="M17" s="301">
        <v>1652.2674999999999</v>
      </c>
      <c r="N17" s="301">
        <v>1406.4645</v>
      </c>
      <c r="O17" s="301">
        <v>1353.3744999999999</v>
      </c>
      <c r="P17" s="301">
        <v>1420.4755</v>
      </c>
      <c r="Q17" s="301">
        <v>1324.8630000000001</v>
      </c>
      <c r="R17" s="301">
        <v>1500.722</v>
      </c>
      <c r="S17" s="301">
        <v>2053.0390000000002</v>
      </c>
      <c r="T17" s="301">
        <v>1957.4649999999999</v>
      </c>
      <c r="U17" s="301">
        <v>1870.3489999999999</v>
      </c>
      <c r="V17" s="301">
        <v>2418.9225000000001</v>
      </c>
      <c r="W17" s="301">
        <v>2936.3440000000001</v>
      </c>
      <c r="X17" s="301">
        <v>2902.4810000000002</v>
      </c>
      <c r="Y17" s="302">
        <v>2978.6264999999999</v>
      </c>
    </row>
    <row r="18" spans="1:25" s="87" customFormat="1" x14ac:dyDescent="0.25">
      <c r="A18" s="309" t="s">
        <v>72</v>
      </c>
      <c r="B18" s="304">
        <v>5689.0034999999998</v>
      </c>
      <c r="C18" s="304">
        <v>5888.7420000000002</v>
      </c>
      <c r="D18" s="304">
        <v>6250.7870000000003</v>
      </c>
      <c r="E18" s="304">
        <v>7825.3924999999999</v>
      </c>
      <c r="F18" s="304">
        <v>9336.5049999999992</v>
      </c>
      <c r="G18" s="304">
        <v>12135.503500000001</v>
      </c>
      <c r="H18" s="304">
        <v>12671.075500000001</v>
      </c>
      <c r="I18" s="304">
        <v>10367.668</v>
      </c>
      <c r="J18" s="304">
        <v>7133.9665000000005</v>
      </c>
      <c r="K18" s="304">
        <v>8938.6980000000003</v>
      </c>
      <c r="L18" s="304">
        <v>8819.0825000000004</v>
      </c>
      <c r="M18" s="304">
        <v>7610.4120000000003</v>
      </c>
      <c r="N18" s="304">
        <v>6210.674</v>
      </c>
      <c r="O18" s="304">
        <v>5838.8310000000001</v>
      </c>
      <c r="P18" s="304">
        <v>5628.3760000000002</v>
      </c>
      <c r="Q18" s="304">
        <v>5674.3185000000003</v>
      </c>
      <c r="R18" s="304">
        <v>5543.4645</v>
      </c>
      <c r="S18" s="304">
        <v>6232.3985000000002</v>
      </c>
      <c r="T18" s="304">
        <v>7500.2349999999997</v>
      </c>
      <c r="U18" s="304">
        <v>7552.9669999999996</v>
      </c>
      <c r="V18" s="304">
        <v>8301.3114999999998</v>
      </c>
      <c r="W18" s="304">
        <v>9826.3459999999995</v>
      </c>
      <c r="X18" s="304">
        <v>10434.2515</v>
      </c>
      <c r="Y18" s="305">
        <v>4697.7219999999998</v>
      </c>
    </row>
    <row r="19" spans="1:25" s="87" customFormat="1" x14ac:dyDescent="0.25">
      <c r="A19" s="309" t="s">
        <v>162</v>
      </c>
      <c r="B19" s="301">
        <v>589.995</v>
      </c>
      <c r="C19" s="301">
        <v>559.04449999999997</v>
      </c>
      <c r="D19" s="301">
        <v>565.81600000000003</v>
      </c>
      <c r="E19" s="301">
        <v>622.99699999999996</v>
      </c>
      <c r="F19" s="301">
        <v>661.85350000000005</v>
      </c>
      <c r="G19" s="301">
        <v>696.26099999999997</v>
      </c>
      <c r="H19" s="301">
        <v>694.13900000000001</v>
      </c>
      <c r="I19" s="301">
        <v>736.57650000000001</v>
      </c>
      <c r="J19" s="301">
        <v>801.95550000000003</v>
      </c>
      <c r="K19" s="301">
        <v>768.81050000000005</v>
      </c>
      <c r="L19" s="301">
        <v>862.93899999999996</v>
      </c>
      <c r="M19" s="301">
        <v>905.64649999999995</v>
      </c>
      <c r="N19" s="301">
        <v>922.37</v>
      </c>
      <c r="O19" s="301">
        <v>654.95249999999999</v>
      </c>
      <c r="P19" s="301">
        <v>569.56600000000003</v>
      </c>
      <c r="Q19" s="301">
        <v>503.12900000000002</v>
      </c>
      <c r="R19" s="301">
        <v>566.75250000000005</v>
      </c>
      <c r="S19" s="301">
        <v>614.21849999999995</v>
      </c>
      <c r="T19" s="301">
        <v>645.23950000000002</v>
      </c>
      <c r="U19" s="301">
        <v>622.15800000000002</v>
      </c>
      <c r="V19" s="301">
        <v>824.1</v>
      </c>
      <c r="W19" s="301">
        <v>999.0095</v>
      </c>
      <c r="X19" s="301">
        <v>1085.7885000000001</v>
      </c>
      <c r="Y19" s="302">
        <v>1105.5454999999999</v>
      </c>
    </row>
    <row r="20" spans="1:25" s="87" customFormat="1" x14ac:dyDescent="0.25">
      <c r="A20" s="309" t="s">
        <v>74</v>
      </c>
      <c r="B20" s="304">
        <v>1367.5255</v>
      </c>
      <c r="C20" s="304">
        <v>1325.76</v>
      </c>
      <c r="D20" s="304">
        <v>1362.4124999999999</v>
      </c>
      <c r="E20" s="304">
        <v>1637.057</v>
      </c>
      <c r="F20" s="304">
        <v>1748.1295</v>
      </c>
      <c r="G20" s="304">
        <v>1630.134</v>
      </c>
      <c r="H20" s="304">
        <v>1817.694</v>
      </c>
      <c r="I20" s="304">
        <v>2112.2745</v>
      </c>
      <c r="J20" s="304">
        <v>2034.5170000000001</v>
      </c>
      <c r="K20" s="304">
        <v>2857.7505000000001</v>
      </c>
      <c r="L20" s="304">
        <v>3176.8679999999999</v>
      </c>
      <c r="M20" s="304">
        <v>2724.3634999999999</v>
      </c>
      <c r="N20" s="304">
        <v>2581.5459999999998</v>
      </c>
      <c r="O20" s="304">
        <v>2195.6585</v>
      </c>
      <c r="P20" s="304">
        <v>1950.5250000000001</v>
      </c>
      <c r="Q20" s="304">
        <v>1765.5625</v>
      </c>
      <c r="R20" s="304">
        <v>2130.4630000000002</v>
      </c>
      <c r="S20" s="304">
        <v>2261.0625</v>
      </c>
      <c r="T20" s="304">
        <v>2285.442</v>
      </c>
      <c r="U20" s="304">
        <v>2792.1125000000002</v>
      </c>
      <c r="V20" s="304">
        <v>2693.0369999999998</v>
      </c>
      <c r="W20" s="304">
        <v>3159.8685</v>
      </c>
      <c r="X20" s="304">
        <v>3580.1019999999999</v>
      </c>
      <c r="Y20" s="305">
        <v>4300.0635000000002</v>
      </c>
    </row>
    <row r="21" spans="1:25" s="87" customFormat="1" x14ac:dyDescent="0.25">
      <c r="A21" s="326" t="s">
        <v>163</v>
      </c>
      <c r="B21" s="307">
        <v>42244.999000000003</v>
      </c>
      <c r="C21" s="307">
        <v>42913.266000000003</v>
      </c>
      <c r="D21" s="307">
        <v>46119</v>
      </c>
      <c r="E21" s="307">
        <v>50074.913500000002</v>
      </c>
      <c r="F21" s="307">
        <v>56042.737000000001</v>
      </c>
      <c r="G21" s="307">
        <v>62788.088000000003</v>
      </c>
      <c r="H21" s="307">
        <v>66949.656000000003</v>
      </c>
      <c r="I21" s="307">
        <v>71529.695000000007</v>
      </c>
      <c r="J21" s="307">
        <v>67306.161500000002</v>
      </c>
      <c r="K21" s="307">
        <v>78664.298999999999</v>
      </c>
      <c r="L21" s="307">
        <v>93669.644499999995</v>
      </c>
      <c r="M21" s="307">
        <v>101364.4175</v>
      </c>
      <c r="N21" s="307">
        <v>98058.396500000003</v>
      </c>
      <c r="O21" s="307">
        <v>92708.308999999994</v>
      </c>
      <c r="P21" s="307">
        <v>85944.517000000007</v>
      </c>
      <c r="Q21" s="307">
        <v>84423.134000000005</v>
      </c>
      <c r="R21" s="307">
        <v>89812.501999999993</v>
      </c>
      <c r="S21" s="307">
        <v>98277.895499999999</v>
      </c>
      <c r="T21" s="307">
        <v>104415.999</v>
      </c>
      <c r="U21" s="307">
        <v>113919.43700000001</v>
      </c>
      <c r="V21" s="307">
        <v>119038.236</v>
      </c>
      <c r="W21" s="307">
        <v>127625.9065</v>
      </c>
      <c r="X21" s="307">
        <v>134932.18900000001</v>
      </c>
      <c r="Y21" s="308">
        <v>134590.027</v>
      </c>
    </row>
    <row r="22" spans="1:25" s="87" customFormat="1" x14ac:dyDescent="0.25">
      <c r="A22" s="327" t="s">
        <v>164</v>
      </c>
      <c r="B22" s="311">
        <v>538.16250000000002</v>
      </c>
      <c r="C22" s="311">
        <v>495.88049999999998</v>
      </c>
      <c r="D22" s="311">
        <v>525.17550000000006</v>
      </c>
      <c r="E22" s="311">
        <v>790.83249999999998</v>
      </c>
      <c r="F22" s="311">
        <v>833.86149999999998</v>
      </c>
      <c r="G22" s="311">
        <v>1201.2184999999999</v>
      </c>
      <c r="H22" s="311">
        <v>2018.8325</v>
      </c>
      <c r="I22" s="311">
        <v>2418.0075000000002</v>
      </c>
      <c r="J22" s="311">
        <v>2854.5655000000002</v>
      </c>
      <c r="K22" s="311">
        <v>3433.0329999999999</v>
      </c>
      <c r="L22" s="311">
        <v>3953.8874999999998</v>
      </c>
      <c r="M22" s="311">
        <v>2738.8674999999998</v>
      </c>
      <c r="N22" s="311">
        <v>2388.4315000000001</v>
      </c>
      <c r="O22" s="311">
        <v>2022.1320000000001</v>
      </c>
      <c r="P22" s="311">
        <v>1889.8565000000001</v>
      </c>
      <c r="Q22" s="311">
        <v>2065.0844999999999</v>
      </c>
      <c r="R22" s="311">
        <v>2487.8820000000001</v>
      </c>
      <c r="S22" s="311">
        <v>2858.7745</v>
      </c>
      <c r="T22" s="311">
        <v>3354.7310000000002</v>
      </c>
      <c r="U22" s="311">
        <v>4169.6379999999999</v>
      </c>
      <c r="V22" s="311">
        <v>4685.0834999999997</v>
      </c>
      <c r="W22" s="311">
        <v>4209.5780000000004</v>
      </c>
      <c r="X22" s="311">
        <v>4196.2219999999998</v>
      </c>
      <c r="Y22" s="312">
        <v>4218.8190000000004</v>
      </c>
    </row>
    <row r="23" spans="1:25" s="87" customFormat="1" ht="15.75" thickBot="1" x14ac:dyDescent="0.3">
      <c r="A23" s="313" t="s">
        <v>165</v>
      </c>
      <c r="B23" s="314">
        <v>42783.161500000002</v>
      </c>
      <c r="C23" s="314">
        <v>43409.146500000003</v>
      </c>
      <c r="D23" s="314">
        <v>46644.175499999998</v>
      </c>
      <c r="E23" s="314">
        <v>50865.745999999999</v>
      </c>
      <c r="F23" s="314">
        <v>56876.5985</v>
      </c>
      <c r="G23" s="314">
        <v>63989.306499999999</v>
      </c>
      <c r="H23" s="314">
        <v>68968.488500000007</v>
      </c>
      <c r="I23" s="314">
        <v>73947.702499999999</v>
      </c>
      <c r="J23" s="314">
        <v>70160.726999999999</v>
      </c>
      <c r="K23" s="314">
        <v>82097.331999999995</v>
      </c>
      <c r="L23" s="314">
        <v>97623.532000000007</v>
      </c>
      <c r="M23" s="314">
        <v>104103.285</v>
      </c>
      <c r="N23" s="314">
        <v>100446.82799999999</v>
      </c>
      <c r="O23" s="314">
        <v>94730.441000000006</v>
      </c>
      <c r="P23" s="314">
        <v>87834.373500000002</v>
      </c>
      <c r="Q23" s="314">
        <v>86488.218500000003</v>
      </c>
      <c r="R23" s="314">
        <v>92300.384000000005</v>
      </c>
      <c r="S23" s="314">
        <v>101136.67</v>
      </c>
      <c r="T23" s="314">
        <v>107770.73</v>
      </c>
      <c r="U23" s="314">
        <v>118089.075</v>
      </c>
      <c r="V23" s="314">
        <v>123723.3195</v>
      </c>
      <c r="W23" s="314">
        <v>131835.48449999999</v>
      </c>
      <c r="X23" s="314">
        <v>139128.41099999999</v>
      </c>
      <c r="Y23" s="315">
        <v>138808.84599999999</v>
      </c>
    </row>
    <row r="24" spans="1:25" x14ac:dyDescent="0.25">
      <c r="C24" s="24"/>
      <c r="D24" s="24"/>
      <c r="E24" s="24"/>
      <c r="F24" s="24"/>
      <c r="G24" s="24"/>
      <c r="H24" s="24"/>
      <c r="I24" s="24"/>
      <c r="J24" s="24"/>
      <c r="K24" s="24"/>
      <c r="L24" s="24"/>
      <c r="M24" s="24"/>
      <c r="N24" s="24"/>
      <c r="O24" s="24"/>
      <c r="P24" s="24"/>
      <c r="Q24" s="24"/>
    </row>
    <row r="25" spans="1:25" x14ac:dyDescent="0.25">
      <c r="A25" s="318" t="s">
        <v>166</v>
      </c>
      <c r="C25" s="328"/>
      <c r="D25" s="328"/>
      <c r="E25" s="328"/>
      <c r="F25" s="328"/>
      <c r="G25" s="328"/>
      <c r="H25" s="328"/>
      <c r="I25" s="328"/>
      <c r="J25" s="328"/>
      <c r="K25" s="328"/>
      <c r="L25" s="328"/>
      <c r="M25" s="328"/>
      <c r="N25" s="328"/>
      <c r="O25" s="328"/>
      <c r="P25" s="328"/>
      <c r="Q25" s="328"/>
    </row>
    <row r="51" spans="15:24" ht="15.75" thickBot="1" x14ac:dyDescent="0.3">
      <c r="O51" s="563" t="s">
        <v>167</v>
      </c>
      <c r="P51" s="564"/>
      <c r="Q51" s="564"/>
      <c r="R51" s="564"/>
      <c r="S51" s="565"/>
    </row>
    <row r="52" spans="15:24" ht="15.75" thickBot="1" x14ac:dyDescent="0.3">
      <c r="O52" s="566" t="s">
        <v>163</v>
      </c>
      <c r="P52" s="567"/>
      <c r="Q52" s="567"/>
      <c r="R52" s="567"/>
      <c r="S52" s="568"/>
      <c r="X52" s="53" t="str">
        <f>CONCATENATE(O52, CHAR(10), " Last 10 Financial Years")</f>
        <v>Total Mining
 Last 10 Financial Years</v>
      </c>
    </row>
    <row r="53" spans="15:24" ht="0.2" customHeight="1" x14ac:dyDescent="0.25"/>
    <row r="54" spans="15:24" x14ac:dyDescent="0.25">
      <c r="O54" s="569" t="s">
        <v>168</v>
      </c>
      <c r="P54" s="569"/>
      <c r="Q54" s="569"/>
      <c r="R54" s="569"/>
      <c r="S54" s="569"/>
    </row>
    <row r="102" spans="14:23" s="320" customFormat="1" ht="11.25" x14ac:dyDescent="0.2">
      <c r="N102" s="320" t="str">
        <f>INDEX($B$8:$BD$8,1,MATCH(LARGE($B$2:$BC$2,10),$B$2:$BC$2,0))</f>
        <v>2015-16</v>
      </c>
      <c r="O102" s="320" t="str">
        <f>INDEX($B$8:$BD$8,1,MATCH(LARGE($B$2:$BC$2,9),$B$2:$BC$2,0))</f>
        <v>2016-17</v>
      </c>
      <c r="P102" s="320" t="str">
        <f>INDEX($B$8:$BD$8,1,MATCH(LARGE($B$2:$BC$2,8),$B$2:$BC$2,0))</f>
        <v>2017-18</v>
      </c>
      <c r="Q102" s="320" t="str">
        <f>INDEX($B$8:$BD$8,1,MATCH(LARGE($B$2:$BC$2,7),$B$2:$BC$2,0))</f>
        <v>2018-19</v>
      </c>
      <c r="R102" s="320" t="str">
        <f>INDEX($B$8:$BD$8,1,MATCH(LARGE($B$2:$BC$2,6),$B$2:$BC$2,0))</f>
        <v>2019-20</v>
      </c>
      <c r="S102" s="320" t="str">
        <f>INDEX($B$8:$BD$8,1,MATCH(LARGE($B$2:$BC$2,5),$B$2:$BC$2,0))</f>
        <v>2020-21</v>
      </c>
      <c r="T102" s="320" t="str">
        <f>INDEX($B$8:$BD$8,1,MATCH(LARGE($B$2:$BC$2,4),$B$2:$BC$2,0))</f>
        <v>2021-22</v>
      </c>
      <c r="U102" s="320" t="str">
        <f>INDEX($B$8:$BD$8,1,MATCH(LARGE($B$2:$BC$2,3),$B$2:$BC$2,0))</f>
        <v>2022-23</v>
      </c>
      <c r="V102" s="320" t="str">
        <f>INDEX($B$8:$BD$8,1,MATCH(LARGE($B$2:$BC$2,2),$B$2:$BC$2,0))</f>
        <v>2023-24</v>
      </c>
      <c r="W102" s="320" t="str">
        <f>INDEX($B$8:$BD$8,1,MATCH(LARGE($B$2:$BC$2,1),$B$2:$BC$2,0))</f>
        <v>2024-25</v>
      </c>
    </row>
    <row r="103" spans="14:23" s="320" customFormat="1" ht="11.25" x14ac:dyDescent="0.2">
      <c r="N103" s="320">
        <f ca="1">INDEX($B$1:$BC$1,1,MATCH(LARGE($B$2:$BC$2,10),$B$2:$BC$2,0))</f>
        <v>85944.517000000007</v>
      </c>
      <c r="O103" s="320">
        <f ca="1">INDEX($B$1:$BC$1,1,MATCH(LARGE($B$2:$BC$2,9),$B$2:$BC$2,0))</f>
        <v>84423.134000000005</v>
      </c>
      <c r="P103" s="320">
        <f ca="1">INDEX($B$1:$BC$1,1,MATCH(LARGE($B$2:$BC$2,8),$B$2:$BC$2,0))</f>
        <v>89812.501999999993</v>
      </c>
      <c r="Q103" s="320">
        <f ca="1">INDEX($B$1:$BC$1,1,MATCH(LARGE($B$2:$BC$2,7),$B$2:$BC$2,0))</f>
        <v>98277.895499999999</v>
      </c>
      <c r="R103" s="320">
        <f ca="1">INDEX($B$1:$BC$1,1,MATCH(LARGE($B$2:$BC$2,6),$B$2:$BC$2,0))</f>
        <v>104415.999</v>
      </c>
      <c r="S103" s="320">
        <f ca="1">INDEX($B$1:$BC$1,1,MATCH(LARGE($B$2:$BC$2,5),$B$2:$BC$2,0))</f>
        <v>113919.43700000001</v>
      </c>
      <c r="T103" s="320">
        <f ca="1">INDEX($B$1:$BC$1,1,MATCH(LARGE($B$2:$BC$2,4),$B$2:$BC$2,0))</f>
        <v>119038.236</v>
      </c>
      <c r="U103" s="320">
        <f ca="1">INDEX($B$1:$BC$1,1,MATCH(LARGE($B$2:$BC$2,3),$B$2:$BC$2,0))</f>
        <v>127625.9065</v>
      </c>
      <c r="V103" s="320">
        <f ca="1">INDEX($B$1:$BC$1,1,MATCH(LARGE($B$2:$BC$2,2),$B$2:$BC$2,0))</f>
        <v>134932.18900000001</v>
      </c>
      <c r="W103" s="320">
        <f ca="1">INDEX($B$1:$BC$1,1,MATCH(LARGE($B$2:$BC$2,1),$B$2:$BC$2,0))</f>
        <v>134590.027</v>
      </c>
    </row>
  </sheetData>
  <mergeCells count="3">
    <mergeCell ref="O51:S51"/>
    <mergeCell ref="O52:S52"/>
    <mergeCell ref="O54:S54"/>
  </mergeCells>
  <dataValidations xWindow="1589" yWindow="904" count="1">
    <dataValidation type="list" allowBlank="1" showInputMessage="1" showErrorMessage="1" promptTitle="Select a Commodity" prompt="Select a Commodity for graphical display, or total employment." sqref="O52:S52" xr:uid="{38EDCB4A-9B4E-412E-9B3A-9FE779A5ACAC}">
      <formula1>$A$9:$A$23</formula1>
    </dataValidation>
  </dataValidation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045EB-E044-4443-9D3D-F2538923BD39}">
  <sheetPr codeName="Sheet18"/>
  <dimension ref="A7:YW204"/>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50.7109375" customWidth="1"/>
    <col min="2" max="247" width="12.7109375" customWidth="1"/>
    <col min="248" max="248" width="12.7109375" style="87" customWidth="1"/>
    <col min="249" max="271" width="12.7109375" customWidth="1"/>
  </cols>
  <sheetData>
    <row r="7" spans="1:271" s="3" customFormat="1" ht="15.75" thickBot="1" x14ac:dyDescent="0.3">
      <c r="A7" s="88" t="s">
        <v>172</v>
      </c>
      <c r="IN7" s="87"/>
    </row>
    <row r="8" spans="1:271" x14ac:dyDescent="0.25">
      <c r="A8" s="297" t="s">
        <v>63</v>
      </c>
      <c r="B8" s="329">
        <v>36922</v>
      </c>
      <c r="C8" s="329">
        <v>36950</v>
      </c>
      <c r="D8" s="329">
        <v>36981</v>
      </c>
      <c r="E8" s="329">
        <v>37011</v>
      </c>
      <c r="F8" s="329">
        <v>37042</v>
      </c>
      <c r="G8" s="329">
        <v>37072</v>
      </c>
      <c r="H8" s="329">
        <v>37103</v>
      </c>
      <c r="I8" s="329">
        <v>37134</v>
      </c>
      <c r="J8" s="329">
        <v>37164</v>
      </c>
      <c r="K8" s="329">
        <v>37195</v>
      </c>
      <c r="L8" s="329">
        <v>37225</v>
      </c>
      <c r="M8" s="329">
        <v>37256</v>
      </c>
      <c r="N8" s="329">
        <v>37287</v>
      </c>
      <c r="O8" s="329">
        <v>37315</v>
      </c>
      <c r="P8" s="329">
        <v>37346</v>
      </c>
      <c r="Q8" s="329">
        <v>37376</v>
      </c>
      <c r="R8" s="329">
        <v>37407</v>
      </c>
      <c r="S8" s="329">
        <v>37437</v>
      </c>
      <c r="T8" s="329">
        <v>37468</v>
      </c>
      <c r="U8" s="329">
        <v>37499</v>
      </c>
      <c r="V8" s="329">
        <v>37529</v>
      </c>
      <c r="W8" s="329">
        <v>37560</v>
      </c>
      <c r="X8" s="329">
        <v>37590</v>
      </c>
      <c r="Y8" s="329">
        <v>37621</v>
      </c>
      <c r="Z8" s="329">
        <v>37652</v>
      </c>
      <c r="AA8" s="329">
        <v>37680</v>
      </c>
      <c r="AB8" s="329">
        <v>37711</v>
      </c>
      <c r="AC8" s="329">
        <v>37741</v>
      </c>
      <c r="AD8" s="329">
        <v>37772</v>
      </c>
      <c r="AE8" s="329">
        <v>37802</v>
      </c>
      <c r="AF8" s="329">
        <v>37833</v>
      </c>
      <c r="AG8" s="329">
        <v>37864</v>
      </c>
      <c r="AH8" s="329">
        <v>37894</v>
      </c>
      <c r="AI8" s="329">
        <v>37925</v>
      </c>
      <c r="AJ8" s="329">
        <v>37955</v>
      </c>
      <c r="AK8" s="329">
        <v>37986</v>
      </c>
      <c r="AL8" s="329">
        <v>38017</v>
      </c>
      <c r="AM8" s="329">
        <v>38046</v>
      </c>
      <c r="AN8" s="329">
        <v>38077</v>
      </c>
      <c r="AO8" s="329">
        <v>38107</v>
      </c>
      <c r="AP8" s="329">
        <v>38138</v>
      </c>
      <c r="AQ8" s="329">
        <v>38168</v>
      </c>
      <c r="AR8" s="329">
        <v>38199</v>
      </c>
      <c r="AS8" s="329">
        <v>38230</v>
      </c>
      <c r="AT8" s="329">
        <v>38260</v>
      </c>
      <c r="AU8" s="329">
        <v>38291</v>
      </c>
      <c r="AV8" s="329">
        <v>38321</v>
      </c>
      <c r="AW8" s="329">
        <v>38352</v>
      </c>
      <c r="AX8" s="329">
        <v>38383</v>
      </c>
      <c r="AY8" s="329">
        <v>38411</v>
      </c>
      <c r="AZ8" s="329">
        <v>38442</v>
      </c>
      <c r="BA8" s="329">
        <v>38472</v>
      </c>
      <c r="BB8" s="329">
        <v>38503</v>
      </c>
      <c r="BC8" s="329">
        <v>38533</v>
      </c>
      <c r="BD8" s="329">
        <v>38564</v>
      </c>
      <c r="BE8" s="329">
        <v>38595</v>
      </c>
      <c r="BF8" s="329">
        <v>38625</v>
      </c>
      <c r="BG8" s="329">
        <v>38656</v>
      </c>
      <c r="BH8" s="329">
        <v>38686</v>
      </c>
      <c r="BI8" s="329">
        <v>38717</v>
      </c>
      <c r="BJ8" s="329">
        <v>38748</v>
      </c>
      <c r="BK8" s="329">
        <v>38776</v>
      </c>
      <c r="BL8" s="329">
        <v>38807</v>
      </c>
      <c r="BM8" s="329">
        <v>38837</v>
      </c>
      <c r="BN8" s="329">
        <v>38868</v>
      </c>
      <c r="BO8" s="329">
        <v>38898</v>
      </c>
      <c r="BP8" s="329">
        <v>38929</v>
      </c>
      <c r="BQ8" s="329">
        <v>38960</v>
      </c>
      <c r="BR8" s="329">
        <v>38990</v>
      </c>
      <c r="BS8" s="329">
        <v>39021</v>
      </c>
      <c r="BT8" s="329">
        <v>39051</v>
      </c>
      <c r="BU8" s="329">
        <v>39082</v>
      </c>
      <c r="BV8" s="329">
        <v>39113</v>
      </c>
      <c r="BW8" s="329">
        <v>39141</v>
      </c>
      <c r="BX8" s="329">
        <v>39172</v>
      </c>
      <c r="BY8" s="329">
        <v>39202</v>
      </c>
      <c r="BZ8" s="329">
        <v>39233</v>
      </c>
      <c r="CA8" s="329">
        <v>39263</v>
      </c>
      <c r="CB8" s="329">
        <v>39294</v>
      </c>
      <c r="CC8" s="329">
        <v>39325</v>
      </c>
      <c r="CD8" s="329">
        <v>39355</v>
      </c>
      <c r="CE8" s="329">
        <v>39386</v>
      </c>
      <c r="CF8" s="330">
        <v>39416</v>
      </c>
      <c r="CG8" s="330">
        <v>39447</v>
      </c>
      <c r="CH8" s="330">
        <v>39478</v>
      </c>
      <c r="CI8" s="330">
        <v>39507</v>
      </c>
      <c r="CJ8" s="330">
        <v>39538</v>
      </c>
      <c r="CK8" s="330">
        <v>39568</v>
      </c>
      <c r="CL8" s="330">
        <v>39599</v>
      </c>
      <c r="CM8" s="330">
        <v>39629</v>
      </c>
      <c r="CN8" s="330">
        <v>39660</v>
      </c>
      <c r="CO8" s="330">
        <v>39691</v>
      </c>
      <c r="CP8" s="330">
        <v>39721</v>
      </c>
      <c r="CQ8" s="330">
        <v>39752</v>
      </c>
      <c r="CR8" s="330">
        <v>39782</v>
      </c>
      <c r="CS8" s="330">
        <v>39813</v>
      </c>
      <c r="CT8" s="330">
        <v>39844</v>
      </c>
      <c r="CU8" s="330">
        <v>39872</v>
      </c>
      <c r="CV8" s="330">
        <v>39903</v>
      </c>
      <c r="CW8" s="330">
        <v>39933</v>
      </c>
      <c r="CX8" s="330">
        <v>39964</v>
      </c>
      <c r="CY8" s="330">
        <v>39994</v>
      </c>
      <c r="CZ8" s="330">
        <v>40025</v>
      </c>
      <c r="DA8" s="330">
        <v>40056</v>
      </c>
      <c r="DB8" s="330">
        <v>40086</v>
      </c>
      <c r="DC8" s="330">
        <v>40117</v>
      </c>
      <c r="DD8" s="330">
        <v>40147</v>
      </c>
      <c r="DE8" s="330">
        <v>40178</v>
      </c>
      <c r="DF8" s="330">
        <v>40209</v>
      </c>
      <c r="DG8" s="330">
        <v>40237</v>
      </c>
      <c r="DH8" s="330">
        <v>40268</v>
      </c>
      <c r="DI8" s="330">
        <v>40298</v>
      </c>
      <c r="DJ8" s="330">
        <v>40329</v>
      </c>
      <c r="DK8" s="330">
        <v>40359</v>
      </c>
      <c r="DL8" s="330">
        <v>40390</v>
      </c>
      <c r="DM8" s="330">
        <v>40421</v>
      </c>
      <c r="DN8" s="330">
        <v>40451</v>
      </c>
      <c r="DO8" s="330">
        <v>40482</v>
      </c>
      <c r="DP8" s="330">
        <v>40512</v>
      </c>
      <c r="DQ8" s="330">
        <v>40543</v>
      </c>
      <c r="DR8" s="330">
        <v>40574</v>
      </c>
      <c r="DS8" s="330">
        <v>40602</v>
      </c>
      <c r="DT8" s="330">
        <v>40633</v>
      </c>
      <c r="DU8" s="330">
        <v>40663</v>
      </c>
      <c r="DV8" s="330">
        <v>40694</v>
      </c>
      <c r="DW8" s="330">
        <v>40724</v>
      </c>
      <c r="DX8" s="330">
        <v>40755</v>
      </c>
      <c r="DY8" s="330">
        <v>40786</v>
      </c>
      <c r="DZ8" s="330">
        <v>40816</v>
      </c>
      <c r="EA8" s="330">
        <v>40847</v>
      </c>
      <c r="EB8" s="330">
        <v>40877</v>
      </c>
      <c r="EC8" s="330">
        <v>40908</v>
      </c>
      <c r="ED8" s="330">
        <v>40939</v>
      </c>
      <c r="EE8" s="330">
        <v>40968</v>
      </c>
      <c r="EF8" s="330">
        <v>40999</v>
      </c>
      <c r="EG8" s="330">
        <v>41029</v>
      </c>
      <c r="EH8" s="330">
        <v>41060</v>
      </c>
      <c r="EI8" s="330">
        <v>41090</v>
      </c>
      <c r="EJ8" s="330">
        <v>41121</v>
      </c>
      <c r="EK8" s="330">
        <v>41152</v>
      </c>
      <c r="EL8" s="330">
        <v>41182</v>
      </c>
      <c r="EM8" s="330">
        <v>41213</v>
      </c>
      <c r="EN8" s="330">
        <v>41243</v>
      </c>
      <c r="EO8" s="330">
        <v>41274</v>
      </c>
      <c r="EP8" s="330">
        <v>41305</v>
      </c>
      <c r="EQ8" s="330">
        <v>41333</v>
      </c>
      <c r="ER8" s="330">
        <v>41364</v>
      </c>
      <c r="ES8" s="330">
        <v>41394</v>
      </c>
      <c r="ET8" s="330">
        <v>41425</v>
      </c>
      <c r="EU8" s="330">
        <v>41455</v>
      </c>
      <c r="EV8" s="330">
        <v>41486</v>
      </c>
      <c r="EW8" s="330">
        <v>41517</v>
      </c>
      <c r="EX8" s="330">
        <v>41547</v>
      </c>
      <c r="EY8" s="330">
        <v>41578</v>
      </c>
      <c r="EZ8" s="330">
        <v>41608</v>
      </c>
      <c r="FA8" s="330">
        <v>41639</v>
      </c>
      <c r="FB8" s="330">
        <v>41670</v>
      </c>
      <c r="FC8" s="330">
        <v>41698</v>
      </c>
      <c r="FD8" s="330">
        <v>41729</v>
      </c>
      <c r="FE8" s="330">
        <v>41759</v>
      </c>
      <c r="FF8" s="330">
        <v>41790</v>
      </c>
      <c r="FG8" s="330">
        <v>41820</v>
      </c>
      <c r="FH8" s="330">
        <v>41851</v>
      </c>
      <c r="FI8" s="330">
        <v>41882</v>
      </c>
      <c r="FJ8" s="330">
        <v>41912</v>
      </c>
      <c r="FK8" s="330">
        <v>41943</v>
      </c>
      <c r="FL8" s="330">
        <v>41973</v>
      </c>
      <c r="FM8" s="330">
        <v>42004</v>
      </c>
      <c r="FN8" s="330">
        <v>42035</v>
      </c>
      <c r="FO8" s="330">
        <v>42063</v>
      </c>
      <c r="FP8" s="330">
        <v>42094</v>
      </c>
      <c r="FQ8" s="330">
        <v>42124</v>
      </c>
      <c r="FR8" s="330">
        <v>42155</v>
      </c>
      <c r="FS8" s="330">
        <v>42185</v>
      </c>
      <c r="FT8" s="330">
        <v>42216</v>
      </c>
      <c r="FU8" s="330">
        <v>42247</v>
      </c>
      <c r="FV8" s="330">
        <v>42277</v>
      </c>
      <c r="FW8" s="330">
        <v>42308</v>
      </c>
      <c r="FX8" s="330">
        <v>42338</v>
      </c>
      <c r="FY8" s="330">
        <v>42369</v>
      </c>
      <c r="FZ8" s="330">
        <v>42400</v>
      </c>
      <c r="GA8" s="330">
        <v>42429</v>
      </c>
      <c r="GB8" s="330">
        <v>42460</v>
      </c>
      <c r="GC8" s="330">
        <v>42490</v>
      </c>
      <c r="GD8" s="330">
        <v>42521</v>
      </c>
      <c r="GE8" s="330">
        <v>42551</v>
      </c>
      <c r="GF8" s="330">
        <v>42582</v>
      </c>
      <c r="GG8" s="330">
        <v>42613</v>
      </c>
      <c r="GH8" s="330">
        <v>42643</v>
      </c>
      <c r="GI8" s="330">
        <v>42674</v>
      </c>
      <c r="GJ8" s="330">
        <v>42704</v>
      </c>
      <c r="GK8" s="330">
        <v>42735</v>
      </c>
      <c r="GL8" s="330">
        <v>42766</v>
      </c>
      <c r="GM8" s="330">
        <v>42794</v>
      </c>
      <c r="GN8" s="330">
        <v>42825</v>
      </c>
      <c r="GO8" s="330">
        <v>42855</v>
      </c>
      <c r="GP8" s="330">
        <v>42886</v>
      </c>
      <c r="GQ8" s="330">
        <v>42916</v>
      </c>
      <c r="GR8" s="330">
        <v>42947</v>
      </c>
      <c r="GS8" s="330">
        <v>42978</v>
      </c>
      <c r="GT8" s="330">
        <v>43008</v>
      </c>
      <c r="GU8" s="330">
        <v>43039</v>
      </c>
      <c r="GV8" s="330">
        <v>43069</v>
      </c>
      <c r="GW8" s="330">
        <v>43100</v>
      </c>
      <c r="GX8" s="330">
        <v>43131</v>
      </c>
      <c r="GY8" s="330">
        <v>43159</v>
      </c>
      <c r="GZ8" s="330">
        <v>43190</v>
      </c>
      <c r="HA8" s="330">
        <v>43220</v>
      </c>
      <c r="HB8" s="330">
        <v>43251</v>
      </c>
      <c r="HC8" s="330">
        <v>43281</v>
      </c>
      <c r="HD8" s="330">
        <v>43312</v>
      </c>
      <c r="HE8" s="330">
        <v>43343</v>
      </c>
      <c r="HF8" s="330">
        <v>43373</v>
      </c>
      <c r="HG8" s="330">
        <v>43404</v>
      </c>
      <c r="HH8" s="330">
        <v>43434</v>
      </c>
      <c r="HI8" s="330">
        <v>43465</v>
      </c>
      <c r="HJ8" s="330">
        <v>43496</v>
      </c>
      <c r="HK8" s="330">
        <v>43524</v>
      </c>
      <c r="HL8" s="330">
        <v>43555</v>
      </c>
      <c r="HM8" s="330">
        <v>43585</v>
      </c>
      <c r="HN8" s="330">
        <v>43616</v>
      </c>
      <c r="HO8" s="330">
        <v>43646</v>
      </c>
      <c r="HP8" s="330">
        <v>43677</v>
      </c>
      <c r="HQ8" s="330">
        <v>43708</v>
      </c>
      <c r="HR8" s="330">
        <v>43738</v>
      </c>
      <c r="HS8" s="330">
        <v>43769</v>
      </c>
      <c r="HT8" s="330">
        <v>43799</v>
      </c>
      <c r="HU8" s="330">
        <v>43830</v>
      </c>
      <c r="HV8" s="330">
        <v>43861</v>
      </c>
      <c r="HW8" s="330">
        <v>43890</v>
      </c>
      <c r="HX8" s="330">
        <v>43921</v>
      </c>
      <c r="HY8" s="330">
        <v>43951</v>
      </c>
      <c r="HZ8" s="330">
        <v>43982</v>
      </c>
      <c r="IA8" s="330">
        <v>44012</v>
      </c>
      <c r="IB8" s="330">
        <v>44043</v>
      </c>
      <c r="IC8" s="330">
        <v>44074</v>
      </c>
      <c r="ID8" s="330">
        <v>44104</v>
      </c>
      <c r="IE8" s="330">
        <v>44135</v>
      </c>
      <c r="IF8" s="330">
        <v>44165</v>
      </c>
      <c r="IG8" s="330">
        <v>44196</v>
      </c>
      <c r="IH8" s="330">
        <v>44227</v>
      </c>
      <c r="II8" s="330">
        <v>44255</v>
      </c>
      <c r="IJ8" s="330">
        <v>44286</v>
      </c>
      <c r="IK8" s="330">
        <v>44316</v>
      </c>
      <c r="IL8" s="330">
        <v>44347</v>
      </c>
      <c r="IM8" s="330">
        <v>44377</v>
      </c>
      <c r="IN8" s="330">
        <v>44408</v>
      </c>
      <c r="IO8" s="330">
        <v>44439</v>
      </c>
      <c r="IP8" s="330">
        <v>44469</v>
      </c>
      <c r="IQ8" s="330">
        <v>44500</v>
      </c>
      <c r="IR8" s="330">
        <v>44530</v>
      </c>
      <c r="IS8" s="330">
        <v>44561</v>
      </c>
      <c r="IT8" s="330">
        <v>44592</v>
      </c>
      <c r="IU8" s="330">
        <v>44620</v>
      </c>
      <c r="IV8" s="330">
        <v>44651</v>
      </c>
      <c r="IW8" s="331">
        <v>44742</v>
      </c>
      <c r="IX8" s="331">
        <v>44834</v>
      </c>
      <c r="IY8" s="331">
        <v>44926</v>
      </c>
      <c r="IZ8" s="331">
        <v>45016</v>
      </c>
      <c r="JA8" s="331">
        <v>45107</v>
      </c>
      <c r="JB8" s="331">
        <v>45199</v>
      </c>
      <c r="JC8" s="331">
        <v>45291</v>
      </c>
      <c r="JD8" s="331">
        <v>45382</v>
      </c>
      <c r="JE8" s="331">
        <v>45473</v>
      </c>
      <c r="JF8" s="331">
        <v>45565</v>
      </c>
      <c r="JG8" s="331">
        <v>45657</v>
      </c>
      <c r="JH8" s="331">
        <v>45747</v>
      </c>
      <c r="JI8" s="331">
        <v>45838</v>
      </c>
      <c r="JJ8" s="331">
        <v>45930</v>
      </c>
      <c r="JK8" s="332">
        <v>46022</v>
      </c>
    </row>
    <row r="9" spans="1:271" x14ac:dyDescent="0.25">
      <c r="A9" s="303" t="s">
        <v>66</v>
      </c>
      <c r="B9" s="301">
        <v>4530.8580000000002</v>
      </c>
      <c r="C9" s="301">
        <v>4546.2719999999999</v>
      </c>
      <c r="D9" s="301">
        <v>4539.7259999999997</v>
      </c>
      <c r="E9" s="301">
        <v>4546.3979999999992</v>
      </c>
      <c r="F9" s="301">
        <v>4615.4279999999999</v>
      </c>
      <c r="G9" s="301">
        <v>4588.7460000000001</v>
      </c>
      <c r="H9" s="301">
        <v>4615.4519999999993</v>
      </c>
      <c r="I9" s="301">
        <v>4812.7080000000005</v>
      </c>
      <c r="J9" s="301">
        <v>4628.5680000000002</v>
      </c>
      <c r="K9" s="301">
        <v>4675.74</v>
      </c>
      <c r="L9" s="301">
        <v>4618.2000000000007</v>
      </c>
      <c r="M9" s="301">
        <v>4978.2000000000007</v>
      </c>
      <c r="N9" s="301">
        <v>4662.93</v>
      </c>
      <c r="O9" s="301">
        <v>4589.3520000000008</v>
      </c>
      <c r="P9" s="301">
        <v>4679.2380000000003</v>
      </c>
      <c r="Q9" s="301">
        <v>4647.0599999999995</v>
      </c>
      <c r="R9" s="301">
        <v>4732.9319999999998</v>
      </c>
      <c r="S9" s="301">
        <v>4708.1460000000006</v>
      </c>
      <c r="T9" s="301">
        <v>4748.1239999999998</v>
      </c>
      <c r="U9" s="301">
        <v>4759.3019999999997</v>
      </c>
      <c r="V9" s="301">
        <v>4617.2640000000001</v>
      </c>
      <c r="W9" s="301">
        <v>4768.5240000000003</v>
      </c>
      <c r="X9" s="301">
        <v>4625.3760000000002</v>
      </c>
      <c r="Y9" s="301">
        <v>4699.8360000000002</v>
      </c>
      <c r="Z9" s="301">
        <v>4712.6819999999998</v>
      </c>
      <c r="AA9" s="301">
        <v>4571.1660000000002</v>
      </c>
      <c r="AB9" s="301">
        <v>4627.9800000000005</v>
      </c>
      <c r="AC9" s="301">
        <v>4634.268</v>
      </c>
      <c r="AD9" s="301">
        <v>4627.6440000000002</v>
      </c>
      <c r="AE9" s="301">
        <v>4615.3320000000003</v>
      </c>
      <c r="AF9" s="301">
        <v>4653.2759999999998</v>
      </c>
      <c r="AG9" s="301">
        <v>4847.5140000000001</v>
      </c>
      <c r="AH9" s="301">
        <v>4685.8620000000001</v>
      </c>
      <c r="AI9" s="301">
        <v>4655.5560000000005</v>
      </c>
      <c r="AJ9" s="301">
        <v>4583.0460000000003</v>
      </c>
      <c r="AK9" s="301">
        <v>4628.0280000000002</v>
      </c>
      <c r="AL9" s="301">
        <v>4432.53</v>
      </c>
      <c r="AM9" s="301">
        <v>4419.5219999999999</v>
      </c>
      <c r="AN9" s="301">
        <v>4535.4480000000003</v>
      </c>
      <c r="AO9" s="301">
        <v>4580.9400000000005</v>
      </c>
      <c r="AP9" s="301">
        <v>4596.5039999999999</v>
      </c>
      <c r="AQ9" s="301">
        <v>4648.1639999999998</v>
      </c>
      <c r="AR9" s="301">
        <v>4688.4960000000001</v>
      </c>
      <c r="AS9" s="301">
        <v>4819.4639999999999</v>
      </c>
      <c r="AT9" s="301">
        <v>4670.3820000000005</v>
      </c>
      <c r="AU9" s="301">
        <v>4659.8879999999999</v>
      </c>
      <c r="AV9" s="301">
        <v>4710.4859999999999</v>
      </c>
      <c r="AW9" s="301">
        <v>4781.268</v>
      </c>
      <c r="AX9" s="301">
        <v>4794.2640000000001</v>
      </c>
      <c r="AY9" s="301">
        <v>4700.4179999999997</v>
      </c>
      <c r="AZ9" s="301">
        <v>4819.3500000000004</v>
      </c>
      <c r="BA9" s="301">
        <v>4845.6779999999999</v>
      </c>
      <c r="BB9" s="301">
        <v>4967.1419999999998</v>
      </c>
      <c r="BC9" s="301">
        <v>4983.8879999999999</v>
      </c>
      <c r="BD9" s="301">
        <v>5068.9319999999998</v>
      </c>
      <c r="BE9" s="301">
        <v>5092.9139999999998</v>
      </c>
      <c r="BF9" s="301">
        <v>5046.0540000000001</v>
      </c>
      <c r="BG9" s="301">
        <v>5074.6020000000008</v>
      </c>
      <c r="BH9" s="301">
        <v>5020.866</v>
      </c>
      <c r="BI9" s="301">
        <v>5108.3580000000002</v>
      </c>
      <c r="BJ9" s="301">
        <v>5143.1460000000006</v>
      </c>
      <c r="BK9" s="301">
        <v>4985.058</v>
      </c>
      <c r="BL9" s="301">
        <v>5130.576</v>
      </c>
      <c r="BM9" s="301">
        <v>5042.3879999999999</v>
      </c>
      <c r="BN9" s="301">
        <v>5300.232</v>
      </c>
      <c r="BO9" s="301">
        <v>5247.6840000000002</v>
      </c>
      <c r="BP9" s="301">
        <v>5465.28</v>
      </c>
      <c r="BQ9" s="301">
        <v>5444.9940000000006</v>
      </c>
      <c r="BR9" s="301">
        <v>5308.0380000000005</v>
      </c>
      <c r="BS9" s="301">
        <v>5376.768</v>
      </c>
      <c r="BT9" s="301">
        <v>5321.88</v>
      </c>
      <c r="BU9" s="301">
        <v>5322.1859999999997</v>
      </c>
      <c r="BV9" s="301">
        <v>5278.152</v>
      </c>
      <c r="BW9" s="301">
        <v>5231.04</v>
      </c>
      <c r="BX9" s="301">
        <v>5409.768</v>
      </c>
      <c r="BY9" s="301">
        <v>5374.3140000000003</v>
      </c>
      <c r="BZ9" s="301">
        <v>5465.7840000000006</v>
      </c>
      <c r="CA9" s="301">
        <v>5332.08</v>
      </c>
      <c r="CB9" s="301">
        <v>5456.4359999999997</v>
      </c>
      <c r="CC9" s="301">
        <v>5520.3119999999999</v>
      </c>
      <c r="CD9" s="301">
        <v>5494.7759999999998</v>
      </c>
      <c r="CE9" s="301">
        <v>5588.8559999999998</v>
      </c>
      <c r="CF9" s="301">
        <v>5569.7699999999995</v>
      </c>
      <c r="CG9" s="301">
        <v>5592.96</v>
      </c>
      <c r="CH9" s="301">
        <v>5535.5280000000002</v>
      </c>
      <c r="CI9" s="301">
        <v>5459.9519999999993</v>
      </c>
      <c r="CJ9" s="301">
        <v>5291.8979999999992</v>
      </c>
      <c r="CK9" s="301">
        <v>5365.7159999999994</v>
      </c>
      <c r="CL9" s="301">
        <v>5404.482</v>
      </c>
      <c r="CM9" s="301">
        <v>5303.7060000000001</v>
      </c>
      <c r="CN9" s="301">
        <v>5424.8879999999999</v>
      </c>
      <c r="CO9" s="301">
        <v>5383.62</v>
      </c>
      <c r="CP9" s="301">
        <v>5320.6020000000008</v>
      </c>
      <c r="CQ9" s="301">
        <v>5408.7000000000007</v>
      </c>
      <c r="CR9" s="301">
        <v>5277.0720000000001</v>
      </c>
      <c r="CS9" s="301">
        <v>5274.3180000000002</v>
      </c>
      <c r="CT9" s="301">
        <v>5250.384</v>
      </c>
      <c r="CU9" s="301">
        <v>5175.7259999999997</v>
      </c>
      <c r="CV9" s="301">
        <v>5304.7740000000003</v>
      </c>
      <c r="CW9" s="301">
        <v>5177.3339999999998</v>
      </c>
      <c r="CX9" s="301">
        <v>5318.4</v>
      </c>
      <c r="CY9" s="301">
        <v>5320.5119999999997</v>
      </c>
      <c r="CZ9" s="301">
        <v>5370.09</v>
      </c>
      <c r="DA9" s="301">
        <v>5334.192</v>
      </c>
      <c r="DB9" s="301">
        <v>5321.43</v>
      </c>
      <c r="DC9" s="301">
        <v>5310.09</v>
      </c>
      <c r="DD9" s="301">
        <v>5352.1679999999997</v>
      </c>
      <c r="DE9" s="301">
        <v>5302.8119999999999</v>
      </c>
      <c r="DF9" s="301">
        <v>5227.5480000000007</v>
      </c>
      <c r="DG9" s="301">
        <v>5339.6939999999995</v>
      </c>
      <c r="DH9" s="301">
        <v>5467.1819999999998</v>
      </c>
      <c r="DI9" s="301">
        <v>5592.7019999999993</v>
      </c>
      <c r="DJ9" s="301">
        <v>5396.8679999999995</v>
      </c>
      <c r="DK9" s="301">
        <v>5369.7539999999999</v>
      </c>
      <c r="DL9" s="301">
        <v>5294.7719999999999</v>
      </c>
      <c r="DM9" s="301">
        <v>5286.8159999999998</v>
      </c>
      <c r="DN9" s="301">
        <v>5310.9179999999997</v>
      </c>
      <c r="DO9" s="301">
        <v>5348.2259999999997</v>
      </c>
      <c r="DP9" s="301">
        <v>5453.1660000000002</v>
      </c>
      <c r="DQ9" s="301">
        <v>5447.8739999999998</v>
      </c>
      <c r="DR9" s="301">
        <v>5280.2939999999999</v>
      </c>
      <c r="DS9" s="301">
        <v>5461.0439999999999</v>
      </c>
      <c r="DT9" s="301">
        <v>5651.3280000000004</v>
      </c>
      <c r="DU9" s="301">
        <v>5396.634</v>
      </c>
      <c r="DV9" s="301">
        <v>5743.5839999999998</v>
      </c>
      <c r="DW9" s="301">
        <v>5483.9459999999999</v>
      </c>
      <c r="DX9" s="301">
        <v>5507.49</v>
      </c>
      <c r="DY9" s="301">
        <v>5638.2539999999999</v>
      </c>
      <c r="DZ9" s="301">
        <v>5545.9380000000001</v>
      </c>
      <c r="EA9" s="301">
        <v>5712.72</v>
      </c>
      <c r="EB9" s="301">
        <v>5728.0560000000005</v>
      </c>
      <c r="EC9" s="301">
        <v>5754.1080000000002</v>
      </c>
      <c r="ED9" s="301">
        <v>5131.1819999999998</v>
      </c>
      <c r="EE9" s="301">
        <v>5358.2820000000002</v>
      </c>
      <c r="EF9" s="301">
        <v>5371.0380000000005</v>
      </c>
      <c r="EG9" s="301">
        <v>4998.3119999999999</v>
      </c>
      <c r="EH9" s="301">
        <v>5275.0140000000001</v>
      </c>
      <c r="EI9" s="301">
        <v>4940.91</v>
      </c>
      <c r="EJ9" s="301">
        <v>4802.442</v>
      </c>
      <c r="EK9" s="301">
        <v>4885.1460000000006</v>
      </c>
      <c r="EL9" s="301">
        <v>4712.7780000000002</v>
      </c>
      <c r="EM9" s="301">
        <v>4694.0219999999999</v>
      </c>
      <c r="EN9" s="301">
        <v>4692.1859999999997</v>
      </c>
      <c r="EO9" s="301">
        <v>4591.4219999999996</v>
      </c>
      <c r="EP9" s="301">
        <v>4571.6880000000001</v>
      </c>
      <c r="EQ9" s="301">
        <v>4821.0720000000001</v>
      </c>
      <c r="ER9" s="301">
        <v>4770.09</v>
      </c>
      <c r="ES9" s="301">
        <v>4802.634</v>
      </c>
      <c r="ET9" s="301">
        <v>4902.8940000000002</v>
      </c>
      <c r="EU9" s="301">
        <v>4829.7359999999999</v>
      </c>
      <c r="EV9" s="301">
        <v>4996.5240000000003</v>
      </c>
      <c r="EW9" s="301">
        <v>4866.2579999999998</v>
      </c>
      <c r="EX9" s="301">
        <v>4890.9480000000003</v>
      </c>
      <c r="EY9" s="301">
        <v>5170.5119999999997</v>
      </c>
      <c r="EZ9" s="301">
        <v>5018.7060000000001</v>
      </c>
      <c r="FA9" s="301">
        <v>4883.3520000000008</v>
      </c>
      <c r="FB9" s="301">
        <v>4837.4459999999999</v>
      </c>
      <c r="FC9" s="301">
        <v>4988.0519999999997</v>
      </c>
      <c r="FD9" s="301">
        <v>5006.3099999999995</v>
      </c>
      <c r="FE9" s="301">
        <v>4757.7479999999996</v>
      </c>
      <c r="FF9" s="301">
        <v>4927.3379999999997</v>
      </c>
      <c r="FG9" s="301">
        <v>4796.0940000000001</v>
      </c>
      <c r="FH9" s="301">
        <v>4839.2159999999994</v>
      </c>
      <c r="FI9" s="301">
        <v>4744.1220000000003</v>
      </c>
      <c r="FJ9" s="301">
        <v>4793.076</v>
      </c>
      <c r="FK9" s="301">
        <v>4877.8440000000001</v>
      </c>
      <c r="FL9" s="301">
        <v>4834.4400000000005</v>
      </c>
      <c r="FM9" s="301">
        <v>4772.1959999999999</v>
      </c>
      <c r="FN9" s="301">
        <v>4563.4800000000005</v>
      </c>
      <c r="FO9" s="301">
        <v>4806.1080000000002</v>
      </c>
      <c r="FP9" s="301">
        <v>4891.3019999999997</v>
      </c>
      <c r="FQ9" s="301">
        <v>4537.26</v>
      </c>
      <c r="FR9" s="301">
        <v>4747.0140000000001</v>
      </c>
      <c r="FS9" s="301">
        <v>4725.03</v>
      </c>
      <c r="FT9" s="301">
        <v>4673.6099999999997</v>
      </c>
      <c r="FU9" s="301">
        <v>4738.4519999999993</v>
      </c>
      <c r="FV9" s="301">
        <v>4641.1859999999997</v>
      </c>
      <c r="FW9" s="301">
        <v>4671.2759999999998</v>
      </c>
      <c r="FX9" s="301">
        <v>5054.8979999999992</v>
      </c>
      <c r="FY9" s="301">
        <v>4519.9139999999998</v>
      </c>
      <c r="FZ9" s="301">
        <v>4370.9459999999999</v>
      </c>
      <c r="GA9" s="301">
        <v>4781.79</v>
      </c>
      <c r="GB9" s="301">
        <v>4347.4260000000004</v>
      </c>
      <c r="GC9" s="301">
        <v>4285.6320000000005</v>
      </c>
      <c r="GD9" s="301">
        <v>4514.4780000000001</v>
      </c>
      <c r="GE9" s="301">
        <v>4359.2640000000001</v>
      </c>
      <c r="GF9" s="301">
        <v>4477.8420000000006</v>
      </c>
      <c r="GG9" s="301">
        <v>4648.9800000000005</v>
      </c>
      <c r="GH9" s="301">
        <v>3974.6039999999998</v>
      </c>
      <c r="GI9" s="301">
        <v>4498.4400000000005</v>
      </c>
      <c r="GJ9" s="301">
        <v>4468.866</v>
      </c>
      <c r="GK9" s="301">
        <v>4227.348</v>
      </c>
      <c r="GL9" s="301">
        <v>4181.7420000000002</v>
      </c>
      <c r="GM9" s="301">
        <v>4399.2539999999999</v>
      </c>
      <c r="GN9" s="301">
        <v>4415.43</v>
      </c>
      <c r="GO9" s="301">
        <v>4067.3940000000002</v>
      </c>
      <c r="GP9" s="301">
        <v>4467.6360000000004</v>
      </c>
      <c r="GQ9" s="301">
        <v>4283.634</v>
      </c>
      <c r="GR9" s="301">
        <v>4282.9800000000005</v>
      </c>
      <c r="GS9" s="301">
        <v>4413.2820000000002</v>
      </c>
      <c r="GT9" s="301">
        <v>4464.0599999999995</v>
      </c>
      <c r="GU9" s="301">
        <v>4343.7240000000002</v>
      </c>
      <c r="GV9" s="301">
        <v>4548.4800000000005</v>
      </c>
      <c r="GW9" s="301">
        <v>4187.4840000000004</v>
      </c>
      <c r="GX9" s="301">
        <v>4899.6900000000005</v>
      </c>
      <c r="GY9" s="301">
        <v>4195.4219999999996</v>
      </c>
      <c r="GZ9" s="301">
        <v>3985.9800000000005</v>
      </c>
      <c r="HA9" s="301">
        <v>4076.634</v>
      </c>
      <c r="HB9" s="301">
        <v>4144.4940000000006</v>
      </c>
      <c r="HC9" s="301">
        <v>4497.3599999999997</v>
      </c>
      <c r="HD9" s="301">
        <v>4543.62</v>
      </c>
      <c r="HE9" s="301">
        <v>3725.31</v>
      </c>
      <c r="HF9" s="301">
        <v>3209.4120000000003</v>
      </c>
      <c r="HG9" s="301">
        <v>4186.098</v>
      </c>
      <c r="HH9" s="301">
        <v>4295.3580000000002</v>
      </c>
      <c r="HI9" s="301">
        <v>4885.4580000000005</v>
      </c>
      <c r="HJ9" s="301">
        <v>4087.518</v>
      </c>
      <c r="HK9" s="301">
        <v>4187.82</v>
      </c>
      <c r="HL9" s="301">
        <v>4284.51</v>
      </c>
      <c r="HM9" s="301">
        <v>4051.08</v>
      </c>
      <c r="HN9" s="301">
        <v>4401.3180000000002</v>
      </c>
      <c r="HO9" s="301">
        <v>5435.5739999999996</v>
      </c>
      <c r="HP9" s="333">
        <v>4303.7759999999998</v>
      </c>
      <c r="HQ9" s="333">
        <v>4271.8919999999998</v>
      </c>
      <c r="HR9" s="333">
        <v>4386.03</v>
      </c>
      <c r="HS9" s="333">
        <v>4307.7659999999996</v>
      </c>
      <c r="HT9" s="333">
        <v>4347.1620000000003</v>
      </c>
      <c r="HU9" s="333">
        <v>5098.098</v>
      </c>
      <c r="HV9" s="301">
        <v>4457.0460000000003</v>
      </c>
      <c r="HW9" s="301">
        <v>4474.5119999999997</v>
      </c>
      <c r="HX9" s="301">
        <v>4400.5320000000002</v>
      </c>
      <c r="HY9" s="301">
        <v>3672.4979999999996</v>
      </c>
      <c r="HZ9" s="301">
        <v>4168.3019999999997</v>
      </c>
      <c r="IA9" s="301">
        <v>4356.2039999999997</v>
      </c>
      <c r="IB9" s="301">
        <v>4600.3559999999998</v>
      </c>
      <c r="IC9" s="301">
        <v>4446.3599999999997</v>
      </c>
      <c r="ID9" s="301">
        <v>4419.402</v>
      </c>
      <c r="IE9" s="301">
        <v>4487.2259999999997</v>
      </c>
      <c r="IF9" s="301">
        <v>4410.0959999999995</v>
      </c>
      <c r="IG9" s="301">
        <v>4206.2939999999999</v>
      </c>
      <c r="IH9" s="301">
        <v>4076.5920000000001</v>
      </c>
      <c r="II9" s="301">
        <v>3950.076</v>
      </c>
      <c r="IJ9" s="301">
        <v>4690.2179999999998</v>
      </c>
      <c r="IK9" s="301">
        <v>4056.0119999999997</v>
      </c>
      <c r="IL9" s="301">
        <v>4431.2759999999998</v>
      </c>
      <c r="IM9" s="301">
        <v>4256.982</v>
      </c>
      <c r="IN9" s="333">
        <v>4380.2640000000001</v>
      </c>
      <c r="IO9" s="333">
        <v>4443.3119999999999</v>
      </c>
      <c r="IP9" s="333">
        <v>4000.9139999999998</v>
      </c>
      <c r="IQ9" s="333">
        <v>4451.6039999999994</v>
      </c>
      <c r="IR9" s="333">
        <v>4437.5460000000003</v>
      </c>
      <c r="IS9" s="333">
        <v>4093.62</v>
      </c>
      <c r="IT9" s="333">
        <v>3931.7699999999995</v>
      </c>
      <c r="IU9" s="333">
        <v>3734.6099999999997</v>
      </c>
      <c r="IV9" s="333">
        <v>4085.0640000000003</v>
      </c>
      <c r="IW9" s="334">
        <v>4033.902</v>
      </c>
      <c r="IX9" s="334">
        <v>4309.866</v>
      </c>
      <c r="IY9" s="334">
        <v>4313.9059999999999</v>
      </c>
      <c r="IZ9" s="334">
        <v>4303.9279999999999</v>
      </c>
      <c r="JA9" s="334">
        <v>4359.6840000000002</v>
      </c>
      <c r="JB9" s="334">
        <v>4343.6840000000002</v>
      </c>
      <c r="JC9" s="334">
        <v>4260.7640000000001</v>
      </c>
      <c r="JD9" s="334">
        <v>4264.4799999999996</v>
      </c>
      <c r="JE9" s="334">
        <v>4203.5439999999999</v>
      </c>
      <c r="JF9" s="334">
        <v>4019.1080000000002</v>
      </c>
      <c r="JG9" s="334">
        <v>3786.95</v>
      </c>
      <c r="JH9" s="334">
        <v>3843.72</v>
      </c>
      <c r="JI9" s="334">
        <v>3964.9659999999999</v>
      </c>
      <c r="JJ9" s="334">
        <v>4013.04</v>
      </c>
      <c r="JK9" s="335">
        <v>3904.922</v>
      </c>
    </row>
    <row r="10" spans="1:271" x14ac:dyDescent="0.25">
      <c r="A10" s="303" t="s">
        <v>159</v>
      </c>
      <c r="B10" s="304">
        <v>544.476</v>
      </c>
      <c r="C10" s="304">
        <v>557.93399999999997</v>
      </c>
      <c r="D10" s="304">
        <v>623.77800000000002</v>
      </c>
      <c r="E10" s="304">
        <v>522.99599999999998</v>
      </c>
      <c r="F10" s="304">
        <v>604.59</v>
      </c>
      <c r="G10" s="304">
        <v>683.33399999999995</v>
      </c>
      <c r="H10" s="304">
        <v>558.99</v>
      </c>
      <c r="I10" s="304">
        <v>576.41999999999996</v>
      </c>
      <c r="J10" s="304">
        <v>625.63799999999992</v>
      </c>
      <c r="K10" s="304">
        <v>546.16200000000003</v>
      </c>
      <c r="L10" s="304">
        <v>562.5</v>
      </c>
      <c r="M10" s="304">
        <v>579.822</v>
      </c>
      <c r="N10" s="304">
        <v>486.96</v>
      </c>
      <c r="O10" s="304">
        <v>538.20000000000005</v>
      </c>
      <c r="P10" s="304">
        <v>613.69200000000001</v>
      </c>
      <c r="Q10" s="304">
        <v>530.64599999999996</v>
      </c>
      <c r="R10" s="304">
        <v>562.96199999999999</v>
      </c>
      <c r="S10" s="304">
        <v>628.87199999999996</v>
      </c>
      <c r="T10" s="304">
        <v>556.14599999999996</v>
      </c>
      <c r="U10" s="304">
        <v>629.93999999999994</v>
      </c>
      <c r="V10" s="304">
        <v>532.95000000000005</v>
      </c>
      <c r="W10" s="304">
        <v>513.15000000000009</v>
      </c>
      <c r="X10" s="304">
        <v>586.29</v>
      </c>
      <c r="Y10" s="304">
        <v>472.65000000000003</v>
      </c>
      <c r="Z10" s="304">
        <v>470.41800000000001</v>
      </c>
      <c r="AA10" s="304">
        <v>502.96199999999999</v>
      </c>
      <c r="AB10" s="304">
        <v>586.98</v>
      </c>
      <c r="AC10" s="304">
        <v>480.91200000000003</v>
      </c>
      <c r="AD10" s="304">
        <v>571.15800000000002</v>
      </c>
      <c r="AE10" s="304">
        <v>548.04599999999994</v>
      </c>
      <c r="AF10" s="304">
        <v>549.55200000000002</v>
      </c>
      <c r="AG10" s="304">
        <v>564.97199999999998</v>
      </c>
      <c r="AH10" s="304">
        <v>532.62</v>
      </c>
      <c r="AI10" s="304">
        <v>551.96399999999994</v>
      </c>
      <c r="AJ10" s="304">
        <v>522.25199999999995</v>
      </c>
      <c r="AK10" s="304">
        <v>511.43999999999994</v>
      </c>
      <c r="AL10" s="304">
        <v>491.90999999999997</v>
      </c>
      <c r="AM10" s="304">
        <v>503.78399999999999</v>
      </c>
      <c r="AN10" s="304">
        <v>556.22399999999993</v>
      </c>
      <c r="AO10" s="304">
        <v>443.07600000000002</v>
      </c>
      <c r="AP10" s="304">
        <v>553.38599999999997</v>
      </c>
      <c r="AQ10" s="304">
        <v>531.798</v>
      </c>
      <c r="AR10" s="304">
        <v>497.904</v>
      </c>
      <c r="AS10" s="304">
        <v>533.96399999999994</v>
      </c>
      <c r="AT10" s="304">
        <v>542.24399999999991</v>
      </c>
      <c r="AU10" s="304">
        <v>523.80600000000004</v>
      </c>
      <c r="AV10" s="304">
        <v>554.72399999999993</v>
      </c>
      <c r="AW10" s="304">
        <v>540.89400000000001</v>
      </c>
      <c r="AX10" s="304">
        <v>517.55399999999997</v>
      </c>
      <c r="AY10" s="304">
        <v>538.61400000000003</v>
      </c>
      <c r="AZ10" s="304">
        <v>478.536</v>
      </c>
      <c r="BA10" s="304">
        <v>438.59400000000005</v>
      </c>
      <c r="BB10" s="304">
        <v>590.09400000000005</v>
      </c>
      <c r="BC10" s="304">
        <v>583.39200000000005</v>
      </c>
      <c r="BD10" s="304">
        <v>580.78800000000001</v>
      </c>
      <c r="BE10" s="304">
        <v>609.34800000000007</v>
      </c>
      <c r="BF10" s="304">
        <v>587.84999999999991</v>
      </c>
      <c r="BG10" s="304">
        <v>605.91</v>
      </c>
      <c r="BH10" s="304">
        <v>614.02200000000005</v>
      </c>
      <c r="BI10" s="304">
        <v>612.92399999999998</v>
      </c>
      <c r="BJ10" s="304">
        <v>629.63400000000001</v>
      </c>
      <c r="BK10" s="304">
        <v>636.822</v>
      </c>
      <c r="BL10" s="304">
        <v>676.07400000000007</v>
      </c>
      <c r="BM10" s="304">
        <v>606.38400000000001</v>
      </c>
      <c r="BN10" s="304">
        <v>709.88400000000001</v>
      </c>
      <c r="BO10" s="304">
        <v>634.94399999999996</v>
      </c>
      <c r="BP10" s="304">
        <v>662.46</v>
      </c>
      <c r="BQ10" s="304">
        <v>669.10799999999995</v>
      </c>
      <c r="BR10" s="304">
        <v>647.69399999999996</v>
      </c>
      <c r="BS10" s="304">
        <v>639.46199999999999</v>
      </c>
      <c r="BT10" s="304">
        <v>662.86200000000008</v>
      </c>
      <c r="BU10" s="304">
        <v>573.49800000000005</v>
      </c>
      <c r="BV10" s="304">
        <v>596.41200000000003</v>
      </c>
      <c r="BW10" s="304">
        <v>602.62800000000004</v>
      </c>
      <c r="BX10" s="304">
        <v>630.25800000000004</v>
      </c>
      <c r="BY10" s="304">
        <v>536.58000000000004</v>
      </c>
      <c r="BZ10" s="304">
        <v>621.32400000000007</v>
      </c>
      <c r="CA10" s="304">
        <v>592.428</v>
      </c>
      <c r="CB10" s="304">
        <v>610.74599999999998</v>
      </c>
      <c r="CC10" s="304">
        <v>598.29</v>
      </c>
      <c r="CD10" s="304">
        <v>604.66800000000001</v>
      </c>
      <c r="CE10" s="304">
        <v>588.08399999999995</v>
      </c>
      <c r="CF10" s="304">
        <v>623.81999999999994</v>
      </c>
      <c r="CG10" s="304">
        <v>577.33799999999997</v>
      </c>
      <c r="CH10" s="304">
        <v>584.57400000000007</v>
      </c>
      <c r="CI10" s="304">
        <v>629.05200000000002</v>
      </c>
      <c r="CJ10" s="304">
        <v>620.04</v>
      </c>
      <c r="CK10" s="304">
        <v>620.226</v>
      </c>
      <c r="CL10" s="304">
        <v>677.64599999999996</v>
      </c>
      <c r="CM10" s="304">
        <v>652.29</v>
      </c>
      <c r="CN10" s="304">
        <v>667.88400000000001</v>
      </c>
      <c r="CO10" s="304">
        <v>657.27600000000007</v>
      </c>
      <c r="CP10" s="304">
        <v>661.596</v>
      </c>
      <c r="CQ10" s="304">
        <v>723.90599999999995</v>
      </c>
      <c r="CR10" s="304">
        <v>707.952</v>
      </c>
      <c r="CS10" s="304">
        <v>673.2059999999999</v>
      </c>
      <c r="CT10" s="304">
        <v>676.30200000000002</v>
      </c>
      <c r="CU10" s="304">
        <v>683.95799999999997</v>
      </c>
      <c r="CV10" s="304">
        <v>731.41200000000003</v>
      </c>
      <c r="CW10" s="304">
        <v>646.87800000000004</v>
      </c>
      <c r="CX10" s="304">
        <v>714.56999999999994</v>
      </c>
      <c r="CY10" s="304">
        <v>711.66</v>
      </c>
      <c r="CZ10" s="304">
        <v>696.71399999999994</v>
      </c>
      <c r="DA10" s="304">
        <v>687.46800000000007</v>
      </c>
      <c r="DB10" s="304">
        <v>680.18399999999997</v>
      </c>
      <c r="DC10" s="304">
        <v>685.08</v>
      </c>
      <c r="DD10" s="304">
        <v>662.47199999999998</v>
      </c>
      <c r="DE10" s="304">
        <v>641.91600000000005</v>
      </c>
      <c r="DF10" s="304">
        <v>645.72</v>
      </c>
      <c r="DG10" s="304">
        <v>648.34199999999998</v>
      </c>
      <c r="DH10" s="304">
        <v>709.69200000000001</v>
      </c>
      <c r="DI10" s="304">
        <v>610.32600000000002</v>
      </c>
      <c r="DJ10" s="304">
        <v>681.41399999999999</v>
      </c>
      <c r="DK10" s="304">
        <v>674.41200000000003</v>
      </c>
      <c r="DL10" s="304">
        <v>647.68799999999999</v>
      </c>
      <c r="DM10" s="304">
        <v>668.67599999999993</v>
      </c>
      <c r="DN10" s="304">
        <v>645.54599999999994</v>
      </c>
      <c r="DO10" s="304">
        <v>633.45000000000005</v>
      </c>
      <c r="DP10" s="304">
        <v>649.86</v>
      </c>
      <c r="DQ10" s="304">
        <v>608.61599999999999</v>
      </c>
      <c r="DR10" s="304">
        <v>618.92399999999998</v>
      </c>
      <c r="DS10" s="304">
        <v>608.82600000000002</v>
      </c>
      <c r="DT10" s="304">
        <v>656.84999999999991</v>
      </c>
      <c r="DU10" s="304">
        <v>593.97</v>
      </c>
      <c r="DV10" s="304">
        <v>627.68999999999994</v>
      </c>
      <c r="DW10" s="304">
        <v>623.57400000000007</v>
      </c>
      <c r="DX10" s="304">
        <v>624.40800000000002</v>
      </c>
      <c r="DY10" s="304">
        <v>642.654</v>
      </c>
      <c r="DZ10" s="304">
        <v>633.39</v>
      </c>
      <c r="EA10" s="304">
        <v>646.34400000000005</v>
      </c>
      <c r="EB10" s="304">
        <v>679.78800000000001</v>
      </c>
      <c r="EC10" s="304">
        <v>676.30200000000002</v>
      </c>
      <c r="ED10" s="304">
        <v>678.37199999999996</v>
      </c>
      <c r="EE10" s="304">
        <v>706.17</v>
      </c>
      <c r="EF10" s="304">
        <v>736.56600000000003</v>
      </c>
      <c r="EG10" s="304">
        <v>652.43399999999997</v>
      </c>
      <c r="EH10" s="304">
        <v>734.41800000000001</v>
      </c>
      <c r="EI10" s="304">
        <v>711.89400000000001</v>
      </c>
      <c r="EJ10" s="304">
        <v>705.21600000000001</v>
      </c>
      <c r="EK10" s="304">
        <v>731.10599999999999</v>
      </c>
      <c r="EL10" s="304">
        <v>692.35199999999998</v>
      </c>
      <c r="EM10" s="304">
        <v>709.33799999999997</v>
      </c>
      <c r="EN10" s="304">
        <v>711.15599999999995</v>
      </c>
      <c r="EO10" s="304">
        <v>669.97199999999998</v>
      </c>
      <c r="EP10" s="304">
        <v>680.346</v>
      </c>
      <c r="EQ10" s="304">
        <v>670.14599999999996</v>
      </c>
      <c r="ER10" s="304">
        <v>675.40199999999993</v>
      </c>
      <c r="ES10" s="304">
        <v>632.79599999999994</v>
      </c>
      <c r="ET10" s="304">
        <v>703.9559999999999</v>
      </c>
      <c r="EU10" s="304">
        <v>671.63400000000001</v>
      </c>
      <c r="EV10" s="304">
        <v>681.60599999999999</v>
      </c>
      <c r="EW10" s="304">
        <v>687.43200000000002</v>
      </c>
      <c r="EX10" s="304">
        <v>641.43600000000004</v>
      </c>
      <c r="EY10" s="304">
        <v>647.98199999999997</v>
      </c>
      <c r="EZ10" s="304">
        <v>661.17</v>
      </c>
      <c r="FA10" s="304">
        <v>625.73400000000004</v>
      </c>
      <c r="FB10" s="304">
        <v>638.14800000000002</v>
      </c>
      <c r="FC10" s="304">
        <v>667.14599999999996</v>
      </c>
      <c r="FD10" s="304">
        <v>717.37199999999996</v>
      </c>
      <c r="FE10" s="304">
        <v>348.96600000000001</v>
      </c>
      <c r="FF10" s="304">
        <v>401.86200000000002</v>
      </c>
      <c r="FG10" s="304">
        <v>378.714</v>
      </c>
      <c r="FH10" s="304">
        <v>391.32600000000002</v>
      </c>
      <c r="FI10" s="304">
        <v>389.81399999999996</v>
      </c>
      <c r="FJ10" s="304">
        <v>382.36199999999997</v>
      </c>
      <c r="FK10" s="304">
        <v>393.97200000000004</v>
      </c>
      <c r="FL10" s="304">
        <v>382.608</v>
      </c>
      <c r="FM10" s="304">
        <v>657.072</v>
      </c>
      <c r="FN10" s="304">
        <v>615.26400000000001</v>
      </c>
      <c r="FO10" s="304">
        <v>640.86</v>
      </c>
      <c r="FP10" s="304">
        <v>703.84199999999998</v>
      </c>
      <c r="FQ10" s="304">
        <v>619.10400000000004</v>
      </c>
      <c r="FR10" s="304">
        <v>699.11400000000003</v>
      </c>
      <c r="FS10" s="304">
        <v>707.65199999999993</v>
      </c>
      <c r="FT10" s="304">
        <v>721.29599999999994</v>
      </c>
      <c r="FU10" s="304">
        <v>723.21600000000001</v>
      </c>
      <c r="FV10" s="304">
        <v>726.56399999999996</v>
      </c>
      <c r="FW10" s="304">
        <v>726.23400000000004</v>
      </c>
      <c r="FX10" s="304">
        <v>704.41200000000003</v>
      </c>
      <c r="FY10" s="304">
        <v>710.18399999999997</v>
      </c>
      <c r="FZ10" s="304">
        <v>684.84</v>
      </c>
      <c r="GA10" s="304">
        <v>715.43399999999997</v>
      </c>
      <c r="GB10" s="304">
        <v>681.56399999999996</v>
      </c>
      <c r="GC10" s="304">
        <v>628.87199999999996</v>
      </c>
      <c r="GD10" s="304">
        <v>685.53</v>
      </c>
      <c r="GE10" s="304">
        <v>680.05799999999999</v>
      </c>
      <c r="GF10" s="304">
        <v>677.43600000000004</v>
      </c>
      <c r="GG10" s="304">
        <v>633.54599999999994</v>
      </c>
      <c r="GH10" s="304">
        <v>602.98199999999997</v>
      </c>
      <c r="GI10" s="304">
        <v>669.68399999999997</v>
      </c>
      <c r="GJ10" s="304">
        <v>607.10400000000004</v>
      </c>
      <c r="GK10" s="304">
        <v>560.97</v>
      </c>
      <c r="GL10" s="304">
        <v>566.37599999999998</v>
      </c>
      <c r="GM10" s="304">
        <v>552.90599999999995</v>
      </c>
      <c r="GN10" s="304">
        <v>591.58799999999997</v>
      </c>
      <c r="GO10" s="304">
        <v>487.27200000000005</v>
      </c>
      <c r="GP10" s="304">
        <v>578.39400000000001</v>
      </c>
      <c r="GQ10" s="304">
        <v>547.66200000000003</v>
      </c>
      <c r="GR10" s="304">
        <v>526.90800000000002</v>
      </c>
      <c r="GS10" s="304">
        <v>526.38</v>
      </c>
      <c r="GT10" s="304">
        <v>480.21</v>
      </c>
      <c r="GU10" s="304">
        <v>508.34999999999997</v>
      </c>
      <c r="GV10" s="304">
        <v>492.61200000000002</v>
      </c>
      <c r="GW10" s="304">
        <v>477.96600000000001</v>
      </c>
      <c r="GX10" s="304">
        <v>459.83399999999995</v>
      </c>
      <c r="GY10" s="304">
        <v>473.59800000000007</v>
      </c>
      <c r="GZ10" s="304">
        <v>542.30399999999997</v>
      </c>
      <c r="HA10" s="304">
        <v>525.18600000000004</v>
      </c>
      <c r="HB10" s="304">
        <v>566.17200000000003</v>
      </c>
      <c r="HC10" s="304">
        <v>534.97199999999998</v>
      </c>
      <c r="HD10" s="304">
        <v>528.28800000000001</v>
      </c>
      <c r="HE10" s="304">
        <v>548.57400000000007</v>
      </c>
      <c r="HF10" s="304">
        <v>509.74199999999996</v>
      </c>
      <c r="HG10" s="304">
        <v>560.09400000000005</v>
      </c>
      <c r="HH10" s="304">
        <v>539.22</v>
      </c>
      <c r="HI10" s="304">
        <v>458.13599999999997</v>
      </c>
      <c r="HJ10" s="304">
        <v>498.96</v>
      </c>
      <c r="HK10" s="304">
        <v>501.68999999999994</v>
      </c>
      <c r="HL10" s="304">
        <v>535.93200000000002</v>
      </c>
      <c r="HM10" s="304">
        <v>473.79599999999994</v>
      </c>
      <c r="HN10" s="304">
        <v>544.24199999999996</v>
      </c>
      <c r="HO10" s="304">
        <v>502.08600000000001</v>
      </c>
      <c r="HP10" s="304">
        <v>508.42199999999997</v>
      </c>
      <c r="HQ10" s="304">
        <v>506.178</v>
      </c>
      <c r="HR10" s="304">
        <v>482.71800000000002</v>
      </c>
      <c r="HS10" s="304">
        <v>499.34999999999997</v>
      </c>
      <c r="HT10" s="304">
        <v>500.66399999999999</v>
      </c>
      <c r="HU10" s="304">
        <v>481.93200000000002</v>
      </c>
      <c r="HV10" s="304">
        <v>489.13799999999998</v>
      </c>
      <c r="HW10" s="304">
        <v>485.09999999999997</v>
      </c>
      <c r="HX10" s="304">
        <v>507.25200000000001</v>
      </c>
      <c r="HY10" s="304">
        <v>464.01</v>
      </c>
      <c r="HZ10" s="304">
        <v>518.04599999999994</v>
      </c>
      <c r="IA10" s="304">
        <v>512.96399999999994</v>
      </c>
      <c r="IB10" s="304">
        <v>518.35199999999998</v>
      </c>
      <c r="IC10" s="304">
        <v>506.13599999999997</v>
      </c>
      <c r="ID10" s="304">
        <v>489.49799999999999</v>
      </c>
      <c r="IE10" s="304">
        <v>491.82600000000002</v>
      </c>
      <c r="IF10" s="304">
        <v>530.73599999999999</v>
      </c>
      <c r="IG10" s="304">
        <v>391.608</v>
      </c>
      <c r="IH10" s="304">
        <v>511.99199999999996</v>
      </c>
      <c r="II10" s="304">
        <v>460.53</v>
      </c>
      <c r="IJ10" s="304">
        <v>540.24</v>
      </c>
      <c r="IK10" s="304">
        <v>462.68999999999994</v>
      </c>
      <c r="IL10" s="304">
        <v>501.17399999999998</v>
      </c>
      <c r="IM10" s="304">
        <v>475.49399999999997</v>
      </c>
      <c r="IN10" s="12">
        <v>449.02200000000005</v>
      </c>
      <c r="IO10" s="12">
        <v>463.95000000000005</v>
      </c>
      <c r="IP10" s="12">
        <v>472.04400000000004</v>
      </c>
      <c r="IQ10" s="12">
        <v>457.49399999999997</v>
      </c>
      <c r="IR10" s="12">
        <v>470.35199999999998</v>
      </c>
      <c r="IS10" s="12">
        <v>454.94399999999996</v>
      </c>
      <c r="IT10" s="12">
        <v>438.87599999999998</v>
      </c>
      <c r="IU10" s="12">
        <v>507.79200000000003</v>
      </c>
      <c r="IV10" s="12">
        <v>466.70400000000006</v>
      </c>
      <c r="IW10" s="12">
        <v>454.39400000000001</v>
      </c>
      <c r="IX10" s="12">
        <v>462</v>
      </c>
      <c r="IY10" s="12">
        <v>461.88200000000001</v>
      </c>
      <c r="IZ10" s="12">
        <v>456.37799999999999</v>
      </c>
      <c r="JA10" s="12">
        <v>473.29199999999997</v>
      </c>
      <c r="JB10" s="12">
        <v>493.36599999999999</v>
      </c>
      <c r="JC10" s="12">
        <v>495.62799999999999</v>
      </c>
      <c r="JD10" s="12">
        <v>498.13200000000001</v>
      </c>
      <c r="JE10" s="12">
        <v>483.8</v>
      </c>
      <c r="JF10" s="12">
        <v>514.34199999999998</v>
      </c>
      <c r="JG10" s="12">
        <v>552.01599999999996</v>
      </c>
      <c r="JH10" s="12">
        <v>563.86400000000003</v>
      </c>
      <c r="JI10" s="12">
        <v>556.52800000000002</v>
      </c>
      <c r="JJ10" s="12">
        <v>554.44799999999998</v>
      </c>
      <c r="JK10" s="336">
        <v>565.58000000000004</v>
      </c>
    </row>
    <row r="11" spans="1:271" x14ac:dyDescent="0.25">
      <c r="A11" s="303" t="s">
        <v>160</v>
      </c>
      <c r="B11" s="301">
        <v>439.17599999999999</v>
      </c>
      <c r="C11" s="301">
        <v>462.00600000000003</v>
      </c>
      <c r="D11" s="301">
        <v>487.608</v>
      </c>
      <c r="E11" s="301">
        <v>422.04599999999994</v>
      </c>
      <c r="F11" s="301">
        <v>504.39600000000002</v>
      </c>
      <c r="G11" s="301">
        <v>463.536</v>
      </c>
      <c r="H11" s="301">
        <v>445.16999999999996</v>
      </c>
      <c r="I11" s="301">
        <v>478.30799999999999</v>
      </c>
      <c r="J11" s="301">
        <v>476.07</v>
      </c>
      <c r="K11" s="301">
        <v>452.34000000000003</v>
      </c>
      <c r="L11" s="301">
        <v>515.79</v>
      </c>
      <c r="M11" s="301">
        <v>377.68200000000002</v>
      </c>
      <c r="N11" s="301">
        <v>457.05600000000004</v>
      </c>
      <c r="O11" s="301">
        <v>425.35199999999998</v>
      </c>
      <c r="P11" s="301">
        <v>438.54599999999994</v>
      </c>
      <c r="Q11" s="301">
        <v>221.64</v>
      </c>
      <c r="R11" s="301">
        <v>232.43399999999997</v>
      </c>
      <c r="S11" s="301">
        <v>203.124</v>
      </c>
      <c r="T11" s="301">
        <v>215.65799999999999</v>
      </c>
      <c r="U11" s="301">
        <v>207.858</v>
      </c>
      <c r="V11" s="301">
        <v>210.28199999999998</v>
      </c>
      <c r="W11" s="301">
        <v>240.624</v>
      </c>
      <c r="X11" s="301">
        <v>238.89600000000002</v>
      </c>
      <c r="Y11" s="301">
        <v>207.79199999999997</v>
      </c>
      <c r="Z11" s="301">
        <v>190.488</v>
      </c>
      <c r="AA11" s="301">
        <v>207.86399999999998</v>
      </c>
      <c r="AB11" s="301">
        <v>253.99200000000002</v>
      </c>
      <c r="AC11" s="301">
        <v>216.47399999999999</v>
      </c>
      <c r="AD11" s="301">
        <v>208.56600000000003</v>
      </c>
      <c r="AE11" s="301">
        <v>211.63200000000001</v>
      </c>
      <c r="AF11" s="301">
        <v>224.02200000000002</v>
      </c>
      <c r="AG11" s="301">
        <v>216.15600000000001</v>
      </c>
      <c r="AH11" s="301">
        <v>212.25</v>
      </c>
      <c r="AI11" s="301">
        <v>220.524</v>
      </c>
      <c r="AJ11" s="301">
        <v>215.88</v>
      </c>
      <c r="AK11" s="301">
        <v>198.14400000000001</v>
      </c>
      <c r="AL11" s="301">
        <v>188.60999999999999</v>
      </c>
      <c r="AM11" s="301">
        <v>207.70800000000003</v>
      </c>
      <c r="AN11" s="301">
        <v>219.25799999999998</v>
      </c>
      <c r="AO11" s="301">
        <v>225.786</v>
      </c>
      <c r="AP11" s="301">
        <v>227.05800000000002</v>
      </c>
      <c r="AQ11" s="301">
        <v>245.41800000000001</v>
      </c>
      <c r="AR11" s="301">
        <v>252.51</v>
      </c>
      <c r="AS11" s="301">
        <v>248.65199999999999</v>
      </c>
      <c r="AT11" s="301">
        <v>256.02</v>
      </c>
      <c r="AU11" s="301">
        <v>247.23600000000002</v>
      </c>
      <c r="AV11" s="301">
        <v>266.28000000000003</v>
      </c>
      <c r="AW11" s="301">
        <v>236.76</v>
      </c>
      <c r="AX11" s="301">
        <v>221.346</v>
      </c>
      <c r="AY11" s="301">
        <v>258.81</v>
      </c>
      <c r="AZ11" s="301">
        <v>264.61799999999999</v>
      </c>
      <c r="BA11" s="301">
        <v>236.57999999999998</v>
      </c>
      <c r="BB11" s="301">
        <v>260.01599999999996</v>
      </c>
      <c r="BC11" s="301">
        <v>277.04999999999995</v>
      </c>
      <c r="BD11" s="301">
        <v>252.29399999999998</v>
      </c>
      <c r="BE11" s="301">
        <v>277.416</v>
      </c>
      <c r="BF11" s="301">
        <v>278.70000000000005</v>
      </c>
      <c r="BG11" s="301">
        <v>287.32799999999997</v>
      </c>
      <c r="BH11" s="301">
        <v>299.86799999999999</v>
      </c>
      <c r="BI11" s="301">
        <v>242.982</v>
      </c>
      <c r="BJ11" s="301">
        <v>268.56600000000003</v>
      </c>
      <c r="BK11" s="301">
        <v>320.81400000000002</v>
      </c>
      <c r="BL11" s="301">
        <v>329.23199999999997</v>
      </c>
      <c r="BM11" s="301">
        <v>270.62400000000002</v>
      </c>
      <c r="BN11" s="301">
        <v>353.11199999999997</v>
      </c>
      <c r="BO11" s="301">
        <v>354.55200000000002</v>
      </c>
      <c r="BP11" s="301">
        <v>342.37199999999996</v>
      </c>
      <c r="BQ11" s="301">
        <v>368.50799999999998</v>
      </c>
      <c r="BR11" s="301">
        <v>350.38800000000003</v>
      </c>
      <c r="BS11" s="301">
        <v>358.28399999999999</v>
      </c>
      <c r="BT11" s="301">
        <v>386.71800000000002</v>
      </c>
      <c r="BU11" s="301">
        <v>317.84399999999999</v>
      </c>
      <c r="BV11" s="301">
        <v>335.964</v>
      </c>
      <c r="BW11" s="301">
        <v>336.21</v>
      </c>
      <c r="BX11" s="301">
        <v>362.28000000000003</v>
      </c>
      <c r="BY11" s="301">
        <v>359.202</v>
      </c>
      <c r="BZ11" s="301">
        <v>424.09800000000007</v>
      </c>
      <c r="CA11" s="301">
        <v>390.36</v>
      </c>
      <c r="CB11" s="301">
        <v>398.99399999999997</v>
      </c>
      <c r="CC11" s="301">
        <v>404.48400000000004</v>
      </c>
      <c r="CD11" s="301">
        <v>402.33000000000004</v>
      </c>
      <c r="CE11" s="301">
        <v>434.55600000000004</v>
      </c>
      <c r="CF11" s="301">
        <v>449.24399999999997</v>
      </c>
      <c r="CG11" s="301">
        <v>363.60599999999999</v>
      </c>
      <c r="CH11" s="301">
        <v>364.08600000000001</v>
      </c>
      <c r="CI11" s="301">
        <v>391.36799999999994</v>
      </c>
      <c r="CJ11" s="301">
        <v>392.76599999999996</v>
      </c>
      <c r="CK11" s="301">
        <v>413.47200000000004</v>
      </c>
      <c r="CL11" s="301">
        <v>408</v>
      </c>
      <c r="CM11" s="301">
        <v>404.64</v>
      </c>
      <c r="CN11" s="301">
        <v>390.92399999999998</v>
      </c>
      <c r="CO11" s="301">
        <v>396.85199999999998</v>
      </c>
      <c r="CP11" s="301">
        <v>397.20599999999996</v>
      </c>
      <c r="CQ11" s="301">
        <v>413.44200000000001</v>
      </c>
      <c r="CR11" s="301">
        <v>396.40199999999993</v>
      </c>
      <c r="CS11" s="301">
        <v>387.73199999999997</v>
      </c>
      <c r="CT11" s="301">
        <v>382.5</v>
      </c>
      <c r="CU11" s="301">
        <v>379.03800000000001</v>
      </c>
      <c r="CV11" s="301">
        <v>391.39800000000002</v>
      </c>
      <c r="CW11" s="301">
        <v>359.67</v>
      </c>
      <c r="CX11" s="301">
        <v>390.87599999999998</v>
      </c>
      <c r="CY11" s="301">
        <v>381.98400000000004</v>
      </c>
      <c r="CZ11" s="301">
        <v>377.55600000000004</v>
      </c>
      <c r="DA11" s="301">
        <v>353.42400000000004</v>
      </c>
      <c r="DB11" s="301">
        <v>343.89600000000002</v>
      </c>
      <c r="DC11" s="301">
        <v>347.37599999999998</v>
      </c>
      <c r="DD11" s="301">
        <v>357.43200000000002</v>
      </c>
      <c r="DE11" s="301">
        <v>324.29999999999995</v>
      </c>
      <c r="DF11" s="301">
        <v>369.22799999999995</v>
      </c>
      <c r="DG11" s="301">
        <v>393.23400000000004</v>
      </c>
      <c r="DH11" s="301">
        <v>401.85599999999999</v>
      </c>
      <c r="DI11" s="301">
        <v>370.25400000000002</v>
      </c>
      <c r="DJ11" s="301">
        <v>393.13200000000006</v>
      </c>
      <c r="DK11" s="301">
        <v>390.32400000000001</v>
      </c>
      <c r="DL11" s="301">
        <v>401.72399999999993</v>
      </c>
      <c r="DM11" s="301">
        <v>432.774</v>
      </c>
      <c r="DN11" s="301">
        <v>378.58799999999997</v>
      </c>
      <c r="DO11" s="301">
        <v>405.36600000000004</v>
      </c>
      <c r="DP11" s="301">
        <v>434.904</v>
      </c>
      <c r="DQ11" s="301">
        <v>342.52800000000002</v>
      </c>
      <c r="DR11" s="301">
        <v>366.57</v>
      </c>
      <c r="DS11" s="301">
        <v>408.58799999999997</v>
      </c>
      <c r="DT11" s="301">
        <v>419.73599999999999</v>
      </c>
      <c r="DU11" s="301">
        <v>395.98199999999997</v>
      </c>
      <c r="DV11" s="301">
        <v>438.93</v>
      </c>
      <c r="DW11" s="301">
        <v>448.04400000000004</v>
      </c>
      <c r="DX11" s="301">
        <v>471.39</v>
      </c>
      <c r="DY11" s="301">
        <v>485.10599999999999</v>
      </c>
      <c r="DZ11" s="301">
        <v>477.37199999999996</v>
      </c>
      <c r="EA11" s="301">
        <v>478.66800000000001</v>
      </c>
      <c r="EB11" s="301">
        <v>508.24199999999996</v>
      </c>
      <c r="EC11" s="301">
        <v>435.44399999999996</v>
      </c>
      <c r="ED11" s="301">
        <v>463.72799999999995</v>
      </c>
      <c r="EE11" s="301">
        <v>503.952</v>
      </c>
      <c r="EF11" s="301">
        <v>523.53</v>
      </c>
      <c r="EG11" s="301">
        <v>501.096</v>
      </c>
      <c r="EH11" s="301">
        <v>529.18200000000002</v>
      </c>
      <c r="EI11" s="301">
        <v>499.608</v>
      </c>
      <c r="EJ11" s="301">
        <v>535.2059999999999</v>
      </c>
      <c r="EK11" s="301">
        <v>505.14600000000002</v>
      </c>
      <c r="EL11" s="301">
        <v>532.15199999999993</v>
      </c>
      <c r="EM11" s="301">
        <v>568.16399999999999</v>
      </c>
      <c r="EN11" s="301">
        <v>554.89200000000005</v>
      </c>
      <c r="EO11" s="301">
        <v>456.60599999999999</v>
      </c>
      <c r="EP11" s="301">
        <v>492.29999999999995</v>
      </c>
      <c r="EQ11" s="301">
        <v>512.64</v>
      </c>
      <c r="ER11" s="301">
        <v>539.03399999999999</v>
      </c>
      <c r="ES11" s="301">
        <v>546.024</v>
      </c>
      <c r="ET11" s="301">
        <v>563.976</v>
      </c>
      <c r="EU11" s="301">
        <v>495.62400000000002</v>
      </c>
      <c r="EV11" s="301">
        <v>566.73</v>
      </c>
      <c r="EW11" s="301">
        <v>555.25199999999995</v>
      </c>
      <c r="EX11" s="301">
        <v>536.33399999999995</v>
      </c>
      <c r="EY11" s="301">
        <v>554.23800000000006</v>
      </c>
      <c r="EZ11" s="301">
        <v>560.01</v>
      </c>
      <c r="FA11" s="301">
        <v>510.63</v>
      </c>
      <c r="FB11" s="301">
        <v>517.00800000000004</v>
      </c>
      <c r="FC11" s="301">
        <v>512.80200000000002</v>
      </c>
      <c r="FD11" s="301">
        <v>580.74599999999998</v>
      </c>
      <c r="FE11" s="301">
        <v>552.51</v>
      </c>
      <c r="FF11" s="301">
        <v>608.07600000000002</v>
      </c>
      <c r="FG11" s="301">
        <v>612.60599999999999</v>
      </c>
      <c r="FH11" s="301">
        <v>685.65000000000009</v>
      </c>
      <c r="FI11" s="301">
        <v>658.18200000000002</v>
      </c>
      <c r="FJ11" s="301">
        <v>687.36599999999999</v>
      </c>
      <c r="FK11" s="301">
        <v>672.13200000000006</v>
      </c>
      <c r="FL11" s="301">
        <v>720.41399999999999</v>
      </c>
      <c r="FM11" s="301">
        <v>590.77200000000005</v>
      </c>
      <c r="FN11" s="301">
        <v>539.04599999999994</v>
      </c>
      <c r="FO11" s="301">
        <v>558.41399999999999</v>
      </c>
      <c r="FP11" s="301">
        <v>586.97399999999993</v>
      </c>
      <c r="FQ11" s="301">
        <v>516.99599999999998</v>
      </c>
      <c r="FR11" s="301">
        <v>547.90800000000002</v>
      </c>
      <c r="FS11" s="301">
        <v>560.77800000000002</v>
      </c>
      <c r="FT11" s="301">
        <v>580.41</v>
      </c>
      <c r="FU11" s="301">
        <v>536.04</v>
      </c>
      <c r="FV11" s="301">
        <v>511.73400000000004</v>
      </c>
      <c r="FW11" s="301">
        <v>533.17200000000003</v>
      </c>
      <c r="FX11" s="301">
        <v>597.55200000000002</v>
      </c>
      <c r="FY11" s="301">
        <v>473.99399999999997</v>
      </c>
      <c r="FZ11" s="301">
        <v>455.14800000000002</v>
      </c>
      <c r="GA11" s="301">
        <v>514.08000000000004</v>
      </c>
      <c r="GB11" s="301">
        <v>531.79200000000003</v>
      </c>
      <c r="GC11" s="301">
        <v>487.36799999999994</v>
      </c>
      <c r="GD11" s="301">
        <v>515.84999999999991</v>
      </c>
      <c r="GE11" s="301">
        <v>416.904</v>
      </c>
      <c r="GF11" s="301">
        <v>472.11600000000004</v>
      </c>
      <c r="GG11" s="301">
        <v>471.51599999999996</v>
      </c>
      <c r="GH11" s="301">
        <v>440.53800000000001</v>
      </c>
      <c r="GI11" s="301">
        <v>501.50400000000002</v>
      </c>
      <c r="GJ11" s="301">
        <v>550.87800000000004</v>
      </c>
      <c r="GK11" s="301">
        <v>468.33000000000004</v>
      </c>
      <c r="GL11" s="301">
        <v>450.82800000000003</v>
      </c>
      <c r="GM11" s="301">
        <v>461.84999999999997</v>
      </c>
      <c r="GN11" s="301">
        <v>482.94600000000003</v>
      </c>
      <c r="GO11" s="301">
        <v>454.29599999999994</v>
      </c>
      <c r="GP11" s="301">
        <v>522.59400000000005</v>
      </c>
      <c r="GQ11" s="301">
        <v>524.99399999999991</v>
      </c>
      <c r="GR11" s="301">
        <v>515.96399999999994</v>
      </c>
      <c r="GS11" s="301">
        <v>529.36799999999994</v>
      </c>
      <c r="GT11" s="301">
        <v>490.68600000000004</v>
      </c>
      <c r="GU11" s="301">
        <v>568.75199999999995</v>
      </c>
      <c r="GV11" s="301">
        <v>574.18200000000002</v>
      </c>
      <c r="GW11" s="301">
        <v>431.97</v>
      </c>
      <c r="GX11" s="301">
        <v>433.60199999999998</v>
      </c>
      <c r="GY11" s="301">
        <v>472.93200000000002</v>
      </c>
      <c r="GZ11" s="301">
        <v>458.23800000000006</v>
      </c>
      <c r="HA11" s="301">
        <v>467.322</v>
      </c>
      <c r="HB11" s="301">
        <v>541.34999999999991</v>
      </c>
      <c r="HC11" s="301">
        <v>529.2059999999999</v>
      </c>
      <c r="HD11" s="301">
        <v>541.20000000000005</v>
      </c>
      <c r="HE11" s="301">
        <v>481.28399999999999</v>
      </c>
      <c r="HF11" s="301">
        <v>459.47399999999993</v>
      </c>
      <c r="HG11" s="301">
        <v>489.654</v>
      </c>
      <c r="HH11" s="301">
        <v>525</v>
      </c>
      <c r="HI11" s="301">
        <v>396.34800000000007</v>
      </c>
      <c r="HJ11" s="301">
        <v>455.08199999999999</v>
      </c>
      <c r="HK11" s="301">
        <v>502.99799999999999</v>
      </c>
      <c r="HL11" s="301">
        <v>525.726</v>
      </c>
      <c r="HM11" s="301">
        <v>487.98</v>
      </c>
      <c r="HN11" s="301">
        <v>537.03600000000006</v>
      </c>
      <c r="HO11" s="301">
        <v>470.43600000000004</v>
      </c>
      <c r="HP11" s="333">
        <v>522.10799999999995</v>
      </c>
      <c r="HQ11" s="333">
        <v>520.14</v>
      </c>
      <c r="HR11" s="333">
        <v>497.24399999999997</v>
      </c>
      <c r="HS11" s="333">
        <v>524.92200000000003</v>
      </c>
      <c r="HT11" s="333">
        <v>504.76199999999994</v>
      </c>
      <c r="HU11" s="333">
        <v>385.10399999999998</v>
      </c>
      <c r="HV11" s="301">
        <v>400.28399999999999</v>
      </c>
      <c r="HW11" s="301">
        <v>470.274</v>
      </c>
      <c r="HX11" s="301">
        <v>490.08000000000004</v>
      </c>
      <c r="HY11" s="301">
        <v>402.846</v>
      </c>
      <c r="HZ11" s="301">
        <v>425.76</v>
      </c>
      <c r="IA11" s="301">
        <v>404.49</v>
      </c>
      <c r="IB11" s="301">
        <v>431.08199999999999</v>
      </c>
      <c r="IC11" s="301">
        <v>444.06599999999997</v>
      </c>
      <c r="ID11" s="301">
        <v>420.072</v>
      </c>
      <c r="IE11" s="301">
        <v>453.35399999999998</v>
      </c>
      <c r="IF11" s="301">
        <v>461.322</v>
      </c>
      <c r="IG11" s="301">
        <v>417.96</v>
      </c>
      <c r="IH11" s="301">
        <v>405.46800000000002</v>
      </c>
      <c r="II11" s="301">
        <v>470.05799999999999</v>
      </c>
      <c r="IJ11" s="301">
        <v>518.72399999999993</v>
      </c>
      <c r="IK11" s="301">
        <v>487.20000000000005</v>
      </c>
      <c r="IL11" s="301">
        <v>528.51599999999996</v>
      </c>
      <c r="IM11" s="301">
        <v>532.65000000000009</v>
      </c>
      <c r="IN11" s="333">
        <v>538.51199999999994</v>
      </c>
      <c r="IO11" s="333">
        <v>581.40599999999995</v>
      </c>
      <c r="IP11" s="333">
        <v>532.76400000000001</v>
      </c>
      <c r="IQ11" s="333">
        <v>558.03</v>
      </c>
      <c r="IR11" s="333">
        <v>553.50600000000009</v>
      </c>
      <c r="IS11" s="333">
        <v>453.93</v>
      </c>
      <c r="IT11" s="333">
        <v>428.68799999999999</v>
      </c>
      <c r="IU11" s="333">
        <v>507.46199999999999</v>
      </c>
      <c r="IV11" s="333">
        <v>546.68399999999997</v>
      </c>
      <c r="IW11" s="334">
        <v>509.20400000000001</v>
      </c>
      <c r="IX11" s="334">
        <v>531.548</v>
      </c>
      <c r="IY11" s="334">
        <v>495.95600000000002</v>
      </c>
      <c r="IZ11" s="334">
        <v>595.50199999999995</v>
      </c>
      <c r="JA11" s="334">
        <v>706.38400000000001</v>
      </c>
      <c r="JB11" s="334">
        <v>647.05799999999999</v>
      </c>
      <c r="JC11" s="334">
        <v>596.13599999999997</v>
      </c>
      <c r="JD11" s="334">
        <v>581.80999999999995</v>
      </c>
      <c r="JE11" s="334">
        <v>626.72400000000005</v>
      </c>
      <c r="JF11" s="334">
        <v>659.44</v>
      </c>
      <c r="JG11" s="334">
        <v>625.11599999999999</v>
      </c>
      <c r="JH11" s="334">
        <v>560.846</v>
      </c>
      <c r="JI11" s="334">
        <v>593.476</v>
      </c>
      <c r="JJ11" s="334">
        <v>656.52599999999995</v>
      </c>
      <c r="JK11" s="335">
        <v>578.70399999999995</v>
      </c>
    </row>
    <row r="12" spans="1:271" x14ac:dyDescent="0.25">
      <c r="A12" s="303" t="s">
        <v>67</v>
      </c>
      <c r="B12" s="304">
        <v>597.06000000000006</v>
      </c>
      <c r="C12" s="304">
        <v>606.49199999999996</v>
      </c>
      <c r="D12" s="304">
        <v>638.178</v>
      </c>
      <c r="E12" s="304">
        <v>663.93000000000006</v>
      </c>
      <c r="F12" s="304">
        <v>674.08199999999999</v>
      </c>
      <c r="G12" s="304">
        <v>623.95799999999997</v>
      </c>
      <c r="H12" s="304">
        <v>634.404</v>
      </c>
      <c r="I12" s="304">
        <v>652.51800000000003</v>
      </c>
      <c r="J12" s="304">
        <v>623.14200000000005</v>
      </c>
      <c r="K12" s="304">
        <v>638.41200000000003</v>
      </c>
      <c r="L12" s="304">
        <v>619.89</v>
      </c>
      <c r="M12" s="304">
        <v>592.36200000000008</v>
      </c>
      <c r="N12" s="304">
        <v>593.976</v>
      </c>
      <c r="O12" s="304">
        <v>471.40800000000002</v>
      </c>
      <c r="P12" s="304">
        <v>696.73800000000006</v>
      </c>
      <c r="Q12" s="304">
        <v>615.36</v>
      </c>
      <c r="R12" s="304">
        <v>662.40000000000009</v>
      </c>
      <c r="S12" s="304">
        <v>631.90199999999993</v>
      </c>
      <c r="T12" s="304">
        <v>615.22199999999998</v>
      </c>
      <c r="U12" s="304">
        <v>522.68999999999994</v>
      </c>
      <c r="V12" s="304">
        <v>611.54999999999995</v>
      </c>
      <c r="W12" s="304">
        <v>670.56600000000003</v>
      </c>
      <c r="X12" s="304">
        <v>631.524</v>
      </c>
      <c r="Y12" s="304">
        <v>593.94600000000003</v>
      </c>
      <c r="Z12" s="304">
        <v>587.02800000000002</v>
      </c>
      <c r="AA12" s="304">
        <v>556.11</v>
      </c>
      <c r="AB12" s="304">
        <v>625.87199999999996</v>
      </c>
      <c r="AC12" s="304">
        <v>658.86</v>
      </c>
      <c r="AD12" s="304">
        <v>600.18600000000004</v>
      </c>
      <c r="AE12" s="304">
        <v>590.23199999999997</v>
      </c>
      <c r="AF12" s="304">
        <v>614.43000000000006</v>
      </c>
      <c r="AG12" s="304">
        <v>551.35799999999995</v>
      </c>
      <c r="AH12" s="304">
        <v>550.47</v>
      </c>
      <c r="AI12" s="304">
        <v>555.15599999999995</v>
      </c>
      <c r="AJ12" s="304">
        <v>365.68799999999999</v>
      </c>
      <c r="AK12" s="304">
        <v>300.56400000000002</v>
      </c>
      <c r="AL12" s="304">
        <v>320.02200000000005</v>
      </c>
      <c r="AM12" s="304">
        <v>326.346</v>
      </c>
      <c r="AN12" s="304">
        <v>336.27600000000001</v>
      </c>
      <c r="AO12" s="304">
        <v>359.85599999999999</v>
      </c>
      <c r="AP12" s="304">
        <v>388.36799999999994</v>
      </c>
      <c r="AQ12" s="304">
        <v>415.18799999999999</v>
      </c>
      <c r="AR12" s="304">
        <v>397.11600000000004</v>
      </c>
      <c r="AS12" s="304">
        <v>431.37</v>
      </c>
      <c r="AT12" s="304">
        <v>458.93400000000003</v>
      </c>
      <c r="AU12" s="304">
        <v>458.65800000000002</v>
      </c>
      <c r="AV12" s="304">
        <v>481.22399999999993</v>
      </c>
      <c r="AW12" s="304">
        <v>449.52600000000007</v>
      </c>
      <c r="AX12" s="304">
        <v>515.346</v>
      </c>
      <c r="AY12" s="304">
        <v>516.654</v>
      </c>
      <c r="AZ12" s="304">
        <v>520.35599999999999</v>
      </c>
      <c r="BA12" s="304">
        <v>539.07600000000002</v>
      </c>
      <c r="BB12" s="304">
        <v>542.50800000000004</v>
      </c>
      <c r="BC12" s="304">
        <v>549.58199999999999</v>
      </c>
      <c r="BD12" s="304">
        <v>578.09999999999991</v>
      </c>
      <c r="BE12" s="304">
        <v>582.13200000000006</v>
      </c>
      <c r="BF12" s="304">
        <v>709.38</v>
      </c>
      <c r="BG12" s="304">
        <v>727.13400000000001</v>
      </c>
      <c r="BH12" s="304">
        <v>718.77</v>
      </c>
      <c r="BI12" s="304">
        <v>621.75</v>
      </c>
      <c r="BJ12" s="304">
        <v>657.49800000000005</v>
      </c>
      <c r="BK12" s="304">
        <v>658.86</v>
      </c>
      <c r="BL12" s="304">
        <v>777.08400000000006</v>
      </c>
      <c r="BM12" s="304">
        <v>791.02199999999993</v>
      </c>
      <c r="BN12" s="304">
        <v>911.65200000000004</v>
      </c>
      <c r="BO12" s="304">
        <v>734.37599999999998</v>
      </c>
      <c r="BP12" s="304">
        <v>733.10400000000004</v>
      </c>
      <c r="BQ12" s="304">
        <v>764.67</v>
      </c>
      <c r="BR12" s="304">
        <v>769.09799999999996</v>
      </c>
      <c r="BS12" s="304">
        <v>776.43000000000006</v>
      </c>
      <c r="BT12" s="304">
        <v>809.45399999999995</v>
      </c>
      <c r="BU12" s="304">
        <v>762.43200000000002</v>
      </c>
      <c r="BV12" s="304">
        <v>854.53199999999993</v>
      </c>
      <c r="BW12" s="304">
        <v>907.84199999999987</v>
      </c>
      <c r="BX12" s="304">
        <v>929.02800000000002</v>
      </c>
      <c r="BY12" s="304">
        <v>959.09399999999994</v>
      </c>
      <c r="BZ12" s="304">
        <v>969.59399999999994</v>
      </c>
      <c r="CA12" s="304">
        <v>918.2940000000001</v>
      </c>
      <c r="CB12" s="304">
        <v>979.94400000000007</v>
      </c>
      <c r="CC12" s="304">
        <v>991.83</v>
      </c>
      <c r="CD12" s="304">
        <v>1026.8879999999999</v>
      </c>
      <c r="CE12" s="304">
        <v>1073.8679999999999</v>
      </c>
      <c r="CF12" s="304">
        <v>1117.806</v>
      </c>
      <c r="CG12" s="304">
        <v>1108.296</v>
      </c>
      <c r="CH12" s="304">
        <v>1156.1279999999999</v>
      </c>
      <c r="CI12" s="304">
        <v>1170.816</v>
      </c>
      <c r="CJ12" s="304">
        <v>1160.4960000000001</v>
      </c>
      <c r="CK12" s="304">
        <v>1116.7919999999999</v>
      </c>
      <c r="CL12" s="304">
        <v>1158.3720000000001</v>
      </c>
      <c r="CM12" s="304">
        <v>1161.99</v>
      </c>
      <c r="CN12" s="304">
        <v>1195.8419999999999</v>
      </c>
      <c r="CO12" s="304">
        <v>1466.124</v>
      </c>
      <c r="CP12" s="304">
        <v>1119.672</v>
      </c>
      <c r="CQ12" s="304">
        <v>1139.9639999999999</v>
      </c>
      <c r="CR12" s="304">
        <v>1054.902</v>
      </c>
      <c r="CS12" s="304">
        <v>1073.3879999999999</v>
      </c>
      <c r="CT12" s="304">
        <v>926.47800000000007</v>
      </c>
      <c r="CU12" s="304">
        <v>868.14599999999996</v>
      </c>
      <c r="CV12" s="304">
        <v>909.94200000000001</v>
      </c>
      <c r="CW12" s="304">
        <v>851.59199999999987</v>
      </c>
      <c r="CX12" s="304">
        <v>864.13799999999992</v>
      </c>
      <c r="CY12" s="304">
        <v>848.97600000000011</v>
      </c>
      <c r="CZ12" s="304">
        <v>861.18600000000004</v>
      </c>
      <c r="DA12" s="304">
        <v>845.13599999999997</v>
      </c>
      <c r="DB12" s="304">
        <v>836.62799999999993</v>
      </c>
      <c r="DC12" s="304">
        <v>870.94799999999987</v>
      </c>
      <c r="DD12" s="304">
        <v>858.798</v>
      </c>
      <c r="DE12" s="304">
        <v>864.02399999999989</v>
      </c>
      <c r="DF12" s="304">
        <v>708.25199999999995</v>
      </c>
      <c r="DG12" s="304">
        <v>778.78199999999993</v>
      </c>
      <c r="DH12" s="304">
        <v>831.07799999999997</v>
      </c>
      <c r="DI12" s="304">
        <v>854.30399999999986</v>
      </c>
      <c r="DJ12" s="304">
        <v>890.65200000000004</v>
      </c>
      <c r="DK12" s="304">
        <v>899.83800000000008</v>
      </c>
      <c r="DL12" s="304">
        <v>921.93600000000004</v>
      </c>
      <c r="DM12" s="304">
        <v>926.48399999999992</v>
      </c>
      <c r="DN12" s="304">
        <v>845.298</v>
      </c>
      <c r="DO12" s="304">
        <v>905.35199999999998</v>
      </c>
      <c r="DP12" s="304">
        <v>936.15000000000009</v>
      </c>
      <c r="DQ12" s="304">
        <v>988.87200000000007</v>
      </c>
      <c r="DR12" s="304">
        <v>1016.0939999999999</v>
      </c>
      <c r="DS12" s="304">
        <v>953.97600000000011</v>
      </c>
      <c r="DT12" s="304">
        <v>1076.442</v>
      </c>
      <c r="DU12" s="304">
        <v>852.87599999999998</v>
      </c>
      <c r="DV12" s="304">
        <v>1077.5340000000001</v>
      </c>
      <c r="DW12" s="304">
        <v>1101.18</v>
      </c>
      <c r="DX12" s="304">
        <v>1139.874</v>
      </c>
      <c r="DY12" s="304">
        <v>1141.7640000000001</v>
      </c>
      <c r="DZ12" s="304">
        <v>1151.616</v>
      </c>
      <c r="EA12" s="304">
        <v>1131.0120000000002</v>
      </c>
      <c r="EB12" s="304">
        <v>1172.922</v>
      </c>
      <c r="EC12" s="304">
        <v>1127.9939999999999</v>
      </c>
      <c r="ED12" s="304">
        <v>1176.7139999999999</v>
      </c>
      <c r="EE12" s="304">
        <v>1175.52</v>
      </c>
      <c r="EF12" s="304">
        <v>1205.2560000000001</v>
      </c>
      <c r="EG12" s="304">
        <v>1151.4780000000001</v>
      </c>
      <c r="EH12" s="304">
        <v>1297.1220000000001</v>
      </c>
      <c r="EI12" s="304">
        <v>1237.26</v>
      </c>
      <c r="EJ12" s="304">
        <v>1296.8820000000001</v>
      </c>
      <c r="EK12" s="304">
        <v>1336.1399999999999</v>
      </c>
      <c r="EL12" s="304">
        <v>1278.684</v>
      </c>
      <c r="EM12" s="304">
        <v>1336.704</v>
      </c>
      <c r="EN12" s="304">
        <v>1234.422</v>
      </c>
      <c r="EO12" s="304">
        <v>1189.722</v>
      </c>
      <c r="EP12" s="304">
        <v>1209.954</v>
      </c>
      <c r="EQ12" s="304">
        <v>1183.9380000000001</v>
      </c>
      <c r="ER12" s="304">
        <v>1284.1200000000001</v>
      </c>
      <c r="ES12" s="304">
        <v>1264.2719999999999</v>
      </c>
      <c r="ET12" s="304">
        <v>1328.04</v>
      </c>
      <c r="EU12" s="304">
        <v>1281.576</v>
      </c>
      <c r="EV12" s="304">
        <v>1335.9179999999999</v>
      </c>
      <c r="EW12" s="304">
        <v>1324.2840000000001</v>
      </c>
      <c r="EX12" s="304">
        <v>1263.51</v>
      </c>
      <c r="EY12" s="304">
        <v>1347.1200000000001</v>
      </c>
      <c r="EZ12" s="304">
        <v>1275.894</v>
      </c>
      <c r="FA12" s="304">
        <v>1266.078</v>
      </c>
      <c r="FB12" s="304">
        <v>1290.1679999999999</v>
      </c>
      <c r="FC12" s="304">
        <v>1200.33</v>
      </c>
      <c r="FD12" s="304">
        <v>1214.6279999999999</v>
      </c>
      <c r="FE12" s="304">
        <v>920.38799999999992</v>
      </c>
      <c r="FF12" s="304">
        <v>994.1880000000001</v>
      </c>
      <c r="FG12" s="304">
        <v>978.30599999999993</v>
      </c>
      <c r="FH12" s="304">
        <v>1035.2460000000001</v>
      </c>
      <c r="FI12" s="304">
        <v>1161.8039999999999</v>
      </c>
      <c r="FJ12" s="304">
        <v>1141.434</v>
      </c>
      <c r="FK12" s="304">
        <v>1168.8600000000001</v>
      </c>
      <c r="FL12" s="304">
        <v>1114.0440000000001</v>
      </c>
      <c r="FM12" s="304">
        <v>1088.184</v>
      </c>
      <c r="FN12" s="304">
        <v>1087.5720000000001</v>
      </c>
      <c r="FO12" s="304">
        <v>964.27199999999993</v>
      </c>
      <c r="FP12" s="304">
        <v>1021.998</v>
      </c>
      <c r="FQ12" s="304">
        <v>986.38199999999995</v>
      </c>
      <c r="FR12" s="304">
        <v>1023.1500000000001</v>
      </c>
      <c r="FS12" s="304">
        <v>992.74800000000005</v>
      </c>
      <c r="FT12" s="304">
        <v>1022.9760000000001</v>
      </c>
      <c r="FU12" s="304">
        <v>1014</v>
      </c>
      <c r="FV12" s="304">
        <v>947.87999999999988</v>
      </c>
      <c r="FW12" s="304">
        <v>979.80000000000007</v>
      </c>
      <c r="FX12" s="304">
        <v>960.62999999999988</v>
      </c>
      <c r="FY12" s="304">
        <v>976.64400000000001</v>
      </c>
      <c r="FZ12" s="304">
        <v>926.71199999999999</v>
      </c>
      <c r="GA12" s="304">
        <v>899.53800000000001</v>
      </c>
      <c r="GB12" s="304">
        <v>917.64599999999996</v>
      </c>
      <c r="GC12" s="304">
        <v>863.80799999999999</v>
      </c>
      <c r="GD12" s="304">
        <v>905.63400000000001</v>
      </c>
      <c r="GE12" s="304">
        <v>903.12599999999998</v>
      </c>
      <c r="GF12" s="304">
        <v>909.60599999999999</v>
      </c>
      <c r="GG12" s="304">
        <v>919.94400000000007</v>
      </c>
      <c r="GH12" s="304">
        <v>869.35799999999995</v>
      </c>
      <c r="GI12" s="304">
        <v>872.346</v>
      </c>
      <c r="GJ12" s="304">
        <v>879.13799999999992</v>
      </c>
      <c r="GK12" s="304">
        <v>848.53199999999993</v>
      </c>
      <c r="GL12" s="304">
        <v>847.68000000000006</v>
      </c>
      <c r="GM12" s="304">
        <v>795.02399999999989</v>
      </c>
      <c r="GN12" s="304">
        <v>885.97199999999998</v>
      </c>
      <c r="GO12" s="304">
        <v>735.36</v>
      </c>
      <c r="GP12" s="304">
        <v>791.75400000000002</v>
      </c>
      <c r="GQ12" s="304">
        <v>787.83</v>
      </c>
      <c r="GR12" s="304">
        <v>804.42599999999993</v>
      </c>
      <c r="GS12" s="304">
        <v>794.43600000000004</v>
      </c>
      <c r="GT12" s="304">
        <v>788.46</v>
      </c>
      <c r="GU12" s="304">
        <v>827.96399999999994</v>
      </c>
      <c r="GV12" s="304">
        <v>840.46800000000007</v>
      </c>
      <c r="GW12" s="304">
        <v>827.58</v>
      </c>
      <c r="GX12" s="304">
        <v>858.048</v>
      </c>
      <c r="GY12" s="304">
        <v>797.12999999999988</v>
      </c>
      <c r="GZ12" s="304">
        <v>898.78199999999993</v>
      </c>
      <c r="HA12" s="304">
        <v>851.61599999999999</v>
      </c>
      <c r="HB12" s="304">
        <v>913.00800000000004</v>
      </c>
      <c r="HC12" s="304">
        <v>866.28600000000006</v>
      </c>
      <c r="HD12" s="304">
        <v>894.58800000000008</v>
      </c>
      <c r="HE12" s="304">
        <v>916.31399999999996</v>
      </c>
      <c r="HF12" s="304">
        <v>898.47</v>
      </c>
      <c r="HG12" s="304">
        <v>918.702</v>
      </c>
      <c r="HH12" s="304">
        <v>783.46199999999999</v>
      </c>
      <c r="HI12" s="304">
        <v>874.74599999999998</v>
      </c>
      <c r="HJ12" s="304">
        <v>919.72199999999998</v>
      </c>
      <c r="HK12" s="304">
        <v>859.77</v>
      </c>
      <c r="HL12" s="304">
        <v>901.98</v>
      </c>
      <c r="HM12" s="304">
        <v>762.33600000000001</v>
      </c>
      <c r="HN12" s="304">
        <v>847.73399999999992</v>
      </c>
      <c r="HO12" s="304">
        <v>818.85599999999999</v>
      </c>
      <c r="HP12" s="304">
        <v>857.35799999999995</v>
      </c>
      <c r="HQ12" s="304">
        <v>865.62000000000012</v>
      </c>
      <c r="HR12" s="304">
        <v>727.84800000000007</v>
      </c>
      <c r="HS12" s="304">
        <v>872.91599999999994</v>
      </c>
      <c r="HT12" s="304">
        <v>847.90200000000004</v>
      </c>
      <c r="HU12" s="304">
        <v>630.19799999999998</v>
      </c>
      <c r="HV12" s="304">
        <v>567.726</v>
      </c>
      <c r="HW12" s="304">
        <v>551.96399999999994</v>
      </c>
      <c r="HX12" s="304">
        <v>578.64</v>
      </c>
      <c r="HY12" s="304">
        <v>553.83000000000004</v>
      </c>
      <c r="HZ12" s="304">
        <v>593.61599999999999</v>
      </c>
      <c r="IA12" s="304">
        <v>574.74599999999998</v>
      </c>
      <c r="IB12" s="304">
        <v>604.18200000000002</v>
      </c>
      <c r="IC12" s="304">
        <v>609.25800000000004</v>
      </c>
      <c r="ID12" s="304">
        <v>589.12800000000004</v>
      </c>
      <c r="IE12" s="304">
        <v>613.98</v>
      </c>
      <c r="IF12" s="304">
        <v>582.13200000000006</v>
      </c>
      <c r="IG12" s="304">
        <v>547.77600000000007</v>
      </c>
      <c r="IH12" s="304">
        <v>560.99399999999991</v>
      </c>
      <c r="II12" s="304">
        <v>531.08399999999995</v>
      </c>
      <c r="IJ12" s="304">
        <v>596.07600000000002</v>
      </c>
      <c r="IK12" s="304">
        <v>646.47</v>
      </c>
      <c r="IL12" s="304">
        <v>617.76599999999996</v>
      </c>
      <c r="IM12" s="304">
        <v>585.15000000000009</v>
      </c>
      <c r="IN12" s="12">
        <v>606.59999999999991</v>
      </c>
      <c r="IO12" s="12">
        <v>608.71199999999999</v>
      </c>
      <c r="IP12" s="12">
        <v>612.46800000000007</v>
      </c>
      <c r="IQ12" s="12">
        <v>641.65199999999993</v>
      </c>
      <c r="IR12" s="12">
        <v>639.52200000000005</v>
      </c>
      <c r="IS12" s="12">
        <v>647.12400000000002</v>
      </c>
      <c r="IT12" s="12">
        <v>649.29599999999994</v>
      </c>
      <c r="IU12" s="12">
        <v>590.67599999999993</v>
      </c>
      <c r="IV12" s="12">
        <v>659.67</v>
      </c>
      <c r="IW12" s="12">
        <v>646.03800000000001</v>
      </c>
      <c r="IX12" s="12">
        <v>684.35599999999999</v>
      </c>
      <c r="IY12" s="12">
        <v>610.43399999999997</v>
      </c>
      <c r="IZ12" s="12">
        <v>649.74599999999998</v>
      </c>
      <c r="JA12" s="12">
        <v>645.45000000000005</v>
      </c>
      <c r="JB12" s="12">
        <v>505.26</v>
      </c>
      <c r="JC12" s="12">
        <v>353.12200000000001</v>
      </c>
      <c r="JD12" s="12">
        <v>366.09399999999999</v>
      </c>
      <c r="JE12" s="12">
        <v>384.858</v>
      </c>
      <c r="JF12" s="12">
        <v>379.48200000000003</v>
      </c>
      <c r="JG12" s="12">
        <v>392.28</v>
      </c>
      <c r="JH12" s="12">
        <v>402.03399999999999</v>
      </c>
      <c r="JI12" s="12">
        <v>419.6</v>
      </c>
      <c r="JJ12" s="12">
        <v>434.51799999999997</v>
      </c>
      <c r="JK12" s="336">
        <v>415.91800000000001</v>
      </c>
    </row>
    <row r="13" spans="1:271" x14ac:dyDescent="0.25">
      <c r="A13" s="303" t="s">
        <v>161</v>
      </c>
      <c r="B13" s="301">
        <v>588.35400000000004</v>
      </c>
      <c r="C13" s="301">
        <v>557.95799999999997</v>
      </c>
      <c r="D13" s="301">
        <v>618.24</v>
      </c>
      <c r="E13" s="301">
        <v>575.56799999999998</v>
      </c>
      <c r="F13" s="301">
        <v>633.798</v>
      </c>
      <c r="G13" s="301">
        <v>592.38599999999997</v>
      </c>
      <c r="H13" s="301">
        <v>610.77600000000007</v>
      </c>
      <c r="I13" s="301">
        <v>659.64</v>
      </c>
      <c r="J13" s="301">
        <v>610.36200000000008</v>
      </c>
      <c r="K13" s="301">
        <v>717.846</v>
      </c>
      <c r="L13" s="301">
        <v>648.68399999999997</v>
      </c>
      <c r="M13" s="301">
        <v>779.05799999999999</v>
      </c>
      <c r="N13" s="301">
        <v>772.87200000000007</v>
      </c>
      <c r="O13" s="301">
        <v>595.548</v>
      </c>
      <c r="P13" s="301">
        <v>694.572</v>
      </c>
      <c r="Q13" s="301">
        <v>676.71600000000001</v>
      </c>
      <c r="R13" s="301">
        <v>725.48400000000004</v>
      </c>
      <c r="S13" s="301">
        <v>744.24</v>
      </c>
      <c r="T13" s="301">
        <v>760.75800000000004</v>
      </c>
      <c r="U13" s="301">
        <v>758.50800000000004</v>
      </c>
      <c r="V13" s="301">
        <v>698.57400000000007</v>
      </c>
      <c r="W13" s="301">
        <v>740.67</v>
      </c>
      <c r="X13" s="301">
        <v>739.73400000000004</v>
      </c>
      <c r="Y13" s="301">
        <v>723.726</v>
      </c>
      <c r="Z13" s="301">
        <v>726.34199999999998</v>
      </c>
      <c r="AA13" s="301">
        <v>668.84400000000005</v>
      </c>
      <c r="AB13" s="301">
        <v>712.53</v>
      </c>
      <c r="AC13" s="301">
        <v>687.702</v>
      </c>
      <c r="AD13" s="301">
        <v>843.36599999999999</v>
      </c>
      <c r="AE13" s="301">
        <v>639.34800000000007</v>
      </c>
      <c r="AF13" s="301">
        <v>644.40000000000009</v>
      </c>
      <c r="AG13" s="301">
        <v>630.72</v>
      </c>
      <c r="AH13" s="301">
        <v>658.05600000000004</v>
      </c>
      <c r="AI13" s="301">
        <v>743.39400000000001</v>
      </c>
      <c r="AJ13" s="301">
        <v>763.74599999999998</v>
      </c>
      <c r="AK13" s="301">
        <v>689.5440000000001</v>
      </c>
      <c r="AL13" s="301">
        <v>685.65000000000009</v>
      </c>
      <c r="AM13" s="301">
        <v>689.84999999999991</v>
      </c>
      <c r="AN13" s="301">
        <v>720.68399999999997</v>
      </c>
      <c r="AO13" s="301">
        <v>689.46</v>
      </c>
      <c r="AP13" s="301">
        <v>697.08600000000001</v>
      </c>
      <c r="AQ13" s="301">
        <v>903.07799999999997</v>
      </c>
      <c r="AR13" s="301">
        <v>928.2059999999999</v>
      </c>
      <c r="AS13" s="301">
        <v>970.47</v>
      </c>
      <c r="AT13" s="301">
        <v>932.31600000000003</v>
      </c>
      <c r="AU13" s="301">
        <v>729.59999999999991</v>
      </c>
      <c r="AV13" s="301">
        <v>736.69799999999998</v>
      </c>
      <c r="AW13" s="301">
        <v>659.81399999999996</v>
      </c>
      <c r="AX13" s="301">
        <v>823.06799999999998</v>
      </c>
      <c r="AY13" s="301">
        <v>858.70799999999997</v>
      </c>
      <c r="AZ13" s="301">
        <v>884.83800000000008</v>
      </c>
      <c r="BA13" s="301">
        <v>928.80000000000007</v>
      </c>
      <c r="BB13" s="301">
        <v>979.00199999999995</v>
      </c>
      <c r="BC13" s="301">
        <v>998.14200000000005</v>
      </c>
      <c r="BD13" s="301">
        <v>982.80000000000007</v>
      </c>
      <c r="BE13" s="301">
        <v>858.64800000000002</v>
      </c>
      <c r="BF13" s="301">
        <v>954.83400000000006</v>
      </c>
      <c r="BG13" s="301">
        <v>904.05000000000007</v>
      </c>
      <c r="BH13" s="301">
        <v>937.53600000000006</v>
      </c>
      <c r="BI13" s="301">
        <v>924.68399999999997</v>
      </c>
      <c r="BJ13" s="301">
        <v>917.53199999999993</v>
      </c>
      <c r="BK13" s="301">
        <v>919.51799999999992</v>
      </c>
      <c r="BL13" s="301">
        <v>951.27</v>
      </c>
      <c r="BM13" s="301">
        <v>905.50800000000004</v>
      </c>
      <c r="BN13" s="301">
        <v>959.99399999999991</v>
      </c>
      <c r="BO13" s="301">
        <v>927.56399999999996</v>
      </c>
      <c r="BP13" s="301">
        <v>964.62599999999998</v>
      </c>
      <c r="BQ13" s="301">
        <v>977.12999999999988</v>
      </c>
      <c r="BR13" s="301">
        <v>948.44999999999993</v>
      </c>
      <c r="BS13" s="301">
        <v>1006.3320000000001</v>
      </c>
      <c r="BT13" s="301">
        <v>1053.1619999999998</v>
      </c>
      <c r="BU13" s="301">
        <v>953.202</v>
      </c>
      <c r="BV13" s="301">
        <v>894.83999999999992</v>
      </c>
      <c r="BW13" s="301">
        <v>910.92</v>
      </c>
      <c r="BX13" s="301">
        <v>1018.9859999999999</v>
      </c>
      <c r="BY13" s="301">
        <v>1030.4580000000001</v>
      </c>
      <c r="BZ13" s="301">
        <v>1001.646</v>
      </c>
      <c r="CA13" s="301">
        <v>1030.83</v>
      </c>
      <c r="CB13" s="301">
        <v>1056.8519999999999</v>
      </c>
      <c r="CC13" s="301">
        <v>1093.44</v>
      </c>
      <c r="CD13" s="301">
        <v>1090.896</v>
      </c>
      <c r="CE13" s="301">
        <v>1140.018</v>
      </c>
      <c r="CF13" s="301">
        <v>1120.92</v>
      </c>
      <c r="CG13" s="301">
        <v>1088.346</v>
      </c>
      <c r="CH13" s="301">
        <v>1105.9740000000002</v>
      </c>
      <c r="CI13" s="301">
        <v>1100.0820000000001</v>
      </c>
      <c r="CJ13" s="301">
        <v>1143.066</v>
      </c>
      <c r="CK13" s="301">
        <v>1111.692</v>
      </c>
      <c r="CL13" s="301">
        <v>1088.8499999999999</v>
      </c>
      <c r="CM13" s="301">
        <v>1264.692</v>
      </c>
      <c r="CN13" s="301">
        <v>1132.6979999999999</v>
      </c>
      <c r="CO13" s="301">
        <v>1107.0539999999999</v>
      </c>
      <c r="CP13" s="301">
        <v>1123.434</v>
      </c>
      <c r="CQ13" s="301">
        <v>1116.864</v>
      </c>
      <c r="CR13" s="301">
        <v>1094.3820000000001</v>
      </c>
      <c r="CS13" s="301">
        <v>1066.296</v>
      </c>
      <c r="CT13" s="301">
        <v>1018.23</v>
      </c>
      <c r="CU13" s="301">
        <v>845.65800000000013</v>
      </c>
      <c r="CV13" s="301">
        <v>831.70799999999997</v>
      </c>
      <c r="CW13" s="301">
        <v>839.67</v>
      </c>
      <c r="CX13" s="301">
        <v>997.56</v>
      </c>
      <c r="CY13" s="301">
        <v>835.78800000000001</v>
      </c>
      <c r="CZ13" s="301">
        <v>774.48</v>
      </c>
      <c r="DA13" s="301">
        <v>779.60400000000004</v>
      </c>
      <c r="DB13" s="301">
        <v>761.60400000000004</v>
      </c>
      <c r="DC13" s="301">
        <v>761.68799999999999</v>
      </c>
      <c r="DD13" s="301">
        <v>777</v>
      </c>
      <c r="DE13" s="301">
        <v>673.02600000000007</v>
      </c>
      <c r="DF13" s="301">
        <v>661.26599999999996</v>
      </c>
      <c r="DG13" s="301">
        <v>644.07600000000002</v>
      </c>
      <c r="DH13" s="301">
        <v>719.44200000000001</v>
      </c>
      <c r="DI13" s="301">
        <v>671.226</v>
      </c>
      <c r="DJ13" s="301">
        <v>699.19200000000001</v>
      </c>
      <c r="DK13" s="301">
        <v>703.31999999999994</v>
      </c>
      <c r="DL13" s="301">
        <v>736.67399999999998</v>
      </c>
      <c r="DM13" s="301">
        <v>744.75600000000009</v>
      </c>
      <c r="DN13" s="301">
        <v>732.72</v>
      </c>
      <c r="DO13" s="301">
        <v>767.40000000000009</v>
      </c>
      <c r="DP13" s="301">
        <v>785.71199999999999</v>
      </c>
      <c r="DQ13" s="301">
        <v>798.87000000000012</v>
      </c>
      <c r="DR13" s="301">
        <v>729.33600000000001</v>
      </c>
      <c r="DS13" s="301">
        <v>666.61200000000008</v>
      </c>
      <c r="DT13" s="301">
        <v>749.53199999999993</v>
      </c>
      <c r="DU13" s="301">
        <v>706.86</v>
      </c>
      <c r="DV13" s="301">
        <v>732.81000000000006</v>
      </c>
      <c r="DW13" s="301">
        <v>714.61200000000008</v>
      </c>
      <c r="DX13" s="301">
        <v>715.08600000000001</v>
      </c>
      <c r="DY13" s="301">
        <v>741.28199999999993</v>
      </c>
      <c r="DZ13" s="301">
        <v>741.3</v>
      </c>
      <c r="EA13" s="301">
        <v>754.08</v>
      </c>
      <c r="EB13" s="301">
        <v>727.21800000000007</v>
      </c>
      <c r="EC13" s="301">
        <v>729.15000000000009</v>
      </c>
      <c r="ED13" s="301">
        <v>750.64800000000002</v>
      </c>
      <c r="EE13" s="301">
        <v>748.68000000000006</v>
      </c>
      <c r="EF13" s="301">
        <v>810.54600000000005</v>
      </c>
      <c r="EG13" s="301">
        <v>718.01400000000001</v>
      </c>
      <c r="EH13" s="301">
        <v>777.61200000000008</v>
      </c>
      <c r="EI13" s="301">
        <v>731.11200000000008</v>
      </c>
      <c r="EJ13" s="301">
        <v>755.67</v>
      </c>
      <c r="EK13" s="301">
        <v>762.43799999999999</v>
      </c>
      <c r="EL13" s="301">
        <v>733.83</v>
      </c>
      <c r="EM13" s="301">
        <v>790.96199999999999</v>
      </c>
      <c r="EN13" s="301">
        <v>767.16</v>
      </c>
      <c r="EO13" s="301">
        <v>741.76800000000003</v>
      </c>
      <c r="EP13" s="301">
        <v>798.41399999999999</v>
      </c>
      <c r="EQ13" s="301">
        <v>747.04200000000003</v>
      </c>
      <c r="ER13" s="301">
        <v>840.74399999999991</v>
      </c>
      <c r="ES13" s="301">
        <v>815.79</v>
      </c>
      <c r="ET13" s="301">
        <v>837.14400000000001</v>
      </c>
      <c r="EU13" s="301">
        <v>764.45400000000006</v>
      </c>
      <c r="EV13" s="301">
        <v>768.01799999999992</v>
      </c>
      <c r="EW13" s="301">
        <v>753.09</v>
      </c>
      <c r="EX13" s="301">
        <v>670.02</v>
      </c>
      <c r="EY13" s="301">
        <v>702.47399999999993</v>
      </c>
      <c r="EZ13" s="301">
        <v>692.23800000000006</v>
      </c>
      <c r="FA13" s="301">
        <v>648.20400000000006</v>
      </c>
      <c r="FB13" s="301">
        <v>567.93000000000006</v>
      </c>
      <c r="FC13" s="301">
        <v>553.11599999999999</v>
      </c>
      <c r="FD13" s="301">
        <v>620.51400000000001</v>
      </c>
      <c r="FE13" s="301">
        <v>608.77200000000005</v>
      </c>
      <c r="FF13" s="301">
        <v>644.32799999999997</v>
      </c>
      <c r="FG13" s="301">
        <v>530.66999999999996</v>
      </c>
      <c r="FH13" s="301">
        <v>644.88599999999997</v>
      </c>
      <c r="FI13" s="301">
        <v>625.79999999999995</v>
      </c>
      <c r="FJ13" s="301">
        <v>676.72799999999995</v>
      </c>
      <c r="FK13" s="301">
        <v>694.89</v>
      </c>
      <c r="FL13" s="301">
        <v>661.5</v>
      </c>
      <c r="FM13" s="301">
        <v>632.83199999999999</v>
      </c>
      <c r="FN13" s="301">
        <v>651.85799999999995</v>
      </c>
      <c r="FO13" s="301">
        <v>617.77200000000005</v>
      </c>
      <c r="FP13" s="301">
        <v>664.77600000000007</v>
      </c>
      <c r="FQ13" s="301">
        <v>617.14800000000002</v>
      </c>
      <c r="FR13" s="301">
        <v>625.14599999999996</v>
      </c>
      <c r="FS13" s="301">
        <v>611.22</v>
      </c>
      <c r="FT13" s="301">
        <v>493.53</v>
      </c>
      <c r="FU13" s="301">
        <v>485.214</v>
      </c>
      <c r="FV13" s="301">
        <v>464.36400000000003</v>
      </c>
      <c r="FW13" s="301">
        <v>471.42599999999999</v>
      </c>
      <c r="FX13" s="301">
        <v>473.74199999999996</v>
      </c>
      <c r="FY13" s="301">
        <v>427.17599999999999</v>
      </c>
      <c r="FZ13" s="301">
        <v>423.678</v>
      </c>
      <c r="GA13" s="301">
        <v>442.92599999999999</v>
      </c>
      <c r="GB13" s="301">
        <v>475.464</v>
      </c>
      <c r="GC13" s="301">
        <v>438.37199999999996</v>
      </c>
      <c r="GD13" s="301">
        <v>435.94200000000001</v>
      </c>
      <c r="GE13" s="301">
        <v>428.50200000000001</v>
      </c>
      <c r="GF13" s="301">
        <v>404.01</v>
      </c>
      <c r="GG13" s="301">
        <v>400.14</v>
      </c>
      <c r="GH13" s="301">
        <v>375.93</v>
      </c>
      <c r="GI13" s="301">
        <v>364.53000000000003</v>
      </c>
      <c r="GJ13" s="301">
        <v>355.78800000000001</v>
      </c>
      <c r="GK13" s="301">
        <v>347.43599999999998</v>
      </c>
      <c r="GL13" s="301">
        <v>403.87800000000004</v>
      </c>
      <c r="GM13" s="301">
        <v>326.07</v>
      </c>
      <c r="GN13" s="301">
        <v>359.58600000000001</v>
      </c>
      <c r="GO13" s="301">
        <v>328.70400000000001</v>
      </c>
      <c r="GP13" s="301">
        <v>368.31600000000003</v>
      </c>
      <c r="GQ13" s="301">
        <v>363.28800000000001</v>
      </c>
      <c r="GR13" s="301">
        <v>374.53199999999998</v>
      </c>
      <c r="GS13" s="301">
        <v>409.69799999999998</v>
      </c>
      <c r="GT13" s="301">
        <v>391.63799999999998</v>
      </c>
      <c r="GU13" s="301">
        <v>395.16600000000005</v>
      </c>
      <c r="GV13" s="301">
        <v>405.036</v>
      </c>
      <c r="GW13" s="301">
        <v>377.45400000000001</v>
      </c>
      <c r="GX13" s="301">
        <v>381.63600000000002</v>
      </c>
      <c r="GY13" s="301">
        <v>340.09199999999998</v>
      </c>
      <c r="GZ13" s="301">
        <v>375.39600000000002</v>
      </c>
      <c r="HA13" s="301">
        <v>372.01800000000003</v>
      </c>
      <c r="HB13" s="301">
        <v>391.45799999999997</v>
      </c>
      <c r="HC13" s="301">
        <v>370.29599999999999</v>
      </c>
      <c r="HD13" s="301">
        <v>356.24400000000003</v>
      </c>
      <c r="HE13" s="301">
        <v>392.10599999999999</v>
      </c>
      <c r="HF13" s="301">
        <v>361.59000000000003</v>
      </c>
      <c r="HG13" s="301">
        <v>351.99</v>
      </c>
      <c r="HH13" s="301">
        <v>385.66200000000003</v>
      </c>
      <c r="HI13" s="301">
        <v>347.274</v>
      </c>
      <c r="HJ13" s="301">
        <v>372.11399999999998</v>
      </c>
      <c r="HK13" s="301">
        <v>341.76599999999996</v>
      </c>
      <c r="HL13" s="301">
        <v>374.11799999999999</v>
      </c>
      <c r="HM13" s="301">
        <v>342.03000000000003</v>
      </c>
      <c r="HN13" s="301">
        <v>367.86599999999999</v>
      </c>
      <c r="HO13" s="301">
        <v>338.83199999999999</v>
      </c>
      <c r="HP13" s="333">
        <v>351.654</v>
      </c>
      <c r="HQ13" s="333">
        <v>348.12599999999998</v>
      </c>
      <c r="HR13" s="333">
        <v>331.26</v>
      </c>
      <c r="HS13" s="333">
        <v>337.83</v>
      </c>
      <c r="HT13" s="333">
        <v>330.89400000000001</v>
      </c>
      <c r="HU13" s="333">
        <v>295.81799999999998</v>
      </c>
      <c r="HV13" s="301">
        <v>304.80600000000004</v>
      </c>
      <c r="HW13" s="301">
        <v>291.06600000000003</v>
      </c>
      <c r="HX13" s="301">
        <v>221.142</v>
      </c>
      <c r="HY13" s="301">
        <v>161.54399999999998</v>
      </c>
      <c r="HZ13" s="301">
        <v>266.964</v>
      </c>
      <c r="IA13" s="301">
        <v>268.39799999999997</v>
      </c>
      <c r="IB13" s="301">
        <v>251.13600000000002</v>
      </c>
      <c r="IC13" s="301">
        <v>246.108</v>
      </c>
      <c r="ID13" s="301">
        <v>106.06800000000001</v>
      </c>
      <c r="IE13" s="301">
        <v>233.55600000000001</v>
      </c>
      <c r="IF13" s="301">
        <v>216.58199999999999</v>
      </c>
      <c r="IG13" s="301">
        <v>140.86199999999999</v>
      </c>
      <c r="IH13" s="301">
        <v>78.641999999999996</v>
      </c>
      <c r="II13" s="301">
        <v>55.59</v>
      </c>
      <c r="IJ13" s="301">
        <v>71.460000000000008</v>
      </c>
      <c r="IK13" s="301">
        <v>44.94</v>
      </c>
      <c r="IL13" s="301">
        <v>46.686</v>
      </c>
      <c r="IM13" s="301">
        <v>98.74799999999999</v>
      </c>
      <c r="IN13" s="333">
        <v>74.543999999999997</v>
      </c>
      <c r="IO13" s="333">
        <v>38.49</v>
      </c>
      <c r="IP13" s="333">
        <v>31.991999999999997</v>
      </c>
      <c r="IQ13" s="333">
        <v>34.433999999999997</v>
      </c>
      <c r="IR13" s="333">
        <v>36.936</v>
      </c>
      <c r="IS13" s="333">
        <v>94.475999999999999</v>
      </c>
      <c r="IT13" s="333">
        <v>36.936</v>
      </c>
      <c r="IU13" s="333">
        <v>34.001999999999995</v>
      </c>
      <c r="IV13" s="333">
        <v>39.57</v>
      </c>
      <c r="IW13" s="334">
        <v>22.148</v>
      </c>
      <c r="IX13" s="334">
        <v>40.677999999999997</v>
      </c>
      <c r="IY13" s="334">
        <v>36.008000000000003</v>
      </c>
      <c r="IZ13" s="334">
        <v>27.306000000000001</v>
      </c>
      <c r="JA13" s="334">
        <v>46.451999999999998</v>
      </c>
      <c r="JB13" s="334">
        <v>29.367999999999999</v>
      </c>
      <c r="JC13" s="334">
        <v>23.277999999999999</v>
      </c>
      <c r="JD13" s="334">
        <v>25.896000000000001</v>
      </c>
      <c r="JE13" s="334">
        <v>25.376000000000001</v>
      </c>
      <c r="JF13" s="334">
        <v>22.702000000000002</v>
      </c>
      <c r="JG13" s="334">
        <v>20.832000000000001</v>
      </c>
      <c r="JH13" s="334">
        <v>88.311999999999998</v>
      </c>
      <c r="JI13" s="334">
        <v>378.81599999999997</v>
      </c>
      <c r="JJ13" s="334">
        <v>19.803999999999998</v>
      </c>
      <c r="JK13" s="335">
        <v>14.9</v>
      </c>
    </row>
    <row r="14" spans="1:271" x14ac:dyDescent="0.25">
      <c r="A14" s="303" t="s">
        <v>68</v>
      </c>
      <c r="B14" s="304">
        <v>4753.32</v>
      </c>
      <c r="C14" s="304">
        <v>4787.9639999999999</v>
      </c>
      <c r="D14" s="304">
        <v>5073.09</v>
      </c>
      <c r="E14" s="304">
        <v>5028.4139999999998</v>
      </c>
      <c r="F14" s="304">
        <v>5402.0340000000006</v>
      </c>
      <c r="G14" s="304">
        <v>5044.8960000000006</v>
      </c>
      <c r="H14" s="304">
        <v>5524.2960000000003</v>
      </c>
      <c r="I14" s="304">
        <v>5345.058</v>
      </c>
      <c r="J14" s="304">
        <v>4962.2280000000001</v>
      </c>
      <c r="K14" s="304">
        <v>4991.13</v>
      </c>
      <c r="L14" s="304">
        <v>4895.4840000000004</v>
      </c>
      <c r="M14" s="304">
        <v>4711.5659999999998</v>
      </c>
      <c r="N14" s="304">
        <v>5086.0259999999998</v>
      </c>
      <c r="O14" s="304">
        <v>4081.0860000000002</v>
      </c>
      <c r="P14" s="304">
        <v>4631.46</v>
      </c>
      <c r="Q14" s="304">
        <v>4783.6859999999997</v>
      </c>
      <c r="R14" s="304">
        <v>4625.4960000000001</v>
      </c>
      <c r="S14" s="304">
        <v>4614.4740000000002</v>
      </c>
      <c r="T14" s="304">
        <v>5443.1819999999998</v>
      </c>
      <c r="U14" s="304">
        <v>4472.8440000000001</v>
      </c>
      <c r="V14" s="304">
        <v>4833.2039999999997</v>
      </c>
      <c r="W14" s="304">
        <v>4730.46</v>
      </c>
      <c r="X14" s="304">
        <v>4654.92</v>
      </c>
      <c r="Y14" s="304">
        <v>5021.1660000000002</v>
      </c>
      <c r="Z14" s="304">
        <v>5009.7300000000005</v>
      </c>
      <c r="AA14" s="304">
        <v>4929.1139999999996</v>
      </c>
      <c r="AB14" s="304">
        <v>5263.4459999999999</v>
      </c>
      <c r="AC14" s="304">
        <v>5046.0119999999997</v>
      </c>
      <c r="AD14" s="304">
        <v>5082.3119999999999</v>
      </c>
      <c r="AE14" s="304">
        <v>5333.0460000000003</v>
      </c>
      <c r="AF14" s="304">
        <v>5622.9659999999994</v>
      </c>
      <c r="AG14" s="304">
        <v>5446.8239999999996</v>
      </c>
      <c r="AH14" s="304">
        <v>5412.6479999999992</v>
      </c>
      <c r="AI14" s="304">
        <v>5395.1039999999994</v>
      </c>
      <c r="AJ14" s="304">
        <v>5180.8919999999998</v>
      </c>
      <c r="AK14" s="304">
        <v>5564.1179999999995</v>
      </c>
      <c r="AL14" s="304">
        <v>5203.5480000000007</v>
      </c>
      <c r="AM14" s="304">
        <v>5158.4519999999993</v>
      </c>
      <c r="AN14" s="304">
        <v>5187.8040000000001</v>
      </c>
      <c r="AO14" s="304">
        <v>4966.4580000000005</v>
      </c>
      <c r="AP14" s="304">
        <v>5029.2240000000002</v>
      </c>
      <c r="AQ14" s="304">
        <v>5509.7280000000001</v>
      </c>
      <c r="AR14" s="304">
        <v>5193.2880000000005</v>
      </c>
      <c r="AS14" s="304">
        <v>5222.8919999999998</v>
      </c>
      <c r="AT14" s="304">
        <v>5123.1660000000002</v>
      </c>
      <c r="AU14" s="304">
        <v>5007.0059999999994</v>
      </c>
      <c r="AV14" s="304">
        <v>5474.808</v>
      </c>
      <c r="AW14" s="304">
        <v>4957.9439999999995</v>
      </c>
      <c r="AX14" s="304">
        <v>4918.6080000000002</v>
      </c>
      <c r="AY14" s="304">
        <v>4758.3599999999997</v>
      </c>
      <c r="AZ14" s="304">
        <v>4938.0540000000001</v>
      </c>
      <c r="BA14" s="304">
        <v>4762.482</v>
      </c>
      <c r="BB14" s="304">
        <v>4992.8220000000001</v>
      </c>
      <c r="BC14" s="304">
        <v>5254.4519999999993</v>
      </c>
      <c r="BD14" s="304">
        <v>4921.8720000000003</v>
      </c>
      <c r="BE14" s="304">
        <v>4935.9059999999999</v>
      </c>
      <c r="BF14" s="304">
        <v>4918.0380000000005</v>
      </c>
      <c r="BG14" s="304">
        <v>4936.848</v>
      </c>
      <c r="BH14" s="304">
        <v>4970.2259999999997</v>
      </c>
      <c r="BI14" s="304">
        <v>5045.9580000000005</v>
      </c>
      <c r="BJ14" s="304">
        <v>4955.8019999999997</v>
      </c>
      <c r="BK14" s="304">
        <v>4840.0920000000006</v>
      </c>
      <c r="BL14" s="304">
        <v>5157.21</v>
      </c>
      <c r="BM14" s="304">
        <v>5050.0020000000004</v>
      </c>
      <c r="BN14" s="304">
        <v>5353.9560000000001</v>
      </c>
      <c r="BO14" s="304">
        <v>5692.2479999999996</v>
      </c>
      <c r="BP14" s="304">
        <v>5431.3320000000003</v>
      </c>
      <c r="BQ14" s="304">
        <v>5708.7780000000002</v>
      </c>
      <c r="BR14" s="304">
        <v>5388.4380000000001</v>
      </c>
      <c r="BS14" s="304">
        <v>5378.64</v>
      </c>
      <c r="BT14" s="304">
        <v>5360.3760000000002</v>
      </c>
      <c r="BU14" s="304">
        <v>5471.0039999999999</v>
      </c>
      <c r="BV14" s="304">
        <v>5357.5860000000002</v>
      </c>
      <c r="BW14" s="304">
        <v>5287.3979999999992</v>
      </c>
      <c r="BX14" s="304">
        <v>5721.5879999999997</v>
      </c>
      <c r="BY14" s="304">
        <v>5456.2860000000001</v>
      </c>
      <c r="BZ14" s="304">
        <v>5720.22</v>
      </c>
      <c r="CA14" s="304">
        <v>6014.0879999999997</v>
      </c>
      <c r="CB14" s="304">
        <v>6119.2380000000003</v>
      </c>
      <c r="CC14" s="304">
        <v>5721.384</v>
      </c>
      <c r="CD14" s="304">
        <v>5629.0020000000004</v>
      </c>
      <c r="CE14" s="304">
        <v>5869.308</v>
      </c>
      <c r="CF14" s="304">
        <v>6839.7780000000002</v>
      </c>
      <c r="CG14" s="304">
        <v>5974.5599999999995</v>
      </c>
      <c r="CH14" s="304">
        <v>5840.076</v>
      </c>
      <c r="CI14" s="304">
        <v>5859.1980000000003</v>
      </c>
      <c r="CJ14" s="304">
        <v>5738.9759999999997</v>
      </c>
      <c r="CK14" s="304">
        <v>5959.7699999999995</v>
      </c>
      <c r="CL14" s="304">
        <v>6403.86</v>
      </c>
      <c r="CM14" s="304">
        <v>6059.6639999999998</v>
      </c>
      <c r="CN14" s="304">
        <v>6097.308</v>
      </c>
      <c r="CO14" s="304">
        <v>6016.098</v>
      </c>
      <c r="CP14" s="304">
        <v>5770.14</v>
      </c>
      <c r="CQ14" s="304">
        <v>6145.7160000000003</v>
      </c>
      <c r="CR14" s="304">
        <v>5951.1</v>
      </c>
      <c r="CS14" s="304">
        <v>5811.5940000000001</v>
      </c>
      <c r="CT14" s="304">
        <v>6113.9639999999999</v>
      </c>
      <c r="CU14" s="304">
        <v>5835.0419999999995</v>
      </c>
      <c r="CV14" s="304">
        <v>6435.018</v>
      </c>
      <c r="CW14" s="304">
        <v>6625.2000000000007</v>
      </c>
      <c r="CX14" s="304">
        <v>6592.4160000000011</v>
      </c>
      <c r="CY14" s="304">
        <v>6492.384</v>
      </c>
      <c r="CZ14" s="304">
        <v>6794.25</v>
      </c>
      <c r="DA14" s="304">
        <v>6644.0399999999991</v>
      </c>
      <c r="DB14" s="304">
        <v>6558.1439999999993</v>
      </c>
      <c r="DC14" s="304">
        <v>6986.2199999999993</v>
      </c>
      <c r="DD14" s="304">
        <v>6412.32</v>
      </c>
      <c r="DE14" s="304">
        <v>6515.5079999999998</v>
      </c>
      <c r="DF14" s="304">
        <v>6469.1940000000004</v>
      </c>
      <c r="DG14" s="304">
        <v>6500.3099999999995</v>
      </c>
      <c r="DH14" s="304">
        <v>6836.0939999999991</v>
      </c>
      <c r="DI14" s="304">
        <v>7213.77</v>
      </c>
      <c r="DJ14" s="304">
        <v>6948.2459999999992</v>
      </c>
      <c r="DK14" s="304">
        <v>7110.6180000000004</v>
      </c>
      <c r="DL14" s="304">
        <v>7139.3580000000002</v>
      </c>
      <c r="DM14" s="304">
        <v>7191.4139999999998</v>
      </c>
      <c r="DN14" s="304">
        <v>7229.3760000000002</v>
      </c>
      <c r="DO14" s="304">
        <v>7172.5619999999999</v>
      </c>
      <c r="DP14" s="304">
        <v>7169.9940000000006</v>
      </c>
      <c r="DQ14" s="304">
        <v>7384.4579999999996</v>
      </c>
      <c r="DR14" s="304">
        <v>7320.4259999999995</v>
      </c>
      <c r="DS14" s="304">
        <v>7162.3020000000006</v>
      </c>
      <c r="DT14" s="304">
        <v>7833.9060000000009</v>
      </c>
      <c r="DU14" s="304">
        <v>7896.0239999999994</v>
      </c>
      <c r="DV14" s="304">
        <v>8088.8760000000002</v>
      </c>
      <c r="DW14" s="304">
        <v>7844.3460000000005</v>
      </c>
      <c r="DX14" s="304">
        <v>8218.11</v>
      </c>
      <c r="DY14" s="304">
        <v>8605.2959999999985</v>
      </c>
      <c r="DZ14" s="304">
        <v>8738.0399999999991</v>
      </c>
      <c r="EA14" s="304">
        <v>8368.56</v>
      </c>
      <c r="EB14" s="304">
        <v>8667.7260000000006</v>
      </c>
      <c r="EC14" s="304">
        <v>8695.8180000000011</v>
      </c>
      <c r="ED14" s="304">
        <v>8614.3320000000003</v>
      </c>
      <c r="EE14" s="304">
        <v>8660.1779999999999</v>
      </c>
      <c r="EF14" s="304">
        <v>8726.2619999999988</v>
      </c>
      <c r="EG14" s="304">
        <v>8621.0339999999997</v>
      </c>
      <c r="EH14" s="304">
        <v>9190.4459999999999</v>
      </c>
      <c r="EI14" s="304">
        <v>8983.5420000000013</v>
      </c>
      <c r="EJ14" s="304">
        <v>9117.8760000000002</v>
      </c>
      <c r="EK14" s="304">
        <v>9206.2980000000007</v>
      </c>
      <c r="EL14" s="304">
        <v>8920.83</v>
      </c>
      <c r="EM14" s="304">
        <v>9368.598</v>
      </c>
      <c r="EN14" s="304">
        <v>9204.5040000000008</v>
      </c>
      <c r="EO14" s="304">
        <v>8709.33</v>
      </c>
      <c r="EP14" s="304">
        <v>9485.7899999999991</v>
      </c>
      <c r="EQ14" s="304">
        <v>8746.8780000000006</v>
      </c>
      <c r="ER14" s="304">
        <v>9191.76</v>
      </c>
      <c r="ES14" s="304">
        <v>9093.0119999999988</v>
      </c>
      <c r="ET14" s="304">
        <v>8997.8279999999995</v>
      </c>
      <c r="EU14" s="304">
        <v>8768.7479999999996</v>
      </c>
      <c r="EV14" s="304">
        <v>8756.0399999999991</v>
      </c>
      <c r="EW14" s="304">
        <v>8602.2659999999996</v>
      </c>
      <c r="EX14" s="304">
        <v>8123.0820000000003</v>
      </c>
      <c r="EY14" s="304">
        <v>8515.2659999999996</v>
      </c>
      <c r="EZ14" s="304">
        <v>8887.866</v>
      </c>
      <c r="FA14" s="304">
        <v>7899.0720000000001</v>
      </c>
      <c r="FB14" s="304">
        <v>7751.3099999999995</v>
      </c>
      <c r="FC14" s="304">
        <v>7516.2959999999994</v>
      </c>
      <c r="FD14" s="304">
        <v>7690.0380000000005</v>
      </c>
      <c r="FE14" s="304">
        <v>7419.0720000000001</v>
      </c>
      <c r="FF14" s="304">
        <v>7826.8080000000009</v>
      </c>
      <c r="FG14" s="304">
        <v>7597.5720000000001</v>
      </c>
      <c r="FH14" s="304">
        <v>7915.848</v>
      </c>
      <c r="FI14" s="304">
        <v>7615.7459999999992</v>
      </c>
      <c r="FJ14" s="304">
        <v>7554.4259999999995</v>
      </c>
      <c r="FK14" s="304">
        <v>7792.0559999999996</v>
      </c>
      <c r="FL14" s="304">
        <v>7559.0580000000009</v>
      </c>
      <c r="FM14" s="304">
        <v>7588.26</v>
      </c>
      <c r="FN14" s="304">
        <v>7407.6779999999999</v>
      </c>
      <c r="FO14" s="304">
        <v>7203.2100000000009</v>
      </c>
      <c r="FP14" s="304">
        <v>7741.2420000000002</v>
      </c>
      <c r="FQ14" s="304">
        <v>7701.9060000000009</v>
      </c>
      <c r="FR14" s="304">
        <v>7871.0939999999991</v>
      </c>
      <c r="FS14" s="304">
        <v>7907.2920000000004</v>
      </c>
      <c r="FT14" s="304">
        <v>8054.4719999999998</v>
      </c>
      <c r="FU14" s="304">
        <v>8205.5760000000009</v>
      </c>
      <c r="FV14" s="304">
        <v>7743.3719999999994</v>
      </c>
      <c r="FW14" s="304">
        <v>7752.264000000001</v>
      </c>
      <c r="FX14" s="304">
        <v>7815.7380000000003</v>
      </c>
      <c r="FY14" s="304">
        <v>7796.0040000000008</v>
      </c>
      <c r="FZ14" s="304">
        <v>7827.5999999999995</v>
      </c>
      <c r="GA14" s="304">
        <v>8026.2659999999996</v>
      </c>
      <c r="GB14" s="304">
        <v>8126.8860000000004</v>
      </c>
      <c r="GC14" s="304">
        <v>7941.924</v>
      </c>
      <c r="GD14" s="304">
        <v>8397.06</v>
      </c>
      <c r="GE14" s="304">
        <v>8321.7240000000002</v>
      </c>
      <c r="GF14" s="304">
        <v>7812.9600000000009</v>
      </c>
      <c r="GG14" s="304">
        <v>8338.7999999999993</v>
      </c>
      <c r="GH14" s="304">
        <v>7971.4139999999998</v>
      </c>
      <c r="GI14" s="304">
        <v>8093.8499999999995</v>
      </c>
      <c r="GJ14" s="304">
        <v>8214.8940000000002</v>
      </c>
      <c r="GK14" s="304">
        <v>7972.5779999999995</v>
      </c>
      <c r="GL14" s="304">
        <v>8162.4479999999994</v>
      </c>
      <c r="GM14" s="304">
        <v>7934.8979999999992</v>
      </c>
      <c r="GN14" s="304">
        <v>8574.7079999999987</v>
      </c>
      <c r="GO14" s="304">
        <v>7931.3939999999993</v>
      </c>
      <c r="GP14" s="304">
        <v>8601.5339999999997</v>
      </c>
      <c r="GQ14" s="304">
        <v>8448.6660000000011</v>
      </c>
      <c r="GR14" s="304">
        <v>8759.3819999999996</v>
      </c>
      <c r="GS14" s="304">
        <v>8980.9979999999996</v>
      </c>
      <c r="GT14" s="304">
        <v>8513.0640000000003</v>
      </c>
      <c r="GU14" s="304">
        <v>8857.5480000000007</v>
      </c>
      <c r="GV14" s="304">
        <v>8992.41</v>
      </c>
      <c r="GW14" s="304">
        <v>8642.6939999999995</v>
      </c>
      <c r="GX14" s="304">
        <v>9196.17</v>
      </c>
      <c r="GY14" s="304">
        <v>9058.9920000000002</v>
      </c>
      <c r="GZ14" s="304">
        <v>9600.5939999999991</v>
      </c>
      <c r="HA14" s="304">
        <v>9370.1579999999994</v>
      </c>
      <c r="HB14" s="304">
        <v>9739.2060000000001</v>
      </c>
      <c r="HC14" s="304">
        <v>9580.2659999999996</v>
      </c>
      <c r="HD14" s="304">
        <v>9912.7559999999994</v>
      </c>
      <c r="HE14" s="304">
        <v>9973.14</v>
      </c>
      <c r="HF14" s="304">
        <v>9312.0839999999989</v>
      </c>
      <c r="HG14" s="304">
        <v>9891.1859999999997</v>
      </c>
      <c r="HH14" s="304">
        <v>9772.4760000000006</v>
      </c>
      <c r="HI14" s="304">
        <v>9383.369999999999</v>
      </c>
      <c r="HJ14" s="304">
        <v>9911.8320000000003</v>
      </c>
      <c r="HK14" s="304">
        <v>9405.24</v>
      </c>
      <c r="HL14" s="304">
        <v>10013.315999999999</v>
      </c>
      <c r="HM14" s="304">
        <v>9681.2459999999992</v>
      </c>
      <c r="HN14" s="304">
        <v>10394.304</v>
      </c>
      <c r="HO14" s="304">
        <v>9778.4340000000011</v>
      </c>
      <c r="HP14" s="304">
        <v>10462.266</v>
      </c>
      <c r="HQ14" s="304">
        <v>10313.795999999998</v>
      </c>
      <c r="HR14" s="304">
        <v>9896.73</v>
      </c>
      <c r="HS14" s="304">
        <v>10404.011999999999</v>
      </c>
      <c r="HT14" s="304">
        <v>10167.078</v>
      </c>
      <c r="HU14" s="304">
        <v>9960.9719999999998</v>
      </c>
      <c r="HV14" s="304">
        <v>10155.27</v>
      </c>
      <c r="HW14" s="304">
        <v>10044.93</v>
      </c>
      <c r="HX14" s="304">
        <v>10206.216</v>
      </c>
      <c r="HY14" s="304">
        <v>9630.4680000000008</v>
      </c>
      <c r="HZ14" s="304">
        <v>10274.754000000001</v>
      </c>
      <c r="IA14" s="304">
        <v>10394.25</v>
      </c>
      <c r="IB14" s="304">
        <v>10434.456</v>
      </c>
      <c r="IC14" s="304">
        <v>10542.498</v>
      </c>
      <c r="ID14" s="304">
        <v>10339.542000000001</v>
      </c>
      <c r="IE14" s="304">
        <v>10570.434000000001</v>
      </c>
      <c r="IF14" s="304">
        <v>10518.42</v>
      </c>
      <c r="IG14" s="304">
        <v>10340.352000000001</v>
      </c>
      <c r="IH14" s="304">
        <v>10541.652</v>
      </c>
      <c r="II14" s="304">
        <v>9853.098</v>
      </c>
      <c r="IJ14" s="304">
        <v>11164.326000000001</v>
      </c>
      <c r="IK14" s="304">
        <v>10604.808000000001</v>
      </c>
      <c r="IL14" s="304">
        <v>11066.022000000001</v>
      </c>
      <c r="IM14" s="304">
        <v>10789.53</v>
      </c>
      <c r="IN14" s="12">
        <v>11076.342000000001</v>
      </c>
      <c r="IO14" s="12">
        <v>10956.672</v>
      </c>
      <c r="IP14" s="12">
        <v>10837.02</v>
      </c>
      <c r="IQ14" s="12">
        <v>11115.348</v>
      </c>
      <c r="IR14" s="12">
        <v>11105.058000000001</v>
      </c>
      <c r="IS14" s="12">
        <v>10781.814</v>
      </c>
      <c r="IT14" s="12">
        <v>10904.55</v>
      </c>
      <c r="IU14" s="12">
        <v>10441.884</v>
      </c>
      <c r="IV14" s="12">
        <v>11071.8</v>
      </c>
      <c r="IW14" s="12">
        <v>10634.683999999999</v>
      </c>
      <c r="IX14" s="12">
        <v>11158.976000000001</v>
      </c>
      <c r="IY14" s="12">
        <v>11482.046</v>
      </c>
      <c r="IZ14" s="12">
        <v>10873.618</v>
      </c>
      <c r="JA14" s="12">
        <v>10977.602000000001</v>
      </c>
      <c r="JB14" s="12">
        <v>11079.531999999999</v>
      </c>
      <c r="JC14" s="12">
        <v>11261.672</v>
      </c>
      <c r="JD14" s="12">
        <v>11573.704</v>
      </c>
      <c r="JE14" s="12">
        <v>11821.49</v>
      </c>
      <c r="JF14" s="12">
        <v>12162.3</v>
      </c>
      <c r="JG14" s="12">
        <v>12467.81</v>
      </c>
      <c r="JH14" s="12">
        <v>12782.781999999999</v>
      </c>
      <c r="JI14" s="12">
        <v>13502.642</v>
      </c>
      <c r="JJ14" s="12">
        <v>14309.183999999999</v>
      </c>
      <c r="JK14" s="336">
        <v>13917.566000000001</v>
      </c>
    </row>
    <row r="15" spans="1:271" x14ac:dyDescent="0.25">
      <c r="A15" s="303" t="s">
        <v>69</v>
      </c>
      <c r="B15" s="301">
        <v>5564.5199999999995</v>
      </c>
      <c r="C15" s="301">
        <v>5319.6179999999995</v>
      </c>
      <c r="D15" s="301">
        <v>5987.982</v>
      </c>
      <c r="E15" s="301">
        <v>5302.7579999999998</v>
      </c>
      <c r="F15" s="301">
        <v>5849.97</v>
      </c>
      <c r="G15" s="301">
        <v>5701.098</v>
      </c>
      <c r="H15" s="301">
        <v>5838.2280000000001</v>
      </c>
      <c r="I15" s="301">
        <v>5996.5680000000002</v>
      </c>
      <c r="J15" s="301">
        <v>5010.8940000000002</v>
      </c>
      <c r="K15" s="301">
        <v>5386.89</v>
      </c>
      <c r="L15" s="301">
        <v>5304.4740000000002</v>
      </c>
      <c r="M15" s="301">
        <v>5020.4759999999997</v>
      </c>
      <c r="N15" s="301">
        <v>5252.652</v>
      </c>
      <c r="O15" s="301">
        <v>4658.2440000000006</v>
      </c>
      <c r="P15" s="301">
        <v>5571.558</v>
      </c>
      <c r="Q15" s="301">
        <v>5192.6099999999997</v>
      </c>
      <c r="R15" s="301">
        <v>5505.0720000000001</v>
      </c>
      <c r="S15" s="301">
        <v>5618.25</v>
      </c>
      <c r="T15" s="301">
        <v>5463.03</v>
      </c>
      <c r="U15" s="301">
        <v>5258.0519999999997</v>
      </c>
      <c r="V15" s="301">
        <v>5408.5439999999999</v>
      </c>
      <c r="W15" s="301">
        <v>5652.6239999999998</v>
      </c>
      <c r="X15" s="301">
        <v>5165.3459999999995</v>
      </c>
      <c r="Y15" s="301">
        <v>5467.9439999999995</v>
      </c>
      <c r="Z15" s="301">
        <v>5347.3860000000004</v>
      </c>
      <c r="AA15" s="301">
        <v>5270.058</v>
      </c>
      <c r="AB15" s="301">
        <v>5740.62</v>
      </c>
      <c r="AC15" s="301">
        <v>5588.07</v>
      </c>
      <c r="AD15" s="301">
        <v>5915.442</v>
      </c>
      <c r="AE15" s="301">
        <v>5762.43</v>
      </c>
      <c r="AF15" s="301">
        <v>6090.03</v>
      </c>
      <c r="AG15" s="301">
        <v>5815.5720000000001</v>
      </c>
      <c r="AH15" s="301">
        <v>5805.0839999999998</v>
      </c>
      <c r="AI15" s="301">
        <v>6163.9679999999998</v>
      </c>
      <c r="AJ15" s="301">
        <v>5862.8580000000002</v>
      </c>
      <c r="AK15" s="301">
        <v>6110.7539999999999</v>
      </c>
      <c r="AL15" s="301">
        <v>6131.4120000000003</v>
      </c>
      <c r="AM15" s="301">
        <v>6082.098</v>
      </c>
      <c r="AN15" s="301">
        <v>6778.4579999999996</v>
      </c>
      <c r="AO15" s="301">
        <v>6141.0839999999998</v>
      </c>
      <c r="AP15" s="301">
        <v>6651.0360000000001</v>
      </c>
      <c r="AQ15" s="301">
        <v>7320.8159999999998</v>
      </c>
      <c r="AR15" s="301">
        <v>6547.152</v>
      </c>
      <c r="AS15" s="301">
        <v>6657.1260000000002</v>
      </c>
      <c r="AT15" s="301">
        <v>6725.7899999999991</v>
      </c>
      <c r="AU15" s="301">
        <v>6757.5659999999998</v>
      </c>
      <c r="AV15" s="301">
        <v>6742.3680000000004</v>
      </c>
      <c r="AW15" s="301">
        <v>6546.8939999999993</v>
      </c>
      <c r="AX15" s="301">
        <v>5804.2440000000006</v>
      </c>
      <c r="AY15" s="301">
        <v>5996.2019999999993</v>
      </c>
      <c r="AZ15" s="301">
        <v>6413.1779999999999</v>
      </c>
      <c r="BA15" s="301">
        <v>5906.4120000000003</v>
      </c>
      <c r="BB15" s="301">
        <v>6494.37</v>
      </c>
      <c r="BC15" s="301">
        <v>6491.2860000000001</v>
      </c>
      <c r="BD15" s="301">
        <v>6682.3739999999998</v>
      </c>
      <c r="BE15" s="301">
        <v>6383.6460000000006</v>
      </c>
      <c r="BF15" s="301">
        <v>6635.9639999999999</v>
      </c>
      <c r="BG15" s="301">
        <v>6919.4760000000006</v>
      </c>
      <c r="BH15" s="301">
        <v>7080.9660000000003</v>
      </c>
      <c r="BI15" s="301">
        <v>6896.3939999999993</v>
      </c>
      <c r="BJ15" s="301">
        <v>6894.8279999999995</v>
      </c>
      <c r="BK15" s="301">
        <v>6904.116</v>
      </c>
      <c r="BL15" s="301">
        <v>7598.9699999999993</v>
      </c>
      <c r="BM15" s="301">
        <v>6921.6840000000002</v>
      </c>
      <c r="BN15" s="301">
        <v>7988.0159999999996</v>
      </c>
      <c r="BO15" s="301">
        <v>7974.5280000000002</v>
      </c>
      <c r="BP15" s="301">
        <v>7685.6759999999995</v>
      </c>
      <c r="BQ15" s="301">
        <v>8030.6579999999994</v>
      </c>
      <c r="BR15" s="301">
        <v>7411.2480000000005</v>
      </c>
      <c r="BS15" s="301">
        <v>7340.7060000000001</v>
      </c>
      <c r="BT15" s="301">
        <v>7448.1660000000011</v>
      </c>
      <c r="BU15" s="301">
        <v>7135.4160000000011</v>
      </c>
      <c r="BV15" s="301">
        <v>7095.66</v>
      </c>
      <c r="BW15" s="301">
        <v>7578.9660000000003</v>
      </c>
      <c r="BX15" s="301">
        <v>7569.9000000000005</v>
      </c>
      <c r="BY15" s="301">
        <v>7413.5159999999996</v>
      </c>
      <c r="BZ15" s="301">
        <v>8561.652</v>
      </c>
      <c r="CA15" s="301">
        <v>8125.8780000000006</v>
      </c>
      <c r="CB15" s="301">
        <v>8265.119999999999</v>
      </c>
      <c r="CC15" s="301">
        <v>8920.0740000000005</v>
      </c>
      <c r="CD15" s="301">
        <v>8146.38</v>
      </c>
      <c r="CE15" s="301">
        <v>8347.5239999999994</v>
      </c>
      <c r="CF15" s="301">
        <v>8430.9840000000004</v>
      </c>
      <c r="CG15" s="301">
        <v>8249.880000000001</v>
      </c>
      <c r="CH15" s="301">
        <v>9402.5459999999985</v>
      </c>
      <c r="CI15" s="301">
        <v>9191.4840000000004</v>
      </c>
      <c r="CJ15" s="301">
        <v>9863.67</v>
      </c>
      <c r="CK15" s="301">
        <v>10025.214</v>
      </c>
      <c r="CL15" s="301">
        <v>10407.156000000001</v>
      </c>
      <c r="CM15" s="301">
        <v>10215.396000000001</v>
      </c>
      <c r="CN15" s="301">
        <v>10984.103999999999</v>
      </c>
      <c r="CO15" s="301">
        <v>11178.558000000001</v>
      </c>
      <c r="CP15" s="301">
        <v>11243.538</v>
      </c>
      <c r="CQ15" s="301">
        <v>11784.552</v>
      </c>
      <c r="CR15" s="301">
        <v>11365.188</v>
      </c>
      <c r="CS15" s="301">
        <v>10283.766</v>
      </c>
      <c r="CT15" s="301">
        <v>11186.514000000001</v>
      </c>
      <c r="CU15" s="301">
        <v>11604.539999999999</v>
      </c>
      <c r="CV15" s="301">
        <v>12411.227999999999</v>
      </c>
      <c r="CW15" s="301">
        <v>12047.31</v>
      </c>
      <c r="CX15" s="301">
        <v>12595.386000000002</v>
      </c>
      <c r="CY15" s="301">
        <v>12845.652</v>
      </c>
      <c r="CZ15" s="301">
        <v>13468.008000000002</v>
      </c>
      <c r="DA15" s="301">
        <v>13141.085999999999</v>
      </c>
      <c r="DB15" s="301">
        <v>13478.652</v>
      </c>
      <c r="DC15" s="301">
        <v>13638.588</v>
      </c>
      <c r="DD15" s="301">
        <v>13561.194</v>
      </c>
      <c r="DE15" s="301">
        <v>13730.718000000001</v>
      </c>
      <c r="DF15" s="301">
        <v>13296.971999999998</v>
      </c>
      <c r="DG15" s="301">
        <v>13287.618</v>
      </c>
      <c r="DH15" s="301">
        <v>14511.966</v>
      </c>
      <c r="DI15" s="301">
        <v>13500.281999999999</v>
      </c>
      <c r="DJ15" s="301">
        <v>13831.278000000002</v>
      </c>
      <c r="DK15" s="301">
        <v>14767.608</v>
      </c>
      <c r="DL15" s="301">
        <v>15742.547999999999</v>
      </c>
      <c r="DM15" s="301">
        <v>15980.022000000001</v>
      </c>
      <c r="DN15" s="301">
        <v>15114.557999999999</v>
      </c>
      <c r="DO15" s="301">
        <v>15683.003999999999</v>
      </c>
      <c r="DP15" s="301">
        <v>16193.297999999999</v>
      </c>
      <c r="DQ15" s="301">
        <v>14892.948</v>
      </c>
      <c r="DR15" s="301">
        <v>14833.482</v>
      </c>
      <c r="DS15" s="301">
        <v>14407.145999999999</v>
      </c>
      <c r="DT15" s="301">
        <v>15804.51</v>
      </c>
      <c r="DU15" s="301">
        <v>15218.814</v>
      </c>
      <c r="DV15" s="301">
        <v>16412.004000000001</v>
      </c>
      <c r="DW15" s="301">
        <v>16161.876</v>
      </c>
      <c r="DX15" s="301">
        <v>16437.36</v>
      </c>
      <c r="DY15" s="301">
        <v>18184.974000000002</v>
      </c>
      <c r="DZ15" s="301">
        <v>16979.178</v>
      </c>
      <c r="EA15" s="301">
        <v>17513.010000000002</v>
      </c>
      <c r="EB15" s="301">
        <v>17519.273999999998</v>
      </c>
      <c r="EC15" s="301">
        <v>17814.006000000001</v>
      </c>
      <c r="ED15" s="301">
        <v>14054.802</v>
      </c>
      <c r="EE15" s="301">
        <v>14237.849999999999</v>
      </c>
      <c r="EF15" s="301">
        <v>15138.18</v>
      </c>
      <c r="EG15" s="301">
        <v>15384.072</v>
      </c>
      <c r="EH15" s="301">
        <v>16773.173999999999</v>
      </c>
      <c r="EI15" s="301">
        <v>16454.04</v>
      </c>
      <c r="EJ15" s="301">
        <v>16803.263999999999</v>
      </c>
      <c r="EK15" s="301">
        <v>17997.557999999997</v>
      </c>
      <c r="EL15" s="301">
        <v>17863.067999999999</v>
      </c>
      <c r="EM15" s="301">
        <v>18868.403999999999</v>
      </c>
      <c r="EN15" s="301">
        <v>18625.745999999999</v>
      </c>
      <c r="EO15" s="301">
        <v>17933.261999999999</v>
      </c>
      <c r="EP15" s="301">
        <v>18545.454000000002</v>
      </c>
      <c r="EQ15" s="301">
        <v>17999.466</v>
      </c>
      <c r="ER15" s="301">
        <v>19722.054</v>
      </c>
      <c r="ES15" s="301">
        <v>19743.732</v>
      </c>
      <c r="ET15" s="301">
        <v>20725.133999999998</v>
      </c>
      <c r="EU15" s="301">
        <v>20469.653999999999</v>
      </c>
      <c r="EV15" s="301">
        <v>21722.31</v>
      </c>
      <c r="EW15" s="301">
        <v>22151.741999999998</v>
      </c>
      <c r="EX15" s="301">
        <v>21590.124</v>
      </c>
      <c r="EY15" s="301">
        <v>22635.300000000003</v>
      </c>
      <c r="EZ15" s="301">
        <v>22232.633999999998</v>
      </c>
      <c r="FA15" s="301">
        <v>21166.044000000002</v>
      </c>
      <c r="FB15" s="301">
        <v>22061.658000000003</v>
      </c>
      <c r="FC15" s="301">
        <v>20627.664000000001</v>
      </c>
      <c r="FD15" s="301">
        <v>22344.606</v>
      </c>
      <c r="FE15" s="301">
        <v>21906.402000000002</v>
      </c>
      <c r="FF15" s="301">
        <v>22949.591999999997</v>
      </c>
      <c r="FG15" s="301">
        <v>22603.025999999998</v>
      </c>
      <c r="FH15" s="301">
        <v>23659.788</v>
      </c>
      <c r="FI15" s="301">
        <v>23040.425999999999</v>
      </c>
      <c r="FJ15" s="301">
        <v>22776.042000000001</v>
      </c>
      <c r="FK15" s="301">
        <v>23450.652000000002</v>
      </c>
      <c r="FL15" s="301">
        <v>22443.96</v>
      </c>
      <c r="FM15" s="301">
        <v>22310.16</v>
      </c>
      <c r="FN15" s="301">
        <v>22095.03</v>
      </c>
      <c r="FO15" s="301">
        <v>20768.076000000001</v>
      </c>
      <c r="FP15" s="301">
        <v>22851.995999999999</v>
      </c>
      <c r="FQ15" s="301">
        <v>21108.702000000001</v>
      </c>
      <c r="FR15" s="301">
        <v>21466.542000000001</v>
      </c>
      <c r="FS15" s="301">
        <v>21448.434000000001</v>
      </c>
      <c r="FT15" s="301">
        <v>21615.54</v>
      </c>
      <c r="FU15" s="301">
        <v>21093.96</v>
      </c>
      <c r="FV15" s="301">
        <v>20508.887999999999</v>
      </c>
      <c r="FW15" s="301">
        <v>20482.89</v>
      </c>
      <c r="FX15" s="301">
        <v>20509.667999999998</v>
      </c>
      <c r="FY15" s="301">
        <v>20810.531999999999</v>
      </c>
      <c r="FZ15" s="301">
        <v>20501.118000000002</v>
      </c>
      <c r="GA15" s="301">
        <v>20361.563999999998</v>
      </c>
      <c r="GB15" s="301">
        <v>21677.165999999997</v>
      </c>
      <c r="GC15" s="301">
        <v>20529.252</v>
      </c>
      <c r="GD15" s="301">
        <v>21807.39</v>
      </c>
      <c r="GE15" s="301">
        <v>21055.32</v>
      </c>
      <c r="GF15" s="301">
        <v>21005.988000000001</v>
      </c>
      <c r="GG15" s="301">
        <v>21484.89</v>
      </c>
      <c r="GH15" s="301">
        <v>20631.096000000001</v>
      </c>
      <c r="GI15" s="301">
        <v>20402.633999999998</v>
      </c>
      <c r="GJ15" s="301">
        <v>20749.392</v>
      </c>
      <c r="GK15" s="301">
        <v>19814.454000000002</v>
      </c>
      <c r="GL15" s="301">
        <v>19958.79</v>
      </c>
      <c r="GM15" s="301">
        <v>19490.813999999998</v>
      </c>
      <c r="GN15" s="301">
        <v>21253.673999999999</v>
      </c>
      <c r="GO15" s="301">
        <v>19723.338</v>
      </c>
      <c r="GP15" s="301">
        <v>21432.113999999998</v>
      </c>
      <c r="GQ15" s="301">
        <v>20412.126</v>
      </c>
      <c r="GR15" s="301">
        <v>20689.853999999999</v>
      </c>
      <c r="GS15" s="301">
        <v>21285.204000000002</v>
      </c>
      <c r="GT15" s="301">
        <v>20251.332000000002</v>
      </c>
      <c r="GU15" s="301">
        <v>20698.866000000002</v>
      </c>
      <c r="GV15" s="301">
        <v>20634.155999999999</v>
      </c>
      <c r="GW15" s="301">
        <v>19431.743999999999</v>
      </c>
      <c r="GX15" s="301">
        <v>20338.949999999997</v>
      </c>
      <c r="GY15" s="301">
        <v>19550.699999999997</v>
      </c>
      <c r="GZ15" s="301">
        <v>21156.347999999998</v>
      </c>
      <c r="HA15" s="301">
        <v>20053.307999999997</v>
      </c>
      <c r="HB15" s="301">
        <v>21650.892</v>
      </c>
      <c r="HC15" s="301">
        <v>20578.523999999998</v>
      </c>
      <c r="HD15" s="301">
        <v>21355.368000000002</v>
      </c>
      <c r="HE15" s="301">
        <v>21593.574000000001</v>
      </c>
      <c r="HF15" s="301">
        <v>20592.726000000002</v>
      </c>
      <c r="HG15" s="301">
        <v>21626.513999999999</v>
      </c>
      <c r="HH15" s="301">
        <v>21487.32</v>
      </c>
      <c r="HI15" s="301">
        <v>20637.09</v>
      </c>
      <c r="HJ15" s="301">
        <v>20585.489999999998</v>
      </c>
      <c r="HK15" s="301">
        <v>19439.484</v>
      </c>
      <c r="HL15" s="301">
        <v>21035.694</v>
      </c>
      <c r="HM15" s="301">
        <v>19889.795999999998</v>
      </c>
      <c r="HN15" s="301">
        <v>21979.536</v>
      </c>
      <c r="HO15" s="301">
        <v>21024.942000000003</v>
      </c>
      <c r="HP15" s="333">
        <v>22548.341999999997</v>
      </c>
      <c r="HQ15" s="333">
        <v>22761.096000000001</v>
      </c>
      <c r="HR15" s="333">
        <v>22005.275999999998</v>
      </c>
      <c r="HS15" s="333">
        <v>22656.894</v>
      </c>
      <c r="HT15" s="333">
        <v>22034.705999999998</v>
      </c>
      <c r="HU15" s="333">
        <v>21948.216</v>
      </c>
      <c r="HV15" s="301">
        <v>21959.628000000001</v>
      </c>
      <c r="HW15" s="301">
        <v>21795.984</v>
      </c>
      <c r="HX15" s="301">
        <v>22887.281999999999</v>
      </c>
      <c r="HY15" s="301">
        <v>22498.482</v>
      </c>
      <c r="HZ15" s="301">
        <v>23900.682000000001</v>
      </c>
      <c r="IA15" s="301">
        <v>23330.022000000001</v>
      </c>
      <c r="IB15" s="301">
        <v>24520.044000000002</v>
      </c>
      <c r="IC15" s="301">
        <v>25010.424000000003</v>
      </c>
      <c r="ID15" s="301">
        <v>24365.795999999998</v>
      </c>
      <c r="IE15" s="301">
        <v>24520.998</v>
      </c>
      <c r="IF15" s="301">
        <v>25207.121999999999</v>
      </c>
      <c r="IG15" s="301">
        <v>24198.09</v>
      </c>
      <c r="IH15" s="301">
        <v>23900.574000000001</v>
      </c>
      <c r="II15" s="301">
        <v>22532.184000000001</v>
      </c>
      <c r="IJ15" s="301">
        <v>26710.517999999996</v>
      </c>
      <c r="IK15" s="301">
        <v>23926.518</v>
      </c>
      <c r="IL15" s="301">
        <v>25336.223999999998</v>
      </c>
      <c r="IM15" s="301">
        <v>25668.942000000003</v>
      </c>
      <c r="IN15" s="333">
        <v>24907.14</v>
      </c>
      <c r="IO15" s="333">
        <v>26400.012000000002</v>
      </c>
      <c r="IP15" s="333">
        <v>25518.924000000003</v>
      </c>
      <c r="IQ15" s="333">
        <v>26150.825999999997</v>
      </c>
      <c r="IR15" s="333">
        <v>25701.017999999996</v>
      </c>
      <c r="IS15" s="333">
        <v>24237.75</v>
      </c>
      <c r="IT15" s="333">
        <v>23895.437999999998</v>
      </c>
      <c r="IU15" s="333">
        <v>23767.332000000002</v>
      </c>
      <c r="IV15" s="333">
        <v>24225.966</v>
      </c>
      <c r="IW15" s="334">
        <v>25040.67</v>
      </c>
      <c r="IX15" s="334">
        <v>27785.646000000001</v>
      </c>
      <c r="IY15" s="334">
        <v>27366.651999999998</v>
      </c>
      <c r="IZ15" s="334">
        <v>27559.966</v>
      </c>
      <c r="JA15" s="334">
        <v>28858.414000000001</v>
      </c>
      <c r="JB15" s="334">
        <v>30142.092000000001</v>
      </c>
      <c r="JC15" s="334">
        <v>30135.646000000001</v>
      </c>
      <c r="JD15" s="334">
        <v>30852.3</v>
      </c>
      <c r="JE15" s="334">
        <v>32205.588</v>
      </c>
      <c r="JF15" s="334">
        <v>32213.421999999999</v>
      </c>
      <c r="JG15" s="334">
        <v>31377.78</v>
      </c>
      <c r="JH15" s="334">
        <v>30118.65</v>
      </c>
      <c r="JI15" s="334">
        <v>30742.096000000001</v>
      </c>
      <c r="JJ15" s="334">
        <v>31274.786</v>
      </c>
      <c r="JK15" s="335">
        <v>30976.002</v>
      </c>
    </row>
    <row r="16" spans="1:271" x14ac:dyDescent="0.25">
      <c r="A16" s="303" t="s">
        <v>70</v>
      </c>
      <c r="B16" s="304">
        <v>214.90799999999999</v>
      </c>
      <c r="C16" s="304">
        <v>226.584</v>
      </c>
      <c r="D16" s="304">
        <v>292.74</v>
      </c>
      <c r="E16" s="304">
        <v>230.61599999999999</v>
      </c>
      <c r="F16" s="304">
        <v>245.11199999999997</v>
      </c>
      <c r="G16" s="304">
        <v>301.89600000000002</v>
      </c>
      <c r="H16" s="304">
        <v>280.77600000000001</v>
      </c>
      <c r="I16" s="304">
        <v>308.83799999999997</v>
      </c>
      <c r="J16" s="304">
        <v>382.14</v>
      </c>
      <c r="K16" s="304">
        <v>324.79199999999997</v>
      </c>
      <c r="L16" s="304">
        <v>329.68799999999999</v>
      </c>
      <c r="M16" s="304">
        <v>335.54399999999998</v>
      </c>
      <c r="N16" s="304">
        <v>271.99799999999999</v>
      </c>
      <c r="O16" s="304">
        <v>340.79399999999998</v>
      </c>
      <c r="P16" s="304">
        <v>402.55200000000002</v>
      </c>
      <c r="Q16" s="304">
        <v>352.29</v>
      </c>
      <c r="R16" s="304">
        <v>334.15199999999999</v>
      </c>
      <c r="S16" s="304">
        <v>428.72399999999993</v>
      </c>
      <c r="T16" s="304">
        <v>344.64</v>
      </c>
      <c r="U16" s="304">
        <v>333.47399999999999</v>
      </c>
      <c r="V16" s="304">
        <v>383.59199999999998</v>
      </c>
      <c r="W16" s="304">
        <v>360.822</v>
      </c>
      <c r="X16" s="304">
        <v>324.108</v>
      </c>
      <c r="Y16" s="304">
        <v>322.89600000000002</v>
      </c>
      <c r="Z16" s="304">
        <v>260.04000000000002</v>
      </c>
      <c r="AA16" s="304">
        <v>303.64799999999997</v>
      </c>
      <c r="AB16" s="304">
        <v>361.92599999999999</v>
      </c>
      <c r="AC16" s="304">
        <v>296.75400000000002</v>
      </c>
      <c r="AD16" s="304">
        <v>312.62400000000002</v>
      </c>
      <c r="AE16" s="304">
        <v>355.584</v>
      </c>
      <c r="AF16" s="304">
        <v>268.30799999999999</v>
      </c>
      <c r="AG16" s="304">
        <v>279.37199999999996</v>
      </c>
      <c r="AH16" s="304">
        <v>337.21199999999999</v>
      </c>
      <c r="AI16" s="304">
        <v>308.68200000000002</v>
      </c>
      <c r="AJ16" s="304">
        <v>265.94399999999996</v>
      </c>
      <c r="AK16" s="304">
        <v>321.79199999999997</v>
      </c>
      <c r="AL16" s="304">
        <v>247.81200000000001</v>
      </c>
      <c r="AM16" s="304">
        <v>265.61399999999998</v>
      </c>
      <c r="AN16" s="304">
        <v>322.36199999999997</v>
      </c>
      <c r="AO16" s="304">
        <v>267.64799999999997</v>
      </c>
      <c r="AP16" s="304">
        <v>308.23199999999997</v>
      </c>
      <c r="AQ16" s="304">
        <v>356.50799999999998</v>
      </c>
      <c r="AR16" s="304">
        <v>335.46600000000001</v>
      </c>
      <c r="AS16" s="304">
        <v>333.60599999999999</v>
      </c>
      <c r="AT16" s="304">
        <v>332.64</v>
      </c>
      <c r="AU16" s="304">
        <v>283.77600000000001</v>
      </c>
      <c r="AV16" s="304">
        <v>292.77600000000001</v>
      </c>
      <c r="AW16" s="304">
        <v>330.79199999999997</v>
      </c>
      <c r="AX16" s="304">
        <v>273.63</v>
      </c>
      <c r="AY16" s="304">
        <v>305.75400000000002</v>
      </c>
      <c r="AZ16" s="304">
        <v>358.13400000000001</v>
      </c>
      <c r="BA16" s="304">
        <v>309.50400000000002</v>
      </c>
      <c r="BB16" s="304">
        <v>362.37</v>
      </c>
      <c r="BC16" s="304">
        <v>363.63</v>
      </c>
      <c r="BD16" s="304">
        <v>318.98400000000004</v>
      </c>
      <c r="BE16" s="304">
        <v>313.44</v>
      </c>
      <c r="BF16" s="304">
        <v>357.52200000000005</v>
      </c>
      <c r="BG16" s="304">
        <v>350.142</v>
      </c>
      <c r="BH16" s="304">
        <v>349.36199999999997</v>
      </c>
      <c r="BI16" s="304">
        <v>338.46</v>
      </c>
      <c r="BJ16" s="304">
        <v>263.29199999999997</v>
      </c>
      <c r="BK16" s="304">
        <v>286.90199999999999</v>
      </c>
      <c r="BL16" s="304">
        <v>347.50200000000001</v>
      </c>
      <c r="BM16" s="304">
        <v>296.80799999999999</v>
      </c>
      <c r="BN16" s="304">
        <v>264.16200000000003</v>
      </c>
      <c r="BO16" s="304">
        <v>335.56799999999998</v>
      </c>
      <c r="BP16" s="304">
        <v>245.70000000000002</v>
      </c>
      <c r="BQ16" s="304">
        <v>248.83199999999999</v>
      </c>
      <c r="BR16" s="304">
        <v>266.58</v>
      </c>
      <c r="BS16" s="304">
        <v>223.374</v>
      </c>
      <c r="BT16" s="304">
        <v>232.77</v>
      </c>
      <c r="BU16" s="304">
        <v>269.41200000000003</v>
      </c>
      <c r="BV16" s="304">
        <v>234.31799999999998</v>
      </c>
      <c r="BW16" s="304">
        <v>237.95999999999998</v>
      </c>
      <c r="BX16" s="304">
        <v>207.18</v>
      </c>
      <c r="BY16" s="304">
        <v>219.55800000000002</v>
      </c>
      <c r="BZ16" s="304">
        <v>227.34</v>
      </c>
      <c r="CA16" s="304">
        <v>298.95000000000005</v>
      </c>
      <c r="CB16" s="304">
        <v>251.202</v>
      </c>
      <c r="CC16" s="304">
        <v>209.28000000000003</v>
      </c>
      <c r="CD16" s="304">
        <v>327.06600000000003</v>
      </c>
      <c r="CE16" s="304">
        <v>274.98</v>
      </c>
      <c r="CF16" s="304">
        <v>290.928</v>
      </c>
      <c r="CG16" s="304">
        <v>298.404</v>
      </c>
      <c r="CH16" s="304">
        <v>239.964</v>
      </c>
      <c r="CI16" s="304">
        <v>257.226</v>
      </c>
      <c r="CJ16" s="304">
        <v>323.154</v>
      </c>
      <c r="CK16" s="304">
        <v>257.10000000000002</v>
      </c>
      <c r="CL16" s="304">
        <v>271.38</v>
      </c>
      <c r="CM16" s="304">
        <v>330.096</v>
      </c>
      <c r="CN16" s="304">
        <v>274.69799999999998</v>
      </c>
      <c r="CO16" s="304">
        <v>284.73</v>
      </c>
      <c r="CP16" s="304">
        <v>341.79</v>
      </c>
      <c r="CQ16" s="304">
        <v>280.28399999999999</v>
      </c>
      <c r="CR16" s="304">
        <v>278.976</v>
      </c>
      <c r="CS16" s="304">
        <v>248.196</v>
      </c>
      <c r="CT16" s="304">
        <v>155.88600000000002</v>
      </c>
      <c r="CU16" s="304">
        <v>176.11199999999999</v>
      </c>
      <c r="CV16" s="304">
        <v>213.33599999999998</v>
      </c>
      <c r="CW16" s="304">
        <v>177.16800000000001</v>
      </c>
      <c r="CX16" s="304">
        <v>170.346</v>
      </c>
      <c r="CY16" s="304">
        <v>180.36599999999999</v>
      </c>
      <c r="CZ16" s="304">
        <v>138.834</v>
      </c>
      <c r="DA16" s="304">
        <v>122.946</v>
      </c>
      <c r="DB16" s="304">
        <v>162.33600000000001</v>
      </c>
      <c r="DC16" s="304">
        <v>133.81800000000001</v>
      </c>
      <c r="DD16" s="304">
        <v>146.00399999999999</v>
      </c>
      <c r="DE16" s="304">
        <v>166.476</v>
      </c>
      <c r="DF16" s="304">
        <v>138.47999999999999</v>
      </c>
      <c r="DG16" s="304">
        <v>162.51599999999999</v>
      </c>
      <c r="DH16" s="304">
        <v>187.77</v>
      </c>
      <c r="DI16" s="304">
        <v>157.25399999999999</v>
      </c>
      <c r="DJ16" s="304">
        <v>175.10400000000001</v>
      </c>
      <c r="DK16" s="304">
        <v>224.54999999999998</v>
      </c>
      <c r="DL16" s="304">
        <v>199.96199999999999</v>
      </c>
      <c r="DM16" s="304">
        <v>228.12</v>
      </c>
      <c r="DN16" s="304">
        <v>231.45000000000002</v>
      </c>
      <c r="DO16" s="304">
        <v>215.53199999999998</v>
      </c>
      <c r="DP16" s="304">
        <v>194.79000000000002</v>
      </c>
      <c r="DQ16" s="304">
        <v>229.90199999999999</v>
      </c>
      <c r="DR16" s="304">
        <v>200.40600000000001</v>
      </c>
      <c r="DS16" s="304">
        <v>225.024</v>
      </c>
      <c r="DT16" s="304">
        <v>249.55800000000002</v>
      </c>
      <c r="DU16" s="304">
        <v>233.31</v>
      </c>
      <c r="DV16" s="304">
        <v>278.238</v>
      </c>
      <c r="DW16" s="304">
        <v>288.786</v>
      </c>
      <c r="DX16" s="304">
        <v>322.73400000000004</v>
      </c>
      <c r="DY16" s="304">
        <v>305.94</v>
      </c>
      <c r="DZ16" s="304">
        <v>350.13600000000002</v>
      </c>
      <c r="EA16" s="304">
        <v>342.68399999999997</v>
      </c>
      <c r="EB16" s="304">
        <v>353.87400000000002</v>
      </c>
      <c r="EC16" s="304">
        <v>363.65999999999997</v>
      </c>
      <c r="ED16" s="304">
        <v>355.524</v>
      </c>
      <c r="EE16" s="304">
        <v>349.73400000000004</v>
      </c>
      <c r="EF16" s="304">
        <v>374.37599999999998</v>
      </c>
      <c r="EG16" s="304">
        <v>340.68</v>
      </c>
      <c r="EH16" s="304">
        <v>335.67599999999999</v>
      </c>
      <c r="EI16" s="304">
        <v>352.96800000000002</v>
      </c>
      <c r="EJ16" s="304">
        <v>341.04</v>
      </c>
      <c r="EK16" s="304">
        <v>283.05600000000004</v>
      </c>
      <c r="EL16" s="304">
        <v>357.40199999999999</v>
      </c>
      <c r="EM16" s="304">
        <v>318.41399999999999</v>
      </c>
      <c r="EN16" s="304">
        <v>314.71199999999999</v>
      </c>
      <c r="EO16" s="304">
        <v>320.02800000000002</v>
      </c>
      <c r="EP16" s="304">
        <v>316.572</v>
      </c>
      <c r="EQ16" s="304">
        <v>321.666</v>
      </c>
      <c r="ER16" s="304">
        <v>363.62400000000002</v>
      </c>
      <c r="ES16" s="304">
        <v>272.71800000000002</v>
      </c>
      <c r="ET16" s="304">
        <v>247.89600000000002</v>
      </c>
      <c r="EU16" s="304">
        <v>276.76800000000003</v>
      </c>
      <c r="EV16" s="304">
        <v>265.28399999999999</v>
      </c>
      <c r="EW16" s="304">
        <v>254.43</v>
      </c>
      <c r="EX16" s="304">
        <v>238.38</v>
      </c>
      <c r="EY16" s="304">
        <v>230.00400000000002</v>
      </c>
      <c r="EZ16" s="304">
        <v>225.054</v>
      </c>
      <c r="FA16" s="304">
        <v>218.262</v>
      </c>
      <c r="FB16" s="304">
        <v>230.64600000000002</v>
      </c>
      <c r="FC16" s="304">
        <v>238.27800000000002</v>
      </c>
      <c r="FD16" s="304">
        <v>228.624</v>
      </c>
      <c r="FE16" s="304">
        <v>229.15799999999999</v>
      </c>
      <c r="FF16" s="304">
        <v>247.38</v>
      </c>
      <c r="FG16" s="304">
        <v>234.98400000000001</v>
      </c>
      <c r="FH16" s="304">
        <v>244.488</v>
      </c>
      <c r="FI16" s="304">
        <v>241.03800000000001</v>
      </c>
      <c r="FJ16" s="304">
        <v>238.50599999999997</v>
      </c>
      <c r="FK16" s="304">
        <v>257.19</v>
      </c>
      <c r="FL16" s="304">
        <v>235.41</v>
      </c>
      <c r="FM16" s="304">
        <v>232.30800000000002</v>
      </c>
      <c r="FN16" s="304">
        <v>201.096</v>
      </c>
      <c r="FO16" s="304">
        <v>215.55600000000001</v>
      </c>
      <c r="FP16" s="304">
        <v>221.56200000000001</v>
      </c>
      <c r="FQ16" s="304">
        <v>208.22399999999999</v>
      </c>
      <c r="FR16" s="304">
        <v>214.86</v>
      </c>
      <c r="FS16" s="304">
        <v>214.64400000000001</v>
      </c>
      <c r="FT16" s="304">
        <v>211.14600000000002</v>
      </c>
      <c r="FU16" s="304">
        <v>234.60000000000002</v>
      </c>
      <c r="FV16" s="304">
        <v>220.20000000000002</v>
      </c>
      <c r="FW16" s="304">
        <v>221.34</v>
      </c>
      <c r="FX16" s="304">
        <v>208.79399999999998</v>
      </c>
      <c r="FY16" s="304">
        <v>199.49400000000003</v>
      </c>
      <c r="FZ16" s="304">
        <v>208.91400000000002</v>
      </c>
      <c r="GA16" s="304">
        <v>296.56200000000001</v>
      </c>
      <c r="GB16" s="304">
        <v>368.47799999999995</v>
      </c>
      <c r="GC16" s="304">
        <v>369.62400000000002</v>
      </c>
      <c r="GD16" s="304">
        <v>369.42</v>
      </c>
      <c r="GE16" s="304">
        <v>375.846</v>
      </c>
      <c r="GF16" s="304">
        <v>258.89400000000001</v>
      </c>
      <c r="GG16" s="304">
        <v>283.50599999999997</v>
      </c>
      <c r="GH16" s="304">
        <v>271.33799999999997</v>
      </c>
      <c r="GI16" s="304">
        <v>295.53000000000003</v>
      </c>
      <c r="GJ16" s="304">
        <v>394.39800000000002</v>
      </c>
      <c r="GK16" s="304">
        <v>398.77200000000005</v>
      </c>
      <c r="GL16" s="304">
        <v>450.52200000000005</v>
      </c>
      <c r="GM16" s="304">
        <v>470.44200000000001</v>
      </c>
      <c r="GN16" s="304">
        <v>584.62199999999996</v>
      </c>
      <c r="GO16" s="304">
        <v>753.99599999999998</v>
      </c>
      <c r="GP16" s="304">
        <v>847.08</v>
      </c>
      <c r="GQ16" s="304">
        <v>788.11200000000008</v>
      </c>
      <c r="GR16" s="304">
        <v>944.98799999999994</v>
      </c>
      <c r="GS16" s="304">
        <v>876.81600000000003</v>
      </c>
      <c r="GT16" s="304">
        <v>867.28199999999993</v>
      </c>
      <c r="GU16" s="304">
        <v>878.06999999999994</v>
      </c>
      <c r="GV16" s="304">
        <v>1102.626</v>
      </c>
      <c r="GW16" s="304">
        <v>1071.288</v>
      </c>
      <c r="GX16" s="304">
        <v>1252.134</v>
      </c>
      <c r="GY16" s="304">
        <v>1042.1279999999999</v>
      </c>
      <c r="GZ16" s="304">
        <v>1113.99</v>
      </c>
      <c r="HA16" s="304">
        <v>1233.9960000000001</v>
      </c>
      <c r="HB16" s="304">
        <v>1407.078</v>
      </c>
      <c r="HC16" s="304">
        <v>1442.046</v>
      </c>
      <c r="HD16" s="304">
        <v>1499.2139999999999</v>
      </c>
      <c r="HE16" s="304">
        <v>1629.1799999999998</v>
      </c>
      <c r="HF16" s="304">
        <v>1739.172</v>
      </c>
      <c r="HG16" s="304">
        <v>1822.6860000000001</v>
      </c>
      <c r="HH16" s="304">
        <v>1919.2440000000001</v>
      </c>
      <c r="HI16" s="304">
        <v>1703.67</v>
      </c>
      <c r="HJ16" s="304">
        <v>1779.0720000000001</v>
      </c>
      <c r="HK16" s="304">
        <v>2165.4839999999999</v>
      </c>
      <c r="HL16" s="304">
        <v>2076.402</v>
      </c>
      <c r="HM16" s="304">
        <v>2058.6000000000004</v>
      </c>
      <c r="HN16" s="304">
        <v>2226.0660000000003</v>
      </c>
      <c r="HO16" s="304">
        <v>2136.9119999999998</v>
      </c>
      <c r="HP16" s="304">
        <v>2229.6480000000001</v>
      </c>
      <c r="HQ16" s="304">
        <v>1916.598</v>
      </c>
      <c r="HR16" s="304">
        <v>1662.954</v>
      </c>
      <c r="HS16" s="304">
        <v>1656.5039999999999</v>
      </c>
      <c r="HT16" s="304">
        <v>1080.3899999999999</v>
      </c>
      <c r="HU16" s="304">
        <v>931.18200000000002</v>
      </c>
      <c r="HV16" s="304">
        <v>906.35400000000004</v>
      </c>
      <c r="HW16" s="304">
        <v>926.63400000000001</v>
      </c>
      <c r="HX16" s="304">
        <v>848.47199999999998</v>
      </c>
      <c r="HY16" s="304">
        <v>823.84199999999987</v>
      </c>
      <c r="HZ16" s="304">
        <v>885.61800000000005</v>
      </c>
      <c r="IA16" s="304">
        <v>854.73</v>
      </c>
      <c r="IB16" s="304">
        <v>763.97399999999993</v>
      </c>
      <c r="IC16" s="304">
        <v>746.13</v>
      </c>
      <c r="ID16" s="304">
        <v>738.92399999999998</v>
      </c>
      <c r="IE16" s="304">
        <v>766.05600000000004</v>
      </c>
      <c r="IF16" s="304">
        <v>718.06799999999998</v>
      </c>
      <c r="IG16" s="304">
        <v>673.65000000000009</v>
      </c>
      <c r="IH16" s="304">
        <v>673.69200000000001</v>
      </c>
      <c r="II16" s="304">
        <v>684.94799999999998</v>
      </c>
      <c r="IJ16" s="304">
        <v>759.10799999999995</v>
      </c>
      <c r="IK16" s="304">
        <v>732.43799999999999</v>
      </c>
      <c r="IL16" s="304">
        <v>789.49199999999996</v>
      </c>
      <c r="IM16" s="304">
        <v>830.22</v>
      </c>
      <c r="IN16" s="12">
        <v>868.60199999999998</v>
      </c>
      <c r="IO16" s="12">
        <v>891.94799999999987</v>
      </c>
      <c r="IP16" s="12">
        <v>935.53199999999993</v>
      </c>
      <c r="IQ16" s="12">
        <v>1017.954</v>
      </c>
      <c r="IR16" s="12">
        <v>1097.0340000000001</v>
      </c>
      <c r="IS16" s="12">
        <v>1119.384</v>
      </c>
      <c r="IT16" s="12">
        <v>1153.3679999999999</v>
      </c>
      <c r="IU16" s="12">
        <v>1301.2560000000001</v>
      </c>
      <c r="IV16" s="12">
        <v>1416.798</v>
      </c>
      <c r="IW16" s="12">
        <v>1343.758</v>
      </c>
      <c r="IX16" s="12">
        <v>2014.318</v>
      </c>
      <c r="IY16" s="12">
        <v>2188.44</v>
      </c>
      <c r="IZ16" s="12">
        <v>2522.174</v>
      </c>
      <c r="JA16" s="12">
        <v>2784.518</v>
      </c>
      <c r="JB16" s="12">
        <v>3141.3220000000001</v>
      </c>
      <c r="JC16" s="12">
        <v>4014.04</v>
      </c>
      <c r="JD16" s="12">
        <v>4164.0339999999997</v>
      </c>
      <c r="JE16" s="12">
        <v>4058.0419999999999</v>
      </c>
      <c r="JF16" s="12">
        <v>4233.1360000000004</v>
      </c>
      <c r="JG16" s="12">
        <v>3762.2739999999999</v>
      </c>
      <c r="JH16" s="12">
        <v>3512.5720000000001</v>
      </c>
      <c r="JI16" s="12">
        <v>3524.68</v>
      </c>
      <c r="JJ16" s="12">
        <v>3730.518</v>
      </c>
      <c r="JK16" s="336">
        <v>3847.826</v>
      </c>
    </row>
    <row r="17" spans="1:271" x14ac:dyDescent="0.25">
      <c r="A17" s="303" t="s">
        <v>71</v>
      </c>
      <c r="B17" s="301">
        <v>1699.248</v>
      </c>
      <c r="C17" s="301">
        <v>1389.702</v>
      </c>
      <c r="D17" s="301">
        <v>1423.002</v>
      </c>
      <c r="E17" s="301">
        <v>1362.6960000000001</v>
      </c>
      <c r="F17" s="301">
        <v>1681.7159999999999</v>
      </c>
      <c r="G17" s="301">
        <v>1506.66</v>
      </c>
      <c r="H17" s="301">
        <v>1572.444</v>
      </c>
      <c r="I17" s="301">
        <v>1535.598</v>
      </c>
      <c r="J17" s="301">
        <v>1476.03</v>
      </c>
      <c r="K17" s="301">
        <v>1541.2740000000001</v>
      </c>
      <c r="L17" s="301">
        <v>1490.79</v>
      </c>
      <c r="M17" s="301">
        <v>1498.278</v>
      </c>
      <c r="N17" s="301">
        <v>1172.73</v>
      </c>
      <c r="O17" s="301">
        <v>1248.702</v>
      </c>
      <c r="P17" s="301">
        <v>1151.502</v>
      </c>
      <c r="Q17" s="301">
        <v>1327.386</v>
      </c>
      <c r="R17" s="301">
        <v>1239.0899999999999</v>
      </c>
      <c r="S17" s="301">
        <v>1118.7840000000001</v>
      </c>
      <c r="T17" s="301">
        <v>1209.21</v>
      </c>
      <c r="U17" s="301">
        <v>1208.886</v>
      </c>
      <c r="V17" s="301">
        <v>1387.3320000000001</v>
      </c>
      <c r="W17" s="301">
        <v>1202.0820000000001</v>
      </c>
      <c r="X17" s="301">
        <v>1201.404</v>
      </c>
      <c r="Y17" s="301">
        <v>1210.6860000000001</v>
      </c>
      <c r="Z17" s="301">
        <v>1117.7460000000001</v>
      </c>
      <c r="AA17" s="301">
        <v>1153.806</v>
      </c>
      <c r="AB17" s="301">
        <v>1098.144</v>
      </c>
      <c r="AC17" s="301">
        <v>1122.204</v>
      </c>
      <c r="AD17" s="301">
        <v>1034.874</v>
      </c>
      <c r="AE17" s="301">
        <v>1072.932</v>
      </c>
      <c r="AF17" s="301">
        <v>1160.9159999999999</v>
      </c>
      <c r="AG17" s="301">
        <v>1075.9559999999999</v>
      </c>
      <c r="AH17" s="301">
        <v>1062.306</v>
      </c>
      <c r="AI17" s="301">
        <v>1086.402</v>
      </c>
      <c r="AJ17" s="301">
        <v>1098.048</v>
      </c>
      <c r="AK17" s="301">
        <v>1172.6279999999999</v>
      </c>
      <c r="AL17" s="301">
        <v>1113.1320000000001</v>
      </c>
      <c r="AM17" s="301">
        <v>1139.202</v>
      </c>
      <c r="AN17" s="301">
        <v>1080.5340000000001</v>
      </c>
      <c r="AO17" s="301">
        <v>1014.8399999999999</v>
      </c>
      <c r="AP17" s="301">
        <v>1066.6619999999998</v>
      </c>
      <c r="AQ17" s="301">
        <v>980.20799999999997</v>
      </c>
      <c r="AR17" s="301">
        <v>1097.268</v>
      </c>
      <c r="AS17" s="301">
        <v>994.27199999999993</v>
      </c>
      <c r="AT17" s="301">
        <v>997.91399999999999</v>
      </c>
      <c r="AU17" s="301">
        <v>986.83200000000011</v>
      </c>
      <c r="AV17" s="301">
        <v>1032.144</v>
      </c>
      <c r="AW17" s="301">
        <v>1152.8399999999999</v>
      </c>
      <c r="AX17" s="301">
        <v>1005.822</v>
      </c>
      <c r="AY17" s="301">
        <v>1040.934</v>
      </c>
      <c r="AZ17" s="301">
        <v>1121.25</v>
      </c>
      <c r="BA17" s="301">
        <v>1083.894</v>
      </c>
      <c r="BB17" s="301">
        <v>1091.8620000000001</v>
      </c>
      <c r="BC17" s="301">
        <v>1212.126</v>
      </c>
      <c r="BD17" s="301">
        <v>1256.9159999999999</v>
      </c>
      <c r="BE17" s="301">
        <v>1196.778</v>
      </c>
      <c r="BF17" s="301">
        <v>1161.1979999999999</v>
      </c>
      <c r="BG17" s="301">
        <v>1188.1559999999999</v>
      </c>
      <c r="BH17" s="301">
        <v>1203.5820000000001</v>
      </c>
      <c r="BI17" s="301">
        <v>1234.3620000000001</v>
      </c>
      <c r="BJ17" s="301">
        <v>1188.5999999999999</v>
      </c>
      <c r="BK17" s="301">
        <v>1283.364</v>
      </c>
      <c r="BL17" s="301">
        <v>1316.682</v>
      </c>
      <c r="BM17" s="301">
        <v>1195.902</v>
      </c>
      <c r="BN17" s="301">
        <v>1255.3320000000001</v>
      </c>
      <c r="BO17" s="301">
        <v>1283.616</v>
      </c>
      <c r="BP17" s="301">
        <v>1346.22</v>
      </c>
      <c r="BQ17" s="301">
        <v>1271.22</v>
      </c>
      <c r="BR17" s="301">
        <v>1262.4059999999999</v>
      </c>
      <c r="BS17" s="301">
        <v>1265.586</v>
      </c>
      <c r="BT17" s="301">
        <v>1278.2460000000001</v>
      </c>
      <c r="BU17" s="301">
        <v>1322.7180000000001</v>
      </c>
      <c r="BV17" s="301">
        <v>1221.876</v>
      </c>
      <c r="BW17" s="301">
        <v>1312.1999999999998</v>
      </c>
      <c r="BX17" s="301">
        <v>1306.806</v>
      </c>
      <c r="BY17" s="301">
        <v>1289.694</v>
      </c>
      <c r="BZ17" s="301">
        <v>1276.02</v>
      </c>
      <c r="CA17" s="301">
        <v>1370.5619999999999</v>
      </c>
      <c r="CB17" s="301">
        <v>1263.432</v>
      </c>
      <c r="CC17" s="301">
        <v>1306.722</v>
      </c>
      <c r="CD17" s="301">
        <v>1246.866</v>
      </c>
      <c r="CE17" s="301">
        <v>1243.9559999999999</v>
      </c>
      <c r="CF17" s="301">
        <v>1289.076</v>
      </c>
      <c r="CG17" s="301">
        <v>1303.848</v>
      </c>
      <c r="CH17" s="301">
        <v>1176.1500000000001</v>
      </c>
      <c r="CI17" s="301">
        <v>1266.3600000000001</v>
      </c>
      <c r="CJ17" s="301">
        <v>1263.558</v>
      </c>
      <c r="CK17" s="301">
        <v>1215.8879999999999</v>
      </c>
      <c r="CL17" s="301">
        <v>1214.172</v>
      </c>
      <c r="CM17" s="301">
        <v>1296.6120000000001</v>
      </c>
      <c r="CN17" s="301">
        <v>1176.654</v>
      </c>
      <c r="CO17" s="301">
        <v>1198.566</v>
      </c>
      <c r="CP17" s="301">
        <v>1224.192</v>
      </c>
      <c r="CQ17" s="301">
        <v>1269.114</v>
      </c>
      <c r="CR17" s="301">
        <v>1181.424</v>
      </c>
      <c r="CS17" s="301">
        <v>1139.604</v>
      </c>
      <c r="CT17" s="301">
        <v>1094.7359999999999</v>
      </c>
      <c r="CU17" s="301">
        <v>1199.778</v>
      </c>
      <c r="CV17" s="301">
        <v>1203.5219999999999</v>
      </c>
      <c r="CW17" s="301">
        <v>1206.8399999999999</v>
      </c>
      <c r="CX17" s="301">
        <v>1086.4499999999998</v>
      </c>
      <c r="CY17" s="301">
        <v>1046.4059999999999</v>
      </c>
      <c r="CZ17" s="301">
        <v>958.82400000000007</v>
      </c>
      <c r="DA17" s="301">
        <v>970.2059999999999</v>
      </c>
      <c r="DB17" s="301">
        <v>982.32600000000002</v>
      </c>
      <c r="DC17" s="301">
        <v>901.32600000000002</v>
      </c>
      <c r="DD17" s="301">
        <v>938.5619999999999</v>
      </c>
      <c r="DE17" s="301">
        <v>930.39599999999996</v>
      </c>
      <c r="DF17" s="301">
        <v>839.346</v>
      </c>
      <c r="DG17" s="301">
        <v>873.39</v>
      </c>
      <c r="DH17" s="301">
        <v>911.40600000000006</v>
      </c>
      <c r="DI17" s="301">
        <v>868.67399999999998</v>
      </c>
      <c r="DJ17" s="301">
        <v>868.90200000000004</v>
      </c>
      <c r="DK17" s="301">
        <v>845.74199999999996</v>
      </c>
      <c r="DL17" s="301">
        <v>792.78600000000006</v>
      </c>
      <c r="DM17" s="301">
        <v>824.89200000000005</v>
      </c>
      <c r="DN17" s="301">
        <v>797.52599999999995</v>
      </c>
      <c r="DO17" s="301">
        <v>786.50400000000002</v>
      </c>
      <c r="DP17" s="301">
        <v>846.71399999999994</v>
      </c>
      <c r="DQ17" s="301">
        <v>804.51</v>
      </c>
      <c r="DR17" s="301">
        <v>744.15000000000009</v>
      </c>
      <c r="DS17" s="301">
        <v>828.90000000000009</v>
      </c>
      <c r="DT17" s="301">
        <v>835.27199999999993</v>
      </c>
      <c r="DU17" s="301">
        <v>815.55599999999993</v>
      </c>
      <c r="DV17" s="301">
        <v>848.79600000000005</v>
      </c>
      <c r="DW17" s="301">
        <v>843.33</v>
      </c>
      <c r="DX17" s="301">
        <v>836.11800000000005</v>
      </c>
      <c r="DY17" s="301">
        <v>856.44600000000014</v>
      </c>
      <c r="DZ17" s="301">
        <v>843.42</v>
      </c>
      <c r="EA17" s="301">
        <v>856.98</v>
      </c>
      <c r="EB17" s="301">
        <v>891.25800000000004</v>
      </c>
      <c r="EC17" s="301">
        <v>880.60199999999998</v>
      </c>
      <c r="ED17" s="301">
        <v>892.56600000000003</v>
      </c>
      <c r="EE17" s="301">
        <v>949.22400000000005</v>
      </c>
      <c r="EF17" s="301">
        <v>946.596</v>
      </c>
      <c r="EG17" s="301">
        <v>879.91799999999989</v>
      </c>
      <c r="EH17" s="301">
        <v>965.13599999999997</v>
      </c>
      <c r="EI17" s="301">
        <v>883.14</v>
      </c>
      <c r="EJ17" s="301">
        <v>932.49599999999998</v>
      </c>
      <c r="EK17" s="301">
        <v>919.25400000000002</v>
      </c>
      <c r="EL17" s="301">
        <v>893.81399999999996</v>
      </c>
      <c r="EM17" s="301">
        <v>914.33400000000006</v>
      </c>
      <c r="EN17" s="301">
        <v>907.71600000000001</v>
      </c>
      <c r="EO17" s="301">
        <v>792.69600000000014</v>
      </c>
      <c r="EP17" s="301">
        <v>849.89400000000001</v>
      </c>
      <c r="EQ17" s="301">
        <v>883.84799999999996</v>
      </c>
      <c r="ER17" s="301">
        <v>833.27399999999989</v>
      </c>
      <c r="ES17" s="301">
        <v>868.5</v>
      </c>
      <c r="ET17" s="301">
        <v>806.97</v>
      </c>
      <c r="EU17" s="301">
        <v>766.34400000000005</v>
      </c>
      <c r="EV17" s="301">
        <v>791.82600000000002</v>
      </c>
      <c r="EW17" s="301">
        <v>760.98599999999999</v>
      </c>
      <c r="EX17" s="301">
        <v>734.09999999999991</v>
      </c>
      <c r="EY17" s="301">
        <v>758.37</v>
      </c>
      <c r="EZ17" s="301">
        <v>750.67200000000003</v>
      </c>
      <c r="FA17" s="301">
        <v>697.96199999999999</v>
      </c>
      <c r="FB17" s="301">
        <v>687.798</v>
      </c>
      <c r="FC17" s="301">
        <v>738.01800000000003</v>
      </c>
      <c r="FD17" s="301">
        <v>797.37599999999998</v>
      </c>
      <c r="FE17" s="301">
        <v>725.83199999999999</v>
      </c>
      <c r="FF17" s="301">
        <v>744.72</v>
      </c>
      <c r="FG17" s="301">
        <v>733.96199999999999</v>
      </c>
      <c r="FH17" s="301">
        <v>745.428</v>
      </c>
      <c r="FI17" s="301">
        <v>726.23400000000004</v>
      </c>
      <c r="FJ17" s="301">
        <v>704.37</v>
      </c>
      <c r="FK17" s="301">
        <v>708.654</v>
      </c>
      <c r="FL17" s="301">
        <v>719.92200000000003</v>
      </c>
      <c r="FM17" s="301">
        <v>647.04</v>
      </c>
      <c r="FN17" s="301">
        <v>682.2059999999999</v>
      </c>
      <c r="FO17" s="301">
        <v>727.65599999999995</v>
      </c>
      <c r="FP17" s="301">
        <v>779.08800000000008</v>
      </c>
      <c r="FQ17" s="301">
        <v>758.81999999999994</v>
      </c>
      <c r="FR17" s="301">
        <v>827.05799999999999</v>
      </c>
      <c r="FS17" s="301">
        <v>781.35599999999999</v>
      </c>
      <c r="FT17" s="301">
        <v>819.678</v>
      </c>
      <c r="FU17" s="301">
        <v>827.97600000000011</v>
      </c>
      <c r="FV17" s="301">
        <v>827.05200000000013</v>
      </c>
      <c r="FW17" s="301">
        <v>873.00600000000009</v>
      </c>
      <c r="FX17" s="301">
        <v>830.01600000000008</v>
      </c>
      <c r="FY17" s="301">
        <v>753.85799999999995</v>
      </c>
      <c r="FZ17" s="301">
        <v>768.18000000000006</v>
      </c>
      <c r="GA17" s="301">
        <v>813.678</v>
      </c>
      <c r="GB17" s="301">
        <v>805.26600000000008</v>
      </c>
      <c r="GC17" s="301">
        <v>787.68600000000004</v>
      </c>
      <c r="GD17" s="301">
        <v>811.99199999999996</v>
      </c>
      <c r="GE17" s="301">
        <v>791.81999999999994</v>
      </c>
      <c r="GF17" s="301">
        <v>791.69400000000007</v>
      </c>
      <c r="GG17" s="301">
        <v>813.12000000000012</v>
      </c>
      <c r="GH17" s="301">
        <v>799.93200000000002</v>
      </c>
      <c r="GI17" s="301">
        <v>815.97600000000011</v>
      </c>
      <c r="GJ17" s="301">
        <v>820.54200000000003</v>
      </c>
      <c r="GK17" s="301">
        <v>754.61400000000003</v>
      </c>
      <c r="GL17" s="301">
        <v>744.42599999999993</v>
      </c>
      <c r="GM17" s="301">
        <v>804.72</v>
      </c>
      <c r="GN17" s="301">
        <v>876.38400000000001</v>
      </c>
      <c r="GO17" s="301">
        <v>725.43000000000006</v>
      </c>
      <c r="GP17" s="301">
        <v>834.88199999999995</v>
      </c>
      <c r="GQ17" s="301">
        <v>802.76400000000012</v>
      </c>
      <c r="GR17" s="301">
        <v>824.64599999999996</v>
      </c>
      <c r="GS17" s="301">
        <v>841.22400000000005</v>
      </c>
      <c r="GT17" s="301">
        <v>779.23799999999994</v>
      </c>
      <c r="GU17" s="301">
        <v>805.50600000000009</v>
      </c>
      <c r="GV17" s="301">
        <v>834.67200000000003</v>
      </c>
      <c r="GW17" s="301">
        <v>787.33800000000008</v>
      </c>
      <c r="GX17" s="301">
        <v>841.00199999999995</v>
      </c>
      <c r="GY17" s="301">
        <v>826.0619999999999</v>
      </c>
      <c r="GZ17" s="301">
        <v>894.37200000000007</v>
      </c>
      <c r="HA17" s="301">
        <v>846.822</v>
      </c>
      <c r="HB17" s="301">
        <v>919.52399999999989</v>
      </c>
      <c r="HC17" s="301">
        <v>862.71</v>
      </c>
      <c r="HD17" s="301">
        <v>871.28399999999999</v>
      </c>
      <c r="HE17" s="301">
        <v>937.17599999999993</v>
      </c>
      <c r="HF17" s="301">
        <v>836.08200000000011</v>
      </c>
      <c r="HG17" s="301">
        <v>978.64200000000005</v>
      </c>
      <c r="HH17" s="301">
        <v>975.23399999999992</v>
      </c>
      <c r="HI17" s="301">
        <v>876.79200000000003</v>
      </c>
      <c r="HJ17" s="301">
        <v>933.02399999999989</v>
      </c>
      <c r="HK17" s="301">
        <v>916.41599999999994</v>
      </c>
      <c r="HL17" s="301">
        <v>916.84799999999996</v>
      </c>
      <c r="HM17" s="301">
        <v>934.18200000000002</v>
      </c>
      <c r="HN17" s="301">
        <v>964.33800000000008</v>
      </c>
      <c r="HO17" s="301">
        <v>942.56999999999994</v>
      </c>
      <c r="HP17" s="333">
        <v>992.84399999999994</v>
      </c>
      <c r="HQ17" s="333">
        <v>948.654</v>
      </c>
      <c r="HR17" s="333">
        <v>929.62799999999993</v>
      </c>
      <c r="HS17" s="333">
        <v>967.30200000000013</v>
      </c>
      <c r="HT17" s="333">
        <v>957.73799999999994</v>
      </c>
      <c r="HU17" s="333">
        <v>861.60599999999999</v>
      </c>
      <c r="HV17" s="301">
        <v>935.08200000000011</v>
      </c>
      <c r="HW17" s="301">
        <v>931.32600000000002</v>
      </c>
      <c r="HX17" s="301">
        <v>957.42599999999993</v>
      </c>
      <c r="HY17" s="301">
        <v>835.21800000000007</v>
      </c>
      <c r="HZ17" s="301">
        <v>932.71199999999999</v>
      </c>
      <c r="IA17" s="301">
        <v>927.91799999999989</v>
      </c>
      <c r="IB17" s="301">
        <v>956.97</v>
      </c>
      <c r="IC17" s="301">
        <v>901.71600000000001</v>
      </c>
      <c r="ID17" s="301">
        <v>896.87400000000002</v>
      </c>
      <c r="IE17" s="301">
        <v>915.28800000000001</v>
      </c>
      <c r="IF17" s="301">
        <v>915.73799999999994</v>
      </c>
      <c r="IG17" s="301">
        <v>869.81999999999994</v>
      </c>
      <c r="IH17" s="301">
        <v>855.87599999999998</v>
      </c>
      <c r="II17" s="301">
        <v>871.30200000000013</v>
      </c>
      <c r="IJ17" s="301">
        <v>1001.4839999999999</v>
      </c>
      <c r="IK17" s="301">
        <v>863.74800000000005</v>
      </c>
      <c r="IL17" s="301">
        <v>974.08200000000011</v>
      </c>
      <c r="IM17" s="301">
        <v>922.94400000000007</v>
      </c>
      <c r="IN17" s="333">
        <v>955.8119999999999</v>
      </c>
      <c r="IO17" s="333">
        <v>959.91599999999994</v>
      </c>
      <c r="IP17" s="333">
        <v>953.86200000000008</v>
      </c>
      <c r="IQ17" s="333">
        <v>973.1880000000001</v>
      </c>
      <c r="IR17" s="333">
        <v>1014.7620000000001</v>
      </c>
      <c r="IS17" s="333">
        <v>942.68399999999997</v>
      </c>
      <c r="IT17" s="333">
        <v>923.76600000000008</v>
      </c>
      <c r="IU17" s="333">
        <v>990.24</v>
      </c>
      <c r="IV17" s="333">
        <v>1049.694</v>
      </c>
      <c r="IW17" s="334">
        <v>1077.7460000000001</v>
      </c>
      <c r="IX17" s="334">
        <v>1135.018</v>
      </c>
      <c r="IY17" s="334">
        <v>1254.7860000000001</v>
      </c>
      <c r="IZ17" s="334">
        <v>1253.2819999999999</v>
      </c>
      <c r="JA17" s="334">
        <v>1244.8699999999999</v>
      </c>
      <c r="JB17" s="334">
        <v>1226.2819999999999</v>
      </c>
      <c r="JC17" s="334">
        <v>1319.2739999999999</v>
      </c>
      <c r="JD17" s="334">
        <v>1320.9280000000001</v>
      </c>
      <c r="JE17" s="334">
        <v>1257.8779999999999</v>
      </c>
      <c r="JF17" s="334">
        <v>1321.36</v>
      </c>
      <c r="JG17" s="334">
        <v>1415.5260000000001</v>
      </c>
      <c r="JH17" s="334">
        <v>1314.0319999999999</v>
      </c>
      <c r="JI17" s="334">
        <v>1215.376</v>
      </c>
      <c r="JJ17" s="334">
        <v>1279.9580000000001</v>
      </c>
      <c r="JK17" s="540">
        <v>972.35799999999995</v>
      </c>
    </row>
    <row r="18" spans="1:271" x14ac:dyDescent="0.25">
      <c r="A18" s="303" t="s">
        <v>72</v>
      </c>
      <c r="B18" s="304">
        <v>2459.2979999999998</v>
      </c>
      <c r="C18" s="304">
        <v>2385.348</v>
      </c>
      <c r="D18" s="304">
        <v>3611.58</v>
      </c>
      <c r="E18" s="304">
        <v>2509.7460000000001</v>
      </c>
      <c r="F18" s="304">
        <v>2739.3779999999997</v>
      </c>
      <c r="G18" s="304">
        <v>2540.2139999999999</v>
      </c>
      <c r="H18" s="304">
        <v>2680.0619999999999</v>
      </c>
      <c r="I18" s="304">
        <v>2509.482</v>
      </c>
      <c r="J18" s="304">
        <v>2317.3319999999999</v>
      </c>
      <c r="K18" s="304">
        <v>2480.6279999999997</v>
      </c>
      <c r="L18" s="304">
        <v>2629.1459999999997</v>
      </c>
      <c r="M18" s="304">
        <v>2475.174</v>
      </c>
      <c r="N18" s="304">
        <v>2477.2559999999999</v>
      </c>
      <c r="O18" s="304">
        <v>2501.7719999999999</v>
      </c>
      <c r="P18" s="304">
        <v>2405.7359999999999</v>
      </c>
      <c r="Q18" s="304">
        <v>2422.3559999999998</v>
      </c>
      <c r="R18" s="304">
        <v>2445.7200000000003</v>
      </c>
      <c r="S18" s="304">
        <v>2334.42</v>
      </c>
      <c r="T18" s="304">
        <v>2461.884</v>
      </c>
      <c r="U18" s="304">
        <v>2350.6260000000002</v>
      </c>
      <c r="V18" s="304">
        <v>2258.634</v>
      </c>
      <c r="W18" s="304">
        <v>2281.7579999999998</v>
      </c>
      <c r="X18" s="304">
        <v>2373.0839999999998</v>
      </c>
      <c r="Y18" s="304">
        <v>2315.538</v>
      </c>
      <c r="Z18" s="304">
        <v>2276.9879999999998</v>
      </c>
      <c r="AA18" s="304">
        <v>2268.3239999999996</v>
      </c>
      <c r="AB18" s="304">
        <v>2400.8339999999998</v>
      </c>
      <c r="AC18" s="304">
        <v>2386.6440000000002</v>
      </c>
      <c r="AD18" s="304">
        <v>2531.4180000000001</v>
      </c>
      <c r="AE18" s="304">
        <v>2505.1980000000003</v>
      </c>
      <c r="AF18" s="304">
        <v>3177.942</v>
      </c>
      <c r="AG18" s="304">
        <v>2420.556</v>
      </c>
      <c r="AH18" s="304">
        <v>2456.8980000000001</v>
      </c>
      <c r="AI18" s="304">
        <v>2423.7539999999999</v>
      </c>
      <c r="AJ18" s="304">
        <v>2370.1619999999998</v>
      </c>
      <c r="AK18" s="304">
        <v>2458.806</v>
      </c>
      <c r="AL18" s="304">
        <v>2343.1980000000003</v>
      </c>
      <c r="AM18" s="304">
        <v>2469</v>
      </c>
      <c r="AN18" s="304">
        <v>2798.5259999999998</v>
      </c>
      <c r="AO18" s="304">
        <v>2577.4079999999999</v>
      </c>
      <c r="AP18" s="304">
        <v>2667.5160000000001</v>
      </c>
      <c r="AQ18" s="304">
        <v>2761.5</v>
      </c>
      <c r="AR18" s="304">
        <v>2747.8139999999999</v>
      </c>
      <c r="AS18" s="304">
        <v>2836.14</v>
      </c>
      <c r="AT18" s="304">
        <v>2679.5099999999998</v>
      </c>
      <c r="AU18" s="304">
        <v>2878.3019999999997</v>
      </c>
      <c r="AV18" s="304">
        <v>2826.8760000000002</v>
      </c>
      <c r="AW18" s="304">
        <v>2878.5360000000001</v>
      </c>
      <c r="AX18" s="304">
        <v>2889.0419999999999</v>
      </c>
      <c r="AY18" s="304">
        <v>2812.7640000000001</v>
      </c>
      <c r="AZ18" s="304">
        <v>2977.8540000000003</v>
      </c>
      <c r="BA18" s="304">
        <v>2972.2080000000001</v>
      </c>
      <c r="BB18" s="304">
        <v>3057.8999999999996</v>
      </c>
      <c r="BC18" s="304">
        <v>3241.4700000000003</v>
      </c>
      <c r="BD18" s="304">
        <v>3367.9439999999995</v>
      </c>
      <c r="BE18" s="304">
        <v>3365.8740000000003</v>
      </c>
      <c r="BF18" s="304">
        <v>3202.7699999999995</v>
      </c>
      <c r="BG18" s="304">
        <v>3220.0260000000003</v>
      </c>
      <c r="BH18" s="304">
        <v>3282.576</v>
      </c>
      <c r="BI18" s="304">
        <v>3107.46</v>
      </c>
      <c r="BJ18" s="304">
        <v>3131.0940000000001</v>
      </c>
      <c r="BK18" s="304">
        <v>3216.4079999999999</v>
      </c>
      <c r="BL18" s="304">
        <v>3509.6880000000001</v>
      </c>
      <c r="BM18" s="304">
        <v>3254.3339999999998</v>
      </c>
      <c r="BN18" s="304">
        <v>3532.6080000000002</v>
      </c>
      <c r="BO18" s="304">
        <v>3405.366</v>
      </c>
      <c r="BP18" s="304">
        <v>3427.7039999999997</v>
      </c>
      <c r="BQ18" s="304">
        <v>3686.9459999999999</v>
      </c>
      <c r="BR18" s="304">
        <v>3488.9580000000005</v>
      </c>
      <c r="BS18" s="304">
        <v>3681.3180000000002</v>
      </c>
      <c r="BT18" s="304">
        <v>3793.7460000000001</v>
      </c>
      <c r="BU18" s="304">
        <v>3612.8820000000005</v>
      </c>
      <c r="BV18" s="304">
        <v>3890.4120000000003</v>
      </c>
      <c r="BW18" s="304">
        <v>3746.3159999999998</v>
      </c>
      <c r="BX18" s="304">
        <v>4092.8999999999996</v>
      </c>
      <c r="BY18" s="304">
        <v>3998.3999999999996</v>
      </c>
      <c r="BZ18" s="304">
        <v>4445.0460000000003</v>
      </c>
      <c r="CA18" s="304">
        <v>4592.7300000000005</v>
      </c>
      <c r="CB18" s="304">
        <v>4593.7080000000005</v>
      </c>
      <c r="CC18" s="304">
        <v>4668.5879999999997</v>
      </c>
      <c r="CD18" s="304">
        <v>4394.268</v>
      </c>
      <c r="CE18" s="304">
        <v>4611.8459999999995</v>
      </c>
      <c r="CF18" s="304">
        <v>4542.8159999999998</v>
      </c>
      <c r="CG18" s="304">
        <v>4581.8999999999996</v>
      </c>
      <c r="CH18" s="304">
        <v>4838.91</v>
      </c>
      <c r="CI18" s="304">
        <v>4693.8119999999999</v>
      </c>
      <c r="CJ18" s="304">
        <v>4768.92</v>
      </c>
      <c r="CK18" s="304">
        <v>4815.8760000000002</v>
      </c>
      <c r="CL18" s="304">
        <v>5040.6959999999999</v>
      </c>
      <c r="CM18" s="304">
        <v>4948.326</v>
      </c>
      <c r="CN18" s="304">
        <v>5072.6279999999997</v>
      </c>
      <c r="CO18" s="304">
        <v>4798.53</v>
      </c>
      <c r="CP18" s="304">
        <v>4767.8639999999996</v>
      </c>
      <c r="CQ18" s="304">
        <v>4978.884</v>
      </c>
      <c r="CR18" s="304">
        <v>4951.7939999999999</v>
      </c>
      <c r="CS18" s="304">
        <v>4792.3140000000003</v>
      </c>
      <c r="CT18" s="304">
        <v>4673.9400000000005</v>
      </c>
      <c r="CU18" s="304">
        <v>4299.51</v>
      </c>
      <c r="CV18" s="304">
        <v>4217.1719999999996</v>
      </c>
      <c r="CW18" s="304">
        <v>3850.1939999999995</v>
      </c>
      <c r="CX18" s="304">
        <v>3819.462</v>
      </c>
      <c r="CY18" s="304">
        <v>3854.2740000000003</v>
      </c>
      <c r="CZ18" s="304">
        <v>4033.7159999999994</v>
      </c>
      <c r="DA18" s="304">
        <v>3955.3740000000003</v>
      </c>
      <c r="DB18" s="304">
        <v>3840.5879999999997</v>
      </c>
      <c r="DC18" s="304">
        <v>3817.1819999999998</v>
      </c>
      <c r="DD18" s="304">
        <v>3776.3040000000001</v>
      </c>
      <c r="DE18" s="304">
        <v>3664.3559999999998</v>
      </c>
      <c r="DF18" s="304">
        <v>3632.7840000000006</v>
      </c>
      <c r="DG18" s="304">
        <v>3454.0320000000002</v>
      </c>
      <c r="DH18" s="304">
        <v>3864.6179999999995</v>
      </c>
      <c r="DI18" s="304">
        <v>3659.3759999999997</v>
      </c>
      <c r="DJ18" s="304">
        <v>3650.2200000000003</v>
      </c>
      <c r="DK18" s="304">
        <v>3780.1379999999999</v>
      </c>
      <c r="DL18" s="304">
        <v>3722.1479999999997</v>
      </c>
      <c r="DM18" s="304">
        <v>3824.6099999999997</v>
      </c>
      <c r="DN18" s="304">
        <v>3764.0879999999997</v>
      </c>
      <c r="DO18" s="304">
        <v>3769.9560000000001</v>
      </c>
      <c r="DP18" s="304">
        <v>3912.6660000000002</v>
      </c>
      <c r="DQ18" s="304">
        <v>3680.8919999999998</v>
      </c>
      <c r="DR18" s="304">
        <v>3810.0959999999995</v>
      </c>
      <c r="DS18" s="304">
        <v>3696.2760000000003</v>
      </c>
      <c r="DT18" s="304">
        <v>4076.4839999999999</v>
      </c>
      <c r="DU18" s="304">
        <v>3934.2539999999999</v>
      </c>
      <c r="DV18" s="304">
        <v>4319.6880000000001</v>
      </c>
      <c r="DW18" s="304">
        <v>4272.1080000000002</v>
      </c>
      <c r="DX18" s="304">
        <v>4295.8860000000004</v>
      </c>
      <c r="DY18" s="304">
        <v>4481.9040000000005</v>
      </c>
      <c r="DZ18" s="304">
        <v>4270.8180000000002</v>
      </c>
      <c r="EA18" s="304">
        <v>4369.4580000000005</v>
      </c>
      <c r="EB18" s="304">
        <v>4529.1419999999998</v>
      </c>
      <c r="EC18" s="304">
        <v>4193.7240000000002</v>
      </c>
      <c r="ED18" s="304">
        <v>4367.7240000000002</v>
      </c>
      <c r="EE18" s="304">
        <v>4317.12</v>
      </c>
      <c r="EF18" s="304">
        <v>4486.0739999999996</v>
      </c>
      <c r="EG18" s="304">
        <v>4270.2840000000006</v>
      </c>
      <c r="EH18" s="304">
        <v>4475.0039999999999</v>
      </c>
      <c r="EI18" s="304">
        <v>4370.34</v>
      </c>
      <c r="EJ18" s="304">
        <v>4510.2659999999996</v>
      </c>
      <c r="EK18" s="304">
        <v>4561.8539999999994</v>
      </c>
      <c r="EL18" s="304">
        <v>4438.5720000000001</v>
      </c>
      <c r="EM18" s="304">
        <v>4457.4780000000001</v>
      </c>
      <c r="EN18" s="304">
        <v>4436.16</v>
      </c>
      <c r="EO18" s="304">
        <v>4099.8960000000006</v>
      </c>
      <c r="EP18" s="304">
        <v>4207.2300000000005</v>
      </c>
      <c r="EQ18" s="304">
        <v>4195.08</v>
      </c>
      <c r="ER18" s="304">
        <v>4249.884</v>
      </c>
      <c r="ES18" s="304">
        <v>4224.3900000000003</v>
      </c>
      <c r="ET18" s="304">
        <v>4305</v>
      </c>
      <c r="EU18" s="304">
        <v>4176.6419999999998</v>
      </c>
      <c r="EV18" s="304">
        <v>4140.6479999999992</v>
      </c>
      <c r="EW18" s="304">
        <v>4100.25</v>
      </c>
      <c r="EX18" s="304">
        <v>3957.21</v>
      </c>
      <c r="EY18" s="304">
        <v>4009.5299999999997</v>
      </c>
      <c r="EZ18" s="304">
        <v>3856.3679999999995</v>
      </c>
      <c r="FA18" s="304">
        <v>3669.0059999999999</v>
      </c>
      <c r="FB18" s="304">
        <v>3611.8019999999997</v>
      </c>
      <c r="FC18" s="304">
        <v>3420.3599999999997</v>
      </c>
      <c r="FD18" s="304">
        <v>3614.3159999999998</v>
      </c>
      <c r="FE18" s="304">
        <v>3381.2939999999999</v>
      </c>
      <c r="FF18" s="304">
        <v>3601.4880000000003</v>
      </c>
      <c r="FG18" s="304">
        <v>3329.1840000000002</v>
      </c>
      <c r="FH18" s="304">
        <v>3461.0640000000003</v>
      </c>
      <c r="FI18" s="304">
        <v>3361.4459999999999</v>
      </c>
      <c r="FJ18" s="304">
        <v>3251.1059999999998</v>
      </c>
      <c r="FK18" s="304">
        <v>3476.7479999999996</v>
      </c>
      <c r="FL18" s="304">
        <v>3228.93</v>
      </c>
      <c r="FM18" s="304">
        <v>3080.7479999999996</v>
      </c>
      <c r="FN18" s="304">
        <v>3191.6939999999995</v>
      </c>
      <c r="FO18" s="304">
        <v>3099.7139999999999</v>
      </c>
      <c r="FP18" s="304">
        <v>3285.3960000000002</v>
      </c>
      <c r="FQ18" s="304">
        <v>3146.25</v>
      </c>
      <c r="FR18" s="304">
        <v>3335.1660000000002</v>
      </c>
      <c r="FS18" s="304">
        <v>3273.8999999999996</v>
      </c>
      <c r="FT18" s="304">
        <v>3306.2460000000001</v>
      </c>
      <c r="FU18" s="304">
        <v>3079.4519999999998</v>
      </c>
      <c r="FV18" s="304">
        <v>2919.7259999999997</v>
      </c>
      <c r="FW18" s="304">
        <v>3059.172</v>
      </c>
      <c r="FX18" s="304">
        <v>2778.2219999999998</v>
      </c>
      <c r="FY18" s="304">
        <v>2672.808</v>
      </c>
      <c r="FZ18" s="304">
        <v>2622.558</v>
      </c>
      <c r="GA18" s="304">
        <v>2584.4160000000002</v>
      </c>
      <c r="GB18" s="304">
        <v>2631.7259999999997</v>
      </c>
      <c r="GC18" s="304">
        <v>2433.36</v>
      </c>
      <c r="GD18" s="304">
        <v>2619.7799999999997</v>
      </c>
      <c r="GE18" s="304">
        <v>2443.2719999999999</v>
      </c>
      <c r="GF18" s="304">
        <v>2360.9459999999999</v>
      </c>
      <c r="GG18" s="304">
        <v>2553.7860000000001</v>
      </c>
      <c r="GH18" s="304">
        <v>2408.4119999999998</v>
      </c>
      <c r="GI18" s="304">
        <v>2497.4160000000002</v>
      </c>
      <c r="GJ18" s="304">
        <v>2577.6120000000001</v>
      </c>
      <c r="GK18" s="304">
        <v>2465.2379999999998</v>
      </c>
      <c r="GL18" s="304">
        <v>2527.3440000000001</v>
      </c>
      <c r="GM18" s="304">
        <v>2381.634</v>
      </c>
      <c r="GN18" s="304">
        <v>2816.58</v>
      </c>
      <c r="GO18" s="304">
        <v>2450.91</v>
      </c>
      <c r="GP18" s="304">
        <v>2805.0299999999997</v>
      </c>
      <c r="GQ18" s="304">
        <v>2624.0039999999999</v>
      </c>
      <c r="GR18" s="304">
        <v>2555.1959999999999</v>
      </c>
      <c r="GS18" s="304">
        <v>2659.7579999999998</v>
      </c>
      <c r="GT18" s="304">
        <v>2421.0720000000001</v>
      </c>
      <c r="GU18" s="304">
        <v>2469.4319999999998</v>
      </c>
      <c r="GV18" s="304">
        <v>2378.4180000000001</v>
      </c>
      <c r="GW18" s="304">
        <v>2235.66</v>
      </c>
      <c r="GX18" s="304">
        <v>2344.1459999999997</v>
      </c>
      <c r="GY18" s="304">
        <v>2185.5720000000001</v>
      </c>
      <c r="GZ18" s="304">
        <v>2375.73</v>
      </c>
      <c r="HA18" s="304">
        <v>2245.7579999999998</v>
      </c>
      <c r="HB18" s="304">
        <v>2482.1459999999997</v>
      </c>
      <c r="HC18" s="304">
        <v>2263.02</v>
      </c>
      <c r="HD18" s="304">
        <v>2348.154</v>
      </c>
      <c r="HE18" s="304">
        <v>2407.518</v>
      </c>
      <c r="HF18" s="304">
        <v>2284.2960000000003</v>
      </c>
      <c r="HG18" s="304">
        <v>2517.3119999999999</v>
      </c>
      <c r="HH18" s="304">
        <v>2507.6579999999999</v>
      </c>
      <c r="HI18" s="304">
        <v>2441.6880000000001</v>
      </c>
      <c r="HJ18" s="304">
        <v>2626.02</v>
      </c>
      <c r="HK18" s="304">
        <v>2514.9659999999999</v>
      </c>
      <c r="HL18" s="304">
        <v>2737.7339999999999</v>
      </c>
      <c r="HM18" s="304">
        <v>2554.2780000000002</v>
      </c>
      <c r="HN18" s="304">
        <v>2743.8540000000003</v>
      </c>
      <c r="HO18" s="304">
        <v>2793.8160000000003</v>
      </c>
      <c r="HP18" s="304">
        <v>2987.694</v>
      </c>
      <c r="HQ18" s="304">
        <v>2950.2179999999998</v>
      </c>
      <c r="HR18" s="304">
        <v>2918.55</v>
      </c>
      <c r="HS18" s="304">
        <v>3150.9059999999999</v>
      </c>
      <c r="HT18" s="304">
        <v>3110.8679999999995</v>
      </c>
      <c r="HU18" s="304">
        <v>3041.9459999999999</v>
      </c>
      <c r="HV18" s="304">
        <v>3300.4979999999996</v>
      </c>
      <c r="HW18" s="304">
        <v>3341.0160000000001</v>
      </c>
      <c r="HX18" s="304">
        <v>3462.8820000000005</v>
      </c>
      <c r="HY18" s="304">
        <v>3239.37</v>
      </c>
      <c r="HZ18" s="304">
        <v>3373.4040000000005</v>
      </c>
      <c r="IA18" s="304">
        <v>3635.826</v>
      </c>
      <c r="IB18" s="304">
        <v>3487.6320000000005</v>
      </c>
      <c r="IC18" s="304">
        <v>3420.4560000000001</v>
      </c>
      <c r="ID18" s="304">
        <v>3280.0199999999995</v>
      </c>
      <c r="IE18" s="304">
        <v>3344.1120000000001</v>
      </c>
      <c r="IF18" s="304">
        <v>3288.9180000000001</v>
      </c>
      <c r="IG18" s="304">
        <v>3203.8019999999997</v>
      </c>
      <c r="IH18" s="304">
        <v>3178.1880000000001</v>
      </c>
      <c r="II18" s="304">
        <v>3070.3620000000001</v>
      </c>
      <c r="IJ18" s="304">
        <v>3455.7960000000003</v>
      </c>
      <c r="IK18" s="304">
        <v>3216.9480000000003</v>
      </c>
      <c r="IL18" s="304">
        <v>3388.59</v>
      </c>
      <c r="IM18" s="304">
        <v>3325.0260000000003</v>
      </c>
      <c r="IN18" s="12">
        <v>3543.9480000000003</v>
      </c>
      <c r="IO18" s="12">
        <v>3650.6460000000002</v>
      </c>
      <c r="IP18" s="12">
        <v>3540.4079999999999</v>
      </c>
      <c r="IQ18" s="12">
        <v>3568.0739999999996</v>
      </c>
      <c r="IR18" s="12">
        <v>3600.1859999999997</v>
      </c>
      <c r="IS18" s="12">
        <v>3481.56</v>
      </c>
      <c r="IT18" s="12">
        <v>3415.0439999999999</v>
      </c>
      <c r="IU18" s="12">
        <v>3386.5079999999998</v>
      </c>
      <c r="IV18" s="12">
        <v>3729.51</v>
      </c>
      <c r="IW18" s="12">
        <v>3513.2939999999999</v>
      </c>
      <c r="IX18" s="12">
        <v>3685.6239999999998</v>
      </c>
      <c r="IY18" s="12">
        <v>3773.56</v>
      </c>
      <c r="IZ18" s="12">
        <v>3962.22</v>
      </c>
      <c r="JA18" s="12">
        <v>4054.0740000000001</v>
      </c>
      <c r="JB18" s="12">
        <v>4245.0720000000001</v>
      </c>
      <c r="JC18" s="12">
        <v>4462.2839999999997</v>
      </c>
      <c r="JD18" s="12">
        <v>4040.7959999999998</v>
      </c>
      <c r="JE18" s="12">
        <v>3775.364</v>
      </c>
      <c r="JF18" s="12">
        <v>3235.1979999999999</v>
      </c>
      <c r="JG18" s="12">
        <v>2107.4479999999999</v>
      </c>
      <c r="JH18" s="12">
        <v>1601.15</v>
      </c>
      <c r="JI18" s="12">
        <v>1563.0440000000001</v>
      </c>
      <c r="JJ18" s="12">
        <v>1579.8240000000001</v>
      </c>
      <c r="JK18" s="336">
        <v>1556.492</v>
      </c>
    </row>
    <row r="19" spans="1:271" x14ac:dyDescent="0.25">
      <c r="A19" s="303" t="s">
        <v>162</v>
      </c>
      <c r="B19" s="301">
        <v>400.14600000000002</v>
      </c>
      <c r="C19" s="301">
        <v>442.99199999999996</v>
      </c>
      <c r="D19" s="301">
        <v>475.536</v>
      </c>
      <c r="E19" s="301">
        <v>449.62199999999996</v>
      </c>
      <c r="F19" s="301">
        <v>459.74399999999997</v>
      </c>
      <c r="G19" s="301">
        <v>448.86</v>
      </c>
      <c r="H19" s="301">
        <v>422.41800000000001</v>
      </c>
      <c r="I19" s="301">
        <v>414.47399999999993</v>
      </c>
      <c r="J19" s="301">
        <v>422.05200000000002</v>
      </c>
      <c r="K19" s="301">
        <v>469.34400000000005</v>
      </c>
      <c r="L19" s="301">
        <v>469.02600000000007</v>
      </c>
      <c r="M19" s="301">
        <v>423.75</v>
      </c>
      <c r="N19" s="301">
        <v>380.20800000000003</v>
      </c>
      <c r="O19" s="301">
        <v>394.89</v>
      </c>
      <c r="P19" s="301">
        <v>426.97799999999995</v>
      </c>
      <c r="Q19" s="301">
        <v>401.55600000000004</v>
      </c>
      <c r="R19" s="301">
        <v>459.73199999999997</v>
      </c>
      <c r="S19" s="301">
        <v>385.596</v>
      </c>
      <c r="T19" s="301">
        <v>404.18999999999994</v>
      </c>
      <c r="U19" s="301">
        <v>414.47399999999993</v>
      </c>
      <c r="V19" s="301">
        <v>408.21</v>
      </c>
      <c r="W19" s="301">
        <v>440.36400000000003</v>
      </c>
      <c r="X19" s="301">
        <v>412.43400000000003</v>
      </c>
      <c r="Y19" s="301">
        <v>389.50200000000001</v>
      </c>
      <c r="Z19" s="301">
        <v>393.88799999999998</v>
      </c>
      <c r="AA19" s="301">
        <v>394.48199999999997</v>
      </c>
      <c r="AB19" s="301">
        <v>427.18799999999999</v>
      </c>
      <c r="AC19" s="301">
        <v>384.58799999999997</v>
      </c>
      <c r="AD19" s="301">
        <v>432.58799999999997</v>
      </c>
      <c r="AE19" s="301">
        <v>405.88799999999998</v>
      </c>
      <c r="AF19" s="301">
        <v>407.29200000000003</v>
      </c>
      <c r="AG19" s="301">
        <v>424.99199999999996</v>
      </c>
      <c r="AH19" s="301">
        <v>408.024</v>
      </c>
      <c r="AI19" s="301">
        <v>424.99199999999996</v>
      </c>
      <c r="AJ19" s="301">
        <v>405.01199999999994</v>
      </c>
      <c r="AK19" s="301">
        <v>398.43</v>
      </c>
      <c r="AL19" s="301">
        <v>428.84999999999997</v>
      </c>
      <c r="AM19" s="301">
        <v>405.55799999999999</v>
      </c>
      <c r="AN19" s="301">
        <v>419.81399999999996</v>
      </c>
      <c r="AO19" s="301">
        <v>389.23800000000006</v>
      </c>
      <c r="AP19" s="301">
        <v>399.05399999999997</v>
      </c>
      <c r="AQ19" s="301">
        <v>388.29</v>
      </c>
      <c r="AR19" s="301">
        <v>390.89400000000001</v>
      </c>
      <c r="AS19" s="301">
        <v>402.24</v>
      </c>
      <c r="AT19" s="301">
        <v>401.74799999999999</v>
      </c>
      <c r="AU19" s="301">
        <v>376.38600000000002</v>
      </c>
      <c r="AV19" s="301">
        <v>411.52799999999996</v>
      </c>
      <c r="AW19" s="301">
        <v>428.23800000000006</v>
      </c>
      <c r="AX19" s="301">
        <v>375.75</v>
      </c>
      <c r="AY19" s="301">
        <v>391.38</v>
      </c>
      <c r="AZ19" s="301">
        <v>415.572</v>
      </c>
      <c r="BA19" s="301">
        <v>375.24</v>
      </c>
      <c r="BB19" s="301">
        <v>403.68</v>
      </c>
      <c r="BC19" s="301">
        <v>401.37599999999998</v>
      </c>
      <c r="BD19" s="301">
        <v>408.072</v>
      </c>
      <c r="BE19" s="301">
        <v>425.90999999999997</v>
      </c>
      <c r="BF19" s="301">
        <v>401.904</v>
      </c>
      <c r="BG19" s="301">
        <v>432.786</v>
      </c>
      <c r="BH19" s="301">
        <v>452.25600000000003</v>
      </c>
      <c r="BI19" s="301">
        <v>435.67199999999997</v>
      </c>
      <c r="BJ19" s="301">
        <v>422.18999999999994</v>
      </c>
      <c r="BK19" s="301">
        <v>427.81799999999998</v>
      </c>
      <c r="BL19" s="301">
        <v>453.73199999999997</v>
      </c>
      <c r="BM19" s="301">
        <v>394.33199999999999</v>
      </c>
      <c r="BN19" s="301">
        <v>471.26400000000001</v>
      </c>
      <c r="BO19" s="301">
        <v>467.964</v>
      </c>
      <c r="BP19" s="301">
        <v>465.62400000000002</v>
      </c>
      <c r="BQ19" s="301">
        <v>484.84199999999998</v>
      </c>
      <c r="BR19" s="301">
        <v>462.34800000000007</v>
      </c>
      <c r="BS19" s="301">
        <v>467.77200000000005</v>
      </c>
      <c r="BT19" s="301">
        <v>483.43799999999999</v>
      </c>
      <c r="BU19" s="301">
        <v>452.81399999999996</v>
      </c>
      <c r="BV19" s="301">
        <v>461.51400000000001</v>
      </c>
      <c r="BW19" s="301">
        <v>459.85199999999998</v>
      </c>
      <c r="BX19" s="301">
        <v>485.142</v>
      </c>
      <c r="BY19" s="301">
        <v>439.84199999999998</v>
      </c>
      <c r="BZ19" s="301">
        <v>471.858</v>
      </c>
      <c r="CA19" s="301">
        <v>460.25400000000002</v>
      </c>
      <c r="CB19" s="301">
        <v>451.41600000000005</v>
      </c>
      <c r="CC19" s="301">
        <v>463.43400000000003</v>
      </c>
      <c r="CD19" s="301">
        <v>434.38200000000006</v>
      </c>
      <c r="CE19" s="301">
        <v>489.01800000000003</v>
      </c>
      <c r="CF19" s="301">
        <v>485.43600000000004</v>
      </c>
      <c r="CG19" s="301">
        <v>439.71</v>
      </c>
      <c r="CH19" s="301">
        <v>450.99599999999998</v>
      </c>
      <c r="CI19" s="301">
        <v>454.65599999999995</v>
      </c>
      <c r="CJ19" s="301">
        <v>439.57800000000003</v>
      </c>
      <c r="CK19" s="301">
        <v>429.48599999999999</v>
      </c>
      <c r="CL19" s="301">
        <v>453.85199999999998</v>
      </c>
      <c r="CM19" s="301">
        <v>446.13</v>
      </c>
      <c r="CN19" s="301">
        <v>482.03399999999999</v>
      </c>
      <c r="CO19" s="301">
        <v>484.11</v>
      </c>
      <c r="CP19" s="301">
        <v>480.32400000000001</v>
      </c>
      <c r="CQ19" s="301">
        <v>485.43</v>
      </c>
      <c r="CR19" s="301">
        <v>491.952</v>
      </c>
      <c r="CS19" s="301">
        <v>482.47799999999995</v>
      </c>
      <c r="CT19" s="301">
        <v>472.06200000000001</v>
      </c>
      <c r="CU19" s="301">
        <v>475.24799999999999</v>
      </c>
      <c r="CV19" s="301">
        <v>513.97199999999998</v>
      </c>
      <c r="CW19" s="301">
        <v>474.57</v>
      </c>
      <c r="CX19" s="301">
        <v>498.27600000000007</v>
      </c>
      <c r="CY19" s="301">
        <v>489.36</v>
      </c>
      <c r="CZ19" s="301">
        <v>505.73400000000004</v>
      </c>
      <c r="DA19" s="301">
        <v>502.51800000000003</v>
      </c>
      <c r="DB19" s="301">
        <v>506.14800000000002</v>
      </c>
      <c r="DC19" s="301">
        <v>501.99</v>
      </c>
      <c r="DD19" s="301">
        <v>518.67599999999993</v>
      </c>
      <c r="DE19" s="301">
        <v>510.654</v>
      </c>
      <c r="DF19" s="301">
        <v>474.52200000000005</v>
      </c>
      <c r="DG19" s="301">
        <v>476.29200000000003</v>
      </c>
      <c r="DH19" s="301">
        <v>469.96800000000002</v>
      </c>
      <c r="DI19" s="301">
        <v>472.24799999999999</v>
      </c>
      <c r="DJ19" s="301">
        <v>498.14400000000001</v>
      </c>
      <c r="DK19" s="301">
        <v>499.536</v>
      </c>
      <c r="DL19" s="301">
        <v>489.96</v>
      </c>
      <c r="DM19" s="301">
        <v>507.25800000000004</v>
      </c>
      <c r="DN19" s="301">
        <v>519.46800000000007</v>
      </c>
      <c r="DO19" s="301">
        <v>489.91200000000003</v>
      </c>
      <c r="DP19" s="301">
        <v>508.59000000000003</v>
      </c>
      <c r="DQ19" s="301">
        <v>492.32400000000001</v>
      </c>
      <c r="DR19" s="301">
        <v>473.10599999999999</v>
      </c>
      <c r="DS19" s="301">
        <v>468.75600000000003</v>
      </c>
      <c r="DT19" s="301">
        <v>514.13400000000001</v>
      </c>
      <c r="DU19" s="301">
        <v>490.71</v>
      </c>
      <c r="DV19" s="301">
        <v>539.48400000000004</v>
      </c>
      <c r="DW19" s="301">
        <v>533.18399999999997</v>
      </c>
      <c r="DX19" s="301">
        <v>542.04</v>
      </c>
      <c r="DY19" s="301">
        <v>570.47399999999993</v>
      </c>
      <c r="DZ19" s="301">
        <v>537.53399999999999</v>
      </c>
      <c r="EA19" s="301">
        <v>529.45799999999997</v>
      </c>
      <c r="EB19" s="301">
        <v>553.48199999999997</v>
      </c>
      <c r="EC19" s="301">
        <v>523.11</v>
      </c>
      <c r="ED19" s="301">
        <v>561.78600000000006</v>
      </c>
      <c r="EE19" s="301">
        <v>566.41200000000003</v>
      </c>
      <c r="EF19" s="301">
        <v>590.44200000000001</v>
      </c>
      <c r="EG19" s="301">
        <v>577.56000000000006</v>
      </c>
      <c r="EH19" s="301">
        <v>636.35400000000004</v>
      </c>
      <c r="EI19" s="301">
        <v>607.32600000000002</v>
      </c>
      <c r="EJ19" s="301">
        <v>615.85799999999995</v>
      </c>
      <c r="EK19" s="301">
        <v>585.41999999999996</v>
      </c>
      <c r="EL19" s="301">
        <v>548.36400000000003</v>
      </c>
      <c r="EM19" s="301">
        <v>536.65800000000002</v>
      </c>
      <c r="EN19" s="301">
        <v>580.75800000000004</v>
      </c>
      <c r="EO19" s="301">
        <v>555.95400000000006</v>
      </c>
      <c r="EP19" s="301">
        <v>573.28800000000001</v>
      </c>
      <c r="EQ19" s="301">
        <v>547.17599999999993</v>
      </c>
      <c r="ER19" s="301">
        <v>576.12</v>
      </c>
      <c r="ES19" s="301">
        <v>574.00800000000004</v>
      </c>
      <c r="ET19" s="301">
        <v>538.34400000000005</v>
      </c>
      <c r="EU19" s="301">
        <v>569.97</v>
      </c>
      <c r="EV19" s="301">
        <v>593.94600000000003</v>
      </c>
      <c r="EW19" s="301">
        <v>593.71800000000007</v>
      </c>
      <c r="EX19" s="301">
        <v>550.78199999999993</v>
      </c>
      <c r="EY19" s="301">
        <v>591.01199999999994</v>
      </c>
      <c r="EZ19" s="301">
        <v>613.30799999999999</v>
      </c>
      <c r="FA19" s="301">
        <v>589.14</v>
      </c>
      <c r="FB19" s="301">
        <v>559.16999999999996</v>
      </c>
      <c r="FC19" s="301">
        <v>556.452</v>
      </c>
      <c r="FD19" s="301">
        <v>575.50199999999995</v>
      </c>
      <c r="FE19" s="301">
        <v>572.44799999999998</v>
      </c>
      <c r="FF19" s="301">
        <v>596.202</v>
      </c>
      <c r="FG19" s="301">
        <v>570.45000000000005</v>
      </c>
      <c r="FH19" s="301">
        <v>553.90800000000002</v>
      </c>
      <c r="FI19" s="301">
        <v>538.24199999999996</v>
      </c>
      <c r="FJ19" s="301">
        <v>538.39800000000002</v>
      </c>
      <c r="FK19" s="301">
        <v>568.94399999999996</v>
      </c>
      <c r="FL19" s="301">
        <v>564.66600000000005</v>
      </c>
      <c r="FM19" s="301">
        <v>544.38</v>
      </c>
      <c r="FN19" s="301">
        <v>505.85399999999998</v>
      </c>
      <c r="FO19" s="301">
        <v>492.89400000000001</v>
      </c>
      <c r="FP19" s="301">
        <v>503.02200000000005</v>
      </c>
      <c r="FQ19" s="301">
        <v>485.298</v>
      </c>
      <c r="FR19" s="301">
        <v>500.69399999999996</v>
      </c>
      <c r="FS19" s="301">
        <v>498.57</v>
      </c>
      <c r="FT19" s="301">
        <v>469.19399999999996</v>
      </c>
      <c r="FU19" s="301">
        <v>484.43999999999994</v>
      </c>
      <c r="FV19" s="301">
        <v>476.86799999999994</v>
      </c>
      <c r="FW19" s="301">
        <v>473.47799999999995</v>
      </c>
      <c r="FX19" s="301">
        <v>485.44200000000001</v>
      </c>
      <c r="FY19" s="301">
        <v>448.47</v>
      </c>
      <c r="FZ19" s="301">
        <v>425.62800000000004</v>
      </c>
      <c r="GA19" s="301">
        <v>447</v>
      </c>
      <c r="GB19" s="301">
        <v>452.54999999999995</v>
      </c>
      <c r="GC19" s="301">
        <v>411.28800000000001</v>
      </c>
      <c r="GD19" s="301">
        <v>428.76</v>
      </c>
      <c r="GE19" s="301">
        <v>426.79200000000003</v>
      </c>
      <c r="GF19" s="301">
        <v>405.45000000000005</v>
      </c>
      <c r="GG19" s="301">
        <v>422.69399999999996</v>
      </c>
      <c r="GH19" s="301">
        <v>422.76599999999996</v>
      </c>
      <c r="GI19" s="301">
        <v>413.26199999999994</v>
      </c>
      <c r="GJ19" s="301">
        <v>437.83199999999999</v>
      </c>
      <c r="GK19" s="301">
        <v>331.30799999999999</v>
      </c>
      <c r="GL19" s="301">
        <v>329.76599999999996</v>
      </c>
      <c r="GM19" s="301">
        <v>309.03000000000003</v>
      </c>
      <c r="GN19" s="301">
        <v>339.69</v>
      </c>
      <c r="GO19" s="301">
        <v>317.61599999999999</v>
      </c>
      <c r="GP19" s="301">
        <v>354.10200000000003</v>
      </c>
      <c r="GQ19" s="301">
        <v>324.702</v>
      </c>
      <c r="GR19" s="301">
        <v>337.06799999999998</v>
      </c>
      <c r="GS19" s="301">
        <v>351.04199999999997</v>
      </c>
      <c r="GT19" s="301">
        <v>321.59399999999999</v>
      </c>
      <c r="GU19" s="301">
        <v>355.24799999999999</v>
      </c>
      <c r="GV19" s="301">
        <v>344.358</v>
      </c>
      <c r="GW19" s="301">
        <v>301.87800000000004</v>
      </c>
      <c r="GX19" s="301">
        <v>329.62199999999996</v>
      </c>
      <c r="GY19" s="301">
        <v>318.42599999999999</v>
      </c>
      <c r="GZ19" s="301">
        <v>351.16800000000001</v>
      </c>
      <c r="HA19" s="301">
        <v>324.50400000000002</v>
      </c>
      <c r="HB19" s="301">
        <v>349.55399999999997</v>
      </c>
      <c r="HC19" s="301">
        <v>348.92400000000004</v>
      </c>
      <c r="HD19" s="301">
        <v>402.59400000000005</v>
      </c>
      <c r="HE19" s="301">
        <v>394.26599999999996</v>
      </c>
      <c r="HF19" s="301">
        <v>341.90999999999997</v>
      </c>
      <c r="HG19" s="301">
        <v>413.77200000000005</v>
      </c>
      <c r="HH19" s="301">
        <v>397.21800000000002</v>
      </c>
      <c r="HI19" s="301">
        <v>383.49</v>
      </c>
      <c r="HJ19" s="301">
        <v>381.49799999999999</v>
      </c>
      <c r="HK19" s="301">
        <v>331.48199999999997</v>
      </c>
      <c r="HL19" s="301">
        <v>385.33199999999999</v>
      </c>
      <c r="HM19" s="301">
        <v>363.012</v>
      </c>
      <c r="HN19" s="301">
        <v>446.33399999999995</v>
      </c>
      <c r="HO19" s="301">
        <v>426.798</v>
      </c>
      <c r="HP19" s="333">
        <v>410.42399999999998</v>
      </c>
      <c r="HQ19" s="333">
        <v>390.97200000000004</v>
      </c>
      <c r="HR19" s="333">
        <v>453.16200000000003</v>
      </c>
      <c r="HS19" s="333">
        <v>442.92599999999999</v>
      </c>
      <c r="HT19" s="333">
        <v>429.61799999999994</v>
      </c>
      <c r="HU19" s="333">
        <v>396.39600000000002</v>
      </c>
      <c r="HV19" s="301">
        <v>418.32600000000002</v>
      </c>
      <c r="HW19" s="301">
        <v>413.14800000000002</v>
      </c>
      <c r="HX19" s="301">
        <v>441.99599999999998</v>
      </c>
      <c r="HY19" s="301">
        <v>410.60399999999998</v>
      </c>
      <c r="HZ19" s="301">
        <v>422.76</v>
      </c>
      <c r="IA19" s="301">
        <v>428.19600000000003</v>
      </c>
      <c r="IB19" s="301">
        <v>398.928</v>
      </c>
      <c r="IC19" s="301">
        <v>413.52</v>
      </c>
      <c r="ID19" s="301">
        <v>408.59400000000005</v>
      </c>
      <c r="IE19" s="301">
        <v>459.81000000000006</v>
      </c>
      <c r="IF19" s="301">
        <v>417.51</v>
      </c>
      <c r="IG19" s="301">
        <v>379.74</v>
      </c>
      <c r="IH19" s="301">
        <v>357.57599999999996</v>
      </c>
      <c r="II19" s="301">
        <v>437.04599999999994</v>
      </c>
      <c r="IJ19" s="301">
        <v>412.38599999999997</v>
      </c>
      <c r="IK19" s="301">
        <v>406.29599999999994</v>
      </c>
      <c r="IL19" s="301">
        <v>468.39600000000002</v>
      </c>
      <c r="IM19" s="301">
        <v>412.37400000000002</v>
      </c>
      <c r="IN19" s="333">
        <v>436.08000000000004</v>
      </c>
      <c r="IO19" s="333">
        <v>436.68</v>
      </c>
      <c r="IP19" s="333">
        <v>432.68999999999994</v>
      </c>
      <c r="IQ19" s="333">
        <v>448.55399999999997</v>
      </c>
      <c r="IR19" s="333">
        <v>486.22200000000004</v>
      </c>
      <c r="IS19" s="333">
        <v>418.93799999999999</v>
      </c>
      <c r="IT19" s="333">
        <v>434.01</v>
      </c>
      <c r="IU19" s="333">
        <v>449.45400000000006</v>
      </c>
      <c r="IV19" s="333">
        <v>543.41999999999996</v>
      </c>
      <c r="IW19" s="334">
        <v>504.16399999999999</v>
      </c>
      <c r="IX19" s="334">
        <v>440.88799999999998</v>
      </c>
      <c r="IY19" s="334">
        <v>437.298</v>
      </c>
      <c r="IZ19" s="334">
        <v>434.13</v>
      </c>
      <c r="JA19" s="334">
        <v>421.00200000000001</v>
      </c>
      <c r="JB19" s="334">
        <v>440.59199999999998</v>
      </c>
      <c r="JC19" s="334">
        <v>453.06200000000001</v>
      </c>
      <c r="JD19" s="334">
        <v>450.86799999999999</v>
      </c>
      <c r="JE19" s="334">
        <v>445.17599999999999</v>
      </c>
      <c r="JF19" s="334">
        <v>472.93200000000002</v>
      </c>
      <c r="JG19" s="334">
        <v>402.916</v>
      </c>
      <c r="JH19" s="334">
        <v>416.34399999999999</v>
      </c>
      <c r="JI19" s="334">
        <v>429.46</v>
      </c>
      <c r="JJ19" s="334">
        <v>454.48599999999999</v>
      </c>
      <c r="JK19" s="335">
        <v>476.69799999999998</v>
      </c>
    </row>
    <row r="20" spans="1:271" x14ac:dyDescent="0.25">
      <c r="A20" s="303" t="s">
        <v>74</v>
      </c>
      <c r="B20" s="304">
        <v>913.34999999999991</v>
      </c>
      <c r="C20" s="304">
        <v>932.40000000000009</v>
      </c>
      <c r="D20" s="304">
        <v>992.28</v>
      </c>
      <c r="E20" s="304">
        <v>938.05200000000013</v>
      </c>
      <c r="F20" s="304">
        <v>1006.7940000000001</v>
      </c>
      <c r="G20" s="304">
        <v>970.73399999999992</v>
      </c>
      <c r="H20" s="304">
        <v>1006.002</v>
      </c>
      <c r="I20" s="304">
        <v>1041.8820000000001</v>
      </c>
      <c r="J20" s="304">
        <v>1004.202</v>
      </c>
      <c r="K20" s="304">
        <v>1036.6500000000001</v>
      </c>
      <c r="L20" s="304">
        <v>995.50800000000004</v>
      </c>
      <c r="M20" s="304">
        <v>880.26</v>
      </c>
      <c r="N20" s="304">
        <v>900.30599999999993</v>
      </c>
      <c r="O20" s="304">
        <v>861.69</v>
      </c>
      <c r="P20" s="304">
        <v>955.99199999999996</v>
      </c>
      <c r="Q20" s="304">
        <v>946.05599999999993</v>
      </c>
      <c r="R20" s="304">
        <v>881.30399999999986</v>
      </c>
      <c r="S20" s="304">
        <v>919.32600000000002</v>
      </c>
      <c r="T20" s="304">
        <v>1072.3920000000001</v>
      </c>
      <c r="U20" s="304">
        <v>1018.6319999999999</v>
      </c>
      <c r="V20" s="304">
        <v>984.94200000000001</v>
      </c>
      <c r="W20" s="304">
        <v>1051.578</v>
      </c>
      <c r="X20" s="304">
        <v>1066.296</v>
      </c>
      <c r="Y20" s="304">
        <v>898.8119999999999</v>
      </c>
      <c r="Z20" s="304">
        <v>845.7059999999999</v>
      </c>
      <c r="AA20" s="304">
        <v>870.90600000000006</v>
      </c>
      <c r="AB20" s="304">
        <v>981.91199999999992</v>
      </c>
      <c r="AC20" s="304">
        <v>925.65600000000006</v>
      </c>
      <c r="AD20" s="304">
        <v>912.71399999999994</v>
      </c>
      <c r="AE20" s="304">
        <v>911.11800000000005</v>
      </c>
      <c r="AF20" s="304">
        <v>1002.4499999999999</v>
      </c>
      <c r="AG20" s="304">
        <v>910.99800000000005</v>
      </c>
      <c r="AH20" s="304">
        <v>925.31999999999994</v>
      </c>
      <c r="AI20" s="304">
        <v>993.86400000000003</v>
      </c>
      <c r="AJ20" s="304">
        <v>937.66799999999989</v>
      </c>
      <c r="AK20" s="304">
        <v>934.58999999999992</v>
      </c>
      <c r="AL20" s="304">
        <v>842.91000000000008</v>
      </c>
      <c r="AM20" s="304">
        <v>940.55399999999986</v>
      </c>
      <c r="AN20" s="304">
        <v>1018.3439999999999</v>
      </c>
      <c r="AO20" s="304">
        <v>950.50199999999995</v>
      </c>
      <c r="AP20" s="304">
        <v>987.33600000000001</v>
      </c>
      <c r="AQ20" s="304">
        <v>1077.1500000000001</v>
      </c>
      <c r="AR20" s="304">
        <v>1002.894</v>
      </c>
      <c r="AS20" s="304">
        <v>1033.7280000000001</v>
      </c>
      <c r="AT20" s="304">
        <v>1039.4879999999998</v>
      </c>
      <c r="AU20" s="304">
        <v>1064.31</v>
      </c>
      <c r="AV20" s="304">
        <v>1059.7739999999999</v>
      </c>
      <c r="AW20" s="304">
        <v>1015.758</v>
      </c>
      <c r="AX20" s="304">
        <v>949.62599999999998</v>
      </c>
      <c r="AY20" s="304">
        <v>1011.942</v>
      </c>
      <c r="AZ20" s="304">
        <v>1060.704</v>
      </c>
      <c r="BA20" s="304">
        <v>1051.7759999999998</v>
      </c>
      <c r="BB20" s="304">
        <v>1081.704</v>
      </c>
      <c r="BC20" s="304">
        <v>1049.9939999999999</v>
      </c>
      <c r="BD20" s="304">
        <v>1063.44</v>
      </c>
      <c r="BE20" s="304">
        <v>1157.364</v>
      </c>
      <c r="BF20" s="304">
        <v>1153.134</v>
      </c>
      <c r="BG20" s="304">
        <v>1333.902</v>
      </c>
      <c r="BH20" s="304">
        <v>1226.442</v>
      </c>
      <c r="BI20" s="304">
        <v>1117.47</v>
      </c>
      <c r="BJ20" s="304">
        <v>1088.1120000000001</v>
      </c>
      <c r="BK20" s="304">
        <v>1044.6480000000001</v>
      </c>
      <c r="BL20" s="304">
        <v>1166.556</v>
      </c>
      <c r="BM20" s="304">
        <v>1184.808</v>
      </c>
      <c r="BN20" s="304">
        <v>1174.104</v>
      </c>
      <c r="BO20" s="304">
        <v>1179.0899999999999</v>
      </c>
      <c r="BP20" s="304">
        <v>1118.8799999999999</v>
      </c>
      <c r="BQ20" s="304">
        <v>1230.174</v>
      </c>
      <c r="BR20" s="304">
        <v>1108.806</v>
      </c>
      <c r="BS20" s="304">
        <v>1145.328</v>
      </c>
      <c r="BT20" s="304">
        <v>1124.0639999999999</v>
      </c>
      <c r="BU20" s="304">
        <v>1069.7460000000001</v>
      </c>
      <c r="BV20" s="304">
        <v>1121.808</v>
      </c>
      <c r="BW20" s="304">
        <v>1107.7439999999999</v>
      </c>
      <c r="BX20" s="304">
        <v>1141.296</v>
      </c>
      <c r="BY20" s="304">
        <v>1137.306</v>
      </c>
      <c r="BZ20" s="304">
        <v>1197.3419999999999</v>
      </c>
      <c r="CA20" s="304">
        <v>1106.598</v>
      </c>
      <c r="CB20" s="304">
        <v>1168.5360000000001</v>
      </c>
      <c r="CC20" s="304">
        <v>1279.6079999999999</v>
      </c>
      <c r="CD20" s="304">
        <v>1119.5999999999999</v>
      </c>
      <c r="CE20" s="304">
        <v>1204.1100000000001</v>
      </c>
      <c r="CF20" s="304">
        <v>1168.4279999999999</v>
      </c>
      <c r="CG20" s="304">
        <v>1143.3119999999999</v>
      </c>
      <c r="CH20" s="304">
        <v>1194.846</v>
      </c>
      <c r="CI20" s="304">
        <v>1185.3779999999999</v>
      </c>
      <c r="CJ20" s="304">
        <v>1182.6120000000001</v>
      </c>
      <c r="CK20" s="304">
        <v>1281.1619999999998</v>
      </c>
      <c r="CL20" s="304">
        <v>1309.626</v>
      </c>
      <c r="CM20" s="304">
        <v>1246.3620000000001</v>
      </c>
      <c r="CN20" s="304">
        <v>1461.0539999999999</v>
      </c>
      <c r="CO20" s="304">
        <v>1498.2059999999999</v>
      </c>
      <c r="CP20" s="304">
        <v>1373.34</v>
      </c>
      <c r="CQ20" s="304">
        <v>1384.6979999999999</v>
      </c>
      <c r="CR20" s="304">
        <v>1332.6420000000001</v>
      </c>
      <c r="CS20" s="304">
        <v>1270.1279999999999</v>
      </c>
      <c r="CT20" s="304">
        <v>1063.9080000000001</v>
      </c>
      <c r="CU20" s="304">
        <v>1137.066</v>
      </c>
      <c r="CV20" s="304">
        <v>1288.722</v>
      </c>
      <c r="CW20" s="304">
        <v>1198.482</v>
      </c>
      <c r="CX20" s="304">
        <v>1232.4839999999999</v>
      </c>
      <c r="CY20" s="304">
        <v>1243.944</v>
      </c>
      <c r="CZ20" s="304">
        <v>1352.3879999999999</v>
      </c>
      <c r="DA20" s="304">
        <v>1322.5319999999999</v>
      </c>
      <c r="DB20" s="304">
        <v>1259.6100000000001</v>
      </c>
      <c r="DC20" s="304">
        <v>1303.0740000000001</v>
      </c>
      <c r="DD20" s="304">
        <v>1274.9279999999999</v>
      </c>
      <c r="DE20" s="304">
        <v>1323.8579999999999</v>
      </c>
      <c r="DF20" s="304">
        <v>1222.164</v>
      </c>
      <c r="DG20" s="304">
        <v>1212.6420000000001</v>
      </c>
      <c r="DH20" s="304">
        <v>1316.76</v>
      </c>
      <c r="DI20" s="304">
        <v>1244.52</v>
      </c>
      <c r="DJ20" s="304">
        <v>1311.0239999999999</v>
      </c>
      <c r="DK20" s="304">
        <v>1346.2260000000001</v>
      </c>
      <c r="DL20" s="304">
        <v>1301.4360000000001</v>
      </c>
      <c r="DM20" s="304">
        <v>1479.66</v>
      </c>
      <c r="DN20" s="304">
        <v>1366.3139999999999</v>
      </c>
      <c r="DO20" s="304">
        <v>1397.3340000000001</v>
      </c>
      <c r="DP20" s="304">
        <v>1389.306</v>
      </c>
      <c r="DQ20" s="304">
        <v>1442.076</v>
      </c>
      <c r="DR20" s="304">
        <v>1392.498</v>
      </c>
      <c r="DS20" s="304">
        <v>1355.0039999999999</v>
      </c>
      <c r="DT20" s="304">
        <v>1538.712</v>
      </c>
      <c r="DU20" s="304">
        <v>1398.432</v>
      </c>
      <c r="DV20" s="304">
        <v>1505.712</v>
      </c>
      <c r="DW20" s="304">
        <v>1573.008</v>
      </c>
      <c r="DX20" s="304">
        <v>1590.81</v>
      </c>
      <c r="DY20" s="304">
        <v>1725.846</v>
      </c>
      <c r="DZ20" s="304">
        <v>1627.92</v>
      </c>
      <c r="EA20" s="304">
        <v>1670.7719999999999</v>
      </c>
      <c r="EB20" s="304">
        <v>1672.356</v>
      </c>
      <c r="EC20" s="304">
        <v>1622.9580000000001</v>
      </c>
      <c r="ED20" s="304">
        <v>1644.462</v>
      </c>
      <c r="EE20" s="304">
        <v>1672.3739999999998</v>
      </c>
      <c r="EF20" s="304">
        <v>1859.6040000000003</v>
      </c>
      <c r="EG20" s="304">
        <v>1714.0739999999998</v>
      </c>
      <c r="EH20" s="304">
        <v>1907.7599999999998</v>
      </c>
      <c r="EI20" s="304">
        <v>1764.258</v>
      </c>
      <c r="EJ20" s="304">
        <v>1830.54</v>
      </c>
      <c r="EK20" s="304">
        <v>1861.5419999999999</v>
      </c>
      <c r="EL20" s="304">
        <v>1810.7339999999999</v>
      </c>
      <c r="EM20" s="304">
        <v>1922.7539999999999</v>
      </c>
      <c r="EN20" s="304">
        <v>1696.0259999999998</v>
      </c>
      <c r="EO20" s="304">
        <v>1566.498</v>
      </c>
      <c r="EP20" s="304">
        <v>1657.068</v>
      </c>
      <c r="EQ20" s="304">
        <v>1559.2559999999999</v>
      </c>
      <c r="ER20" s="304">
        <v>1690.9860000000001</v>
      </c>
      <c r="ES20" s="304">
        <v>1659.498</v>
      </c>
      <c r="ET20" s="304">
        <v>1857.03</v>
      </c>
      <c r="EU20" s="304">
        <v>1689.5819999999999</v>
      </c>
      <c r="EV20" s="304">
        <v>1758.7259999999999</v>
      </c>
      <c r="EW20" s="304">
        <v>1753.6260000000002</v>
      </c>
      <c r="EX20" s="304">
        <v>1701.1260000000002</v>
      </c>
      <c r="EY20" s="304">
        <v>1841.3999999999999</v>
      </c>
      <c r="EZ20" s="304">
        <v>1724.88</v>
      </c>
      <c r="FA20" s="304">
        <v>1650.2460000000001</v>
      </c>
      <c r="FB20" s="304">
        <v>1658.742</v>
      </c>
      <c r="FC20" s="304">
        <v>1574.58</v>
      </c>
      <c r="FD20" s="304">
        <v>1534.77</v>
      </c>
      <c r="FE20" s="304">
        <v>1520.0880000000002</v>
      </c>
      <c r="FF20" s="304">
        <v>1534.902</v>
      </c>
      <c r="FG20" s="304">
        <v>1591.4279999999999</v>
      </c>
      <c r="FH20" s="304">
        <v>1602.48</v>
      </c>
      <c r="FI20" s="304">
        <v>1511.442</v>
      </c>
      <c r="FJ20" s="304">
        <v>1584.1680000000001</v>
      </c>
      <c r="FK20" s="304">
        <v>1584.3000000000002</v>
      </c>
      <c r="FL20" s="304">
        <v>1561.9140000000002</v>
      </c>
      <c r="FM20" s="304">
        <v>1413.7739999999999</v>
      </c>
      <c r="FN20" s="304">
        <v>1310.6100000000001</v>
      </c>
      <c r="FO20" s="304">
        <v>1393.83</v>
      </c>
      <c r="FP20" s="304">
        <v>1482</v>
      </c>
      <c r="FQ20" s="304">
        <v>1391.6880000000001</v>
      </c>
      <c r="FR20" s="304">
        <v>1431.816</v>
      </c>
      <c r="FS20" s="304">
        <v>1529.73</v>
      </c>
      <c r="FT20" s="304">
        <v>1394.712</v>
      </c>
      <c r="FU20" s="304">
        <v>1422.7080000000001</v>
      </c>
      <c r="FV20" s="304">
        <v>1398.2819999999999</v>
      </c>
      <c r="FW20" s="304">
        <v>1368.5039999999999</v>
      </c>
      <c r="FX20" s="304">
        <v>1519.374</v>
      </c>
      <c r="FY20" s="304">
        <v>1347.72</v>
      </c>
      <c r="FZ20" s="304">
        <v>1270.752</v>
      </c>
      <c r="GA20" s="304">
        <v>1185.03</v>
      </c>
      <c r="GB20" s="304">
        <v>1139.4839999999999</v>
      </c>
      <c r="GC20" s="304">
        <v>1024.518</v>
      </c>
      <c r="GD20" s="304">
        <v>1150.182</v>
      </c>
      <c r="GE20" s="304">
        <v>1130.2739999999999</v>
      </c>
      <c r="GF20" s="304">
        <v>1055.6279999999999</v>
      </c>
      <c r="GG20" s="304">
        <v>1184.0520000000001</v>
      </c>
      <c r="GH20" s="304">
        <v>1031.454</v>
      </c>
      <c r="GI20" s="304">
        <v>1092.828</v>
      </c>
      <c r="GJ20" s="304">
        <v>1080.21</v>
      </c>
      <c r="GK20" s="304">
        <v>997.96199999999999</v>
      </c>
      <c r="GL20" s="304">
        <v>1013.316</v>
      </c>
      <c r="GM20" s="304">
        <v>1062.9780000000001</v>
      </c>
      <c r="GN20" s="304">
        <v>1208.9100000000001</v>
      </c>
      <c r="GO20" s="304">
        <v>1136.376</v>
      </c>
      <c r="GP20" s="304">
        <v>1198.8119999999999</v>
      </c>
      <c r="GQ20" s="304">
        <v>1152.954</v>
      </c>
      <c r="GR20" s="304">
        <v>1173.288</v>
      </c>
      <c r="GS20" s="304">
        <v>1292.646</v>
      </c>
      <c r="GT20" s="304">
        <v>1232.8380000000002</v>
      </c>
      <c r="GU20" s="304">
        <v>1327.5840000000001</v>
      </c>
      <c r="GV20" s="304">
        <v>1341.7379999999998</v>
      </c>
      <c r="GW20" s="304">
        <v>1228.308</v>
      </c>
      <c r="GX20" s="304">
        <v>1264.356</v>
      </c>
      <c r="GY20" s="304">
        <v>1263.6299999999999</v>
      </c>
      <c r="GZ20" s="304">
        <v>1353.0419999999999</v>
      </c>
      <c r="HA20" s="304">
        <v>1367.9460000000001</v>
      </c>
      <c r="HB20" s="304">
        <v>1402.29</v>
      </c>
      <c r="HC20" s="304">
        <v>1330.8000000000002</v>
      </c>
      <c r="HD20" s="304">
        <v>1418.934</v>
      </c>
      <c r="HE20" s="304">
        <v>1482.6659999999999</v>
      </c>
      <c r="HF20" s="304">
        <v>1442.49</v>
      </c>
      <c r="HG20" s="304">
        <v>1467.492</v>
      </c>
      <c r="HH20" s="304">
        <v>1428.144</v>
      </c>
      <c r="HI20" s="304">
        <v>1364.46</v>
      </c>
      <c r="HJ20" s="304">
        <v>1367.4179999999999</v>
      </c>
      <c r="HK20" s="304">
        <v>1356.27</v>
      </c>
      <c r="HL20" s="304">
        <v>1516.1880000000001</v>
      </c>
      <c r="HM20" s="304">
        <v>1360.0500000000002</v>
      </c>
      <c r="HN20" s="304">
        <v>1486.53</v>
      </c>
      <c r="HO20" s="304">
        <v>1368.8039999999999</v>
      </c>
      <c r="HP20" s="304">
        <v>1560.54</v>
      </c>
      <c r="HQ20" s="304">
        <v>1405.626</v>
      </c>
      <c r="HR20" s="304">
        <v>1419.5940000000001</v>
      </c>
      <c r="HS20" s="304">
        <v>1466.742</v>
      </c>
      <c r="HT20" s="304">
        <v>1446.81</v>
      </c>
      <c r="HU20" s="304">
        <v>1362.048</v>
      </c>
      <c r="HV20" s="304">
        <v>1385.22</v>
      </c>
      <c r="HW20" s="304">
        <v>1387.548</v>
      </c>
      <c r="HX20" s="304">
        <v>1526.328</v>
      </c>
      <c r="HY20" s="304">
        <v>1417.116</v>
      </c>
      <c r="HZ20" s="304">
        <v>1475.4179999999999</v>
      </c>
      <c r="IA20" s="304">
        <v>1488.3779999999999</v>
      </c>
      <c r="IB20" s="304">
        <v>1530.192</v>
      </c>
      <c r="IC20" s="304">
        <v>1532.4119999999998</v>
      </c>
      <c r="ID20" s="304">
        <v>1489.6200000000001</v>
      </c>
      <c r="IE20" s="304">
        <v>1459.5120000000002</v>
      </c>
      <c r="IF20" s="304">
        <v>1413.99</v>
      </c>
      <c r="IG20" s="304">
        <v>1461.2759999999998</v>
      </c>
      <c r="IH20" s="304">
        <v>1416.894</v>
      </c>
      <c r="II20" s="304">
        <v>1384.35</v>
      </c>
      <c r="IJ20" s="304">
        <v>1569.8220000000001</v>
      </c>
      <c r="IK20" s="304">
        <v>1460.79</v>
      </c>
      <c r="IL20" s="304">
        <v>1578.894</v>
      </c>
      <c r="IM20" s="304">
        <v>1597.7639999999999</v>
      </c>
      <c r="IN20" s="12">
        <v>1654.0920000000001</v>
      </c>
      <c r="IO20" s="12">
        <v>1707.3779999999999</v>
      </c>
      <c r="IP20" s="12">
        <v>1615.08</v>
      </c>
      <c r="IQ20" s="12">
        <v>1632.5940000000001</v>
      </c>
      <c r="IR20" s="12">
        <v>1611.5940000000001</v>
      </c>
      <c r="IS20" s="12">
        <v>1581.7140000000002</v>
      </c>
      <c r="IT20" s="12">
        <v>1555.692</v>
      </c>
      <c r="IU20" s="12">
        <v>1601.424</v>
      </c>
      <c r="IV20" s="12">
        <v>1789.4520000000002</v>
      </c>
      <c r="IW20" s="12">
        <v>1363.1420000000001</v>
      </c>
      <c r="IX20" s="12">
        <v>1360.134</v>
      </c>
      <c r="IY20" s="12">
        <v>1447.54</v>
      </c>
      <c r="IZ20" s="12">
        <v>1428.3420000000001</v>
      </c>
      <c r="JA20" s="12">
        <v>1543.904</v>
      </c>
      <c r="JB20" s="12">
        <v>1705.2639999999999</v>
      </c>
      <c r="JC20" s="12">
        <v>1749.982</v>
      </c>
      <c r="JD20" s="12">
        <v>1808.8779999999999</v>
      </c>
      <c r="JE20" s="12">
        <v>1935.578</v>
      </c>
      <c r="JF20" s="12">
        <v>2151.1880000000001</v>
      </c>
      <c r="JG20" s="12">
        <v>2193.558</v>
      </c>
      <c r="JH20" s="12">
        <v>2642.3139999999999</v>
      </c>
      <c r="JI20" s="12">
        <v>2819.74</v>
      </c>
      <c r="JJ20" s="12">
        <v>2917.2280000000001</v>
      </c>
      <c r="JK20" s="336">
        <v>3413.2860000000001</v>
      </c>
    </row>
    <row r="21" spans="1:271" ht="15.75" thickBot="1" x14ac:dyDescent="0.3">
      <c r="A21" s="337" t="s">
        <v>163</v>
      </c>
      <c r="B21" s="338">
        <v>22704.714</v>
      </c>
      <c r="C21" s="338">
        <v>22215.27</v>
      </c>
      <c r="D21" s="338">
        <v>24763.739999999998</v>
      </c>
      <c r="E21" s="338">
        <v>22552.841999999997</v>
      </c>
      <c r="F21" s="338">
        <v>24417.042000000001</v>
      </c>
      <c r="G21" s="338">
        <v>23466.317999999999</v>
      </c>
      <c r="H21" s="338">
        <v>24189.018</v>
      </c>
      <c r="I21" s="338">
        <v>24331.493999999999</v>
      </c>
      <c r="J21" s="338">
        <v>22538.658000000003</v>
      </c>
      <c r="K21" s="338">
        <v>23261.207999999999</v>
      </c>
      <c r="L21" s="338">
        <v>23079.18</v>
      </c>
      <c r="M21" s="338">
        <v>22652.171999999999</v>
      </c>
      <c r="N21" s="338">
        <v>22514.97</v>
      </c>
      <c r="O21" s="338">
        <v>20707.038</v>
      </c>
      <c r="P21" s="338">
        <v>22668.563999999998</v>
      </c>
      <c r="Q21" s="338">
        <v>22117.362000000001</v>
      </c>
      <c r="R21" s="338">
        <v>22406.778000000002</v>
      </c>
      <c r="S21" s="338">
        <v>22335.858</v>
      </c>
      <c r="T21" s="338">
        <v>23294.436000000002</v>
      </c>
      <c r="U21" s="338">
        <v>21935.286</v>
      </c>
      <c r="V21" s="338">
        <v>22335.078000000001</v>
      </c>
      <c r="W21" s="338">
        <v>22653.221999999998</v>
      </c>
      <c r="X21" s="338">
        <v>22019.412</v>
      </c>
      <c r="Y21" s="338">
        <v>22324.493999999999</v>
      </c>
      <c r="Z21" s="338">
        <v>21938.442000000003</v>
      </c>
      <c r="AA21" s="338">
        <v>21697.284</v>
      </c>
      <c r="AB21" s="338">
        <v>23081.423999999999</v>
      </c>
      <c r="AC21" s="338">
        <v>22428.144</v>
      </c>
      <c r="AD21" s="338">
        <v>23072.892</v>
      </c>
      <c r="AE21" s="338">
        <v>22950.786</v>
      </c>
      <c r="AF21" s="338">
        <v>24415.584000000003</v>
      </c>
      <c r="AG21" s="338">
        <v>23184.989999999998</v>
      </c>
      <c r="AH21" s="338">
        <v>23046.75</v>
      </c>
      <c r="AI21" s="338">
        <v>23523.360000000001</v>
      </c>
      <c r="AJ21" s="338">
        <v>22571.196</v>
      </c>
      <c r="AK21" s="338">
        <v>23288.838</v>
      </c>
      <c r="AL21" s="338">
        <v>22429.584000000003</v>
      </c>
      <c r="AM21" s="338">
        <v>22607.687999999998</v>
      </c>
      <c r="AN21" s="338">
        <v>23973.732</v>
      </c>
      <c r="AO21" s="338">
        <v>22606.295999999998</v>
      </c>
      <c r="AP21" s="338">
        <v>23571.462</v>
      </c>
      <c r="AQ21" s="338">
        <v>25137.845999999998</v>
      </c>
      <c r="AR21" s="338">
        <v>24079.008000000002</v>
      </c>
      <c r="AS21" s="338">
        <v>24483.923999999999</v>
      </c>
      <c r="AT21" s="338">
        <v>24160.152000000002</v>
      </c>
      <c r="AU21" s="338">
        <v>23973.366000000002</v>
      </c>
      <c r="AV21" s="338">
        <v>24589.686000000002</v>
      </c>
      <c r="AW21" s="338">
        <v>23979.263999999999</v>
      </c>
      <c r="AX21" s="338">
        <v>23088.300000000003</v>
      </c>
      <c r="AY21" s="338">
        <v>23190.54</v>
      </c>
      <c r="AZ21" s="338">
        <v>24252.444</v>
      </c>
      <c r="BA21" s="338">
        <v>23450.243999999999</v>
      </c>
      <c r="BB21" s="338">
        <v>24823.47</v>
      </c>
      <c r="BC21" s="338">
        <v>25406.387999999999</v>
      </c>
      <c r="BD21" s="338">
        <v>25482.516000000003</v>
      </c>
      <c r="BE21" s="338">
        <v>25199.375999999997</v>
      </c>
      <c r="BF21" s="338">
        <v>25407.347999999998</v>
      </c>
      <c r="BG21" s="338">
        <v>25980.36</v>
      </c>
      <c r="BH21" s="338">
        <v>26156.472000000002</v>
      </c>
      <c r="BI21" s="338">
        <v>25686.473999999998</v>
      </c>
      <c r="BJ21" s="338">
        <v>25560.294000000002</v>
      </c>
      <c r="BK21" s="338">
        <v>25524.42</v>
      </c>
      <c r="BL21" s="338">
        <v>27414.575999999997</v>
      </c>
      <c r="BM21" s="338">
        <v>25913.796000000002</v>
      </c>
      <c r="BN21" s="338">
        <v>28274.316000000003</v>
      </c>
      <c r="BO21" s="338">
        <v>28237.5</v>
      </c>
      <c r="BP21" s="338">
        <v>27888.977999999996</v>
      </c>
      <c r="BQ21" s="338">
        <v>28885.86</v>
      </c>
      <c r="BR21" s="338">
        <v>27412.452000000001</v>
      </c>
      <c r="BS21" s="338">
        <v>27660</v>
      </c>
      <c r="BT21" s="338">
        <v>27954.881999999998</v>
      </c>
      <c r="BU21" s="338">
        <v>27263.154000000002</v>
      </c>
      <c r="BV21" s="338">
        <v>27343.074000000001</v>
      </c>
      <c r="BW21" s="338">
        <v>27719.075999999997</v>
      </c>
      <c r="BX21" s="338">
        <v>28875.131999999998</v>
      </c>
      <c r="BY21" s="338">
        <v>28214.25</v>
      </c>
      <c r="BZ21" s="338">
        <v>30381.924000000003</v>
      </c>
      <c r="CA21" s="338">
        <v>30233.051999999996</v>
      </c>
      <c r="CB21" s="338">
        <v>30615.624000000003</v>
      </c>
      <c r="CC21" s="338">
        <v>31177.446</v>
      </c>
      <c r="CD21" s="338">
        <v>29917.121999999999</v>
      </c>
      <c r="CE21" s="338">
        <v>30866.124000000003</v>
      </c>
      <c r="CF21" s="338">
        <v>31929.006000000001</v>
      </c>
      <c r="CG21" s="338">
        <v>30722.159999999996</v>
      </c>
      <c r="CH21" s="338">
        <v>31889.777999999998</v>
      </c>
      <c r="CI21" s="338">
        <v>31659.384000000002</v>
      </c>
      <c r="CJ21" s="338">
        <v>32188.733999999997</v>
      </c>
      <c r="CK21" s="338">
        <v>32612.394</v>
      </c>
      <c r="CL21" s="338">
        <v>33838.091999999997</v>
      </c>
      <c r="CM21" s="338">
        <v>33329.904000000002</v>
      </c>
      <c r="CN21" s="338">
        <v>34360.716</v>
      </c>
      <c r="CO21" s="338">
        <v>34469.724000000002</v>
      </c>
      <c r="CP21" s="338">
        <v>33823.698000000004</v>
      </c>
      <c r="CQ21" s="338">
        <v>35131.554000000004</v>
      </c>
      <c r="CR21" s="338">
        <v>34083.786</v>
      </c>
      <c r="CS21" s="338">
        <v>32503.02</v>
      </c>
      <c r="CT21" s="338">
        <v>33014.904000000002</v>
      </c>
      <c r="CU21" s="338">
        <v>32679.822</v>
      </c>
      <c r="CV21" s="338">
        <v>34452.203999999998</v>
      </c>
      <c r="CW21" s="338">
        <v>33454.908000000003</v>
      </c>
      <c r="CX21" s="338">
        <v>34280.364000000001</v>
      </c>
      <c r="CY21" s="338">
        <v>34251.306000000004</v>
      </c>
      <c r="CZ21" s="338">
        <v>35331.78</v>
      </c>
      <c r="DA21" s="338">
        <v>34658.525999999998</v>
      </c>
      <c r="DB21" s="338">
        <v>34731.546000000002</v>
      </c>
      <c r="DC21" s="338">
        <v>35257.379999999997</v>
      </c>
      <c r="DD21" s="338">
        <v>34635.858</v>
      </c>
      <c r="DE21" s="338">
        <v>34648.044000000002</v>
      </c>
      <c r="DF21" s="338">
        <v>33685.476000000002</v>
      </c>
      <c r="DG21" s="338">
        <v>33770.928</v>
      </c>
      <c r="DH21" s="338">
        <v>36227.831999999995</v>
      </c>
      <c r="DI21" s="338">
        <v>35214.936000000002</v>
      </c>
      <c r="DJ21" s="338">
        <v>35344.175999999999</v>
      </c>
      <c r="DK21" s="338">
        <v>36612.066000000006</v>
      </c>
      <c r="DL21" s="338">
        <v>37390.991999999998</v>
      </c>
      <c r="DM21" s="338">
        <v>38095.482000000004</v>
      </c>
      <c r="DN21" s="338">
        <v>36935.850000000006</v>
      </c>
      <c r="DO21" s="338">
        <v>37574.597999999998</v>
      </c>
      <c r="DP21" s="338">
        <v>38475.149999999994</v>
      </c>
      <c r="DQ21" s="338">
        <v>37113.870000000003</v>
      </c>
      <c r="DR21" s="338">
        <v>36785.381999999998</v>
      </c>
      <c r="DS21" s="338">
        <v>36242.453999999998</v>
      </c>
      <c r="DT21" s="338">
        <v>39406.464</v>
      </c>
      <c r="DU21" s="338">
        <v>37933.421999999999</v>
      </c>
      <c r="DV21" s="338">
        <v>40613.345999999998</v>
      </c>
      <c r="DW21" s="338">
        <v>39887.993999999999</v>
      </c>
      <c r="DX21" s="338">
        <v>40701.306000000004</v>
      </c>
      <c r="DY21" s="338">
        <v>43379.94</v>
      </c>
      <c r="DZ21" s="338">
        <v>41896.661999999997</v>
      </c>
      <c r="EA21" s="338">
        <v>42373.745999999999</v>
      </c>
      <c r="EB21" s="338">
        <v>43003.338000000003</v>
      </c>
      <c r="EC21" s="338">
        <v>42816.875999999997</v>
      </c>
      <c r="ED21" s="338">
        <v>38691.840000000004</v>
      </c>
      <c r="EE21" s="338">
        <v>39245.495999999999</v>
      </c>
      <c r="EF21" s="338">
        <v>40768.47</v>
      </c>
      <c r="EG21" s="338">
        <v>39808.955999999998</v>
      </c>
      <c r="EH21" s="338">
        <v>42896.898000000001</v>
      </c>
      <c r="EI21" s="338">
        <v>41536.398000000001</v>
      </c>
      <c r="EJ21" s="338">
        <v>42246.756000000001</v>
      </c>
      <c r="EK21" s="338">
        <v>43634.957999999999</v>
      </c>
      <c r="EL21" s="338">
        <v>42782.58</v>
      </c>
      <c r="EM21" s="338">
        <v>44485.83</v>
      </c>
      <c r="EN21" s="338">
        <v>43725.438000000002</v>
      </c>
      <c r="EO21" s="338">
        <v>41627.154000000002</v>
      </c>
      <c r="EP21" s="338">
        <v>43387.998</v>
      </c>
      <c r="EQ21" s="338">
        <v>42188.207999999999</v>
      </c>
      <c r="ER21" s="338">
        <v>44737.091999999997</v>
      </c>
      <c r="ES21" s="338">
        <v>44497.374000000003</v>
      </c>
      <c r="ET21" s="338">
        <v>45814.212</v>
      </c>
      <c r="EU21" s="338">
        <v>44760.732000000004</v>
      </c>
      <c r="EV21" s="338">
        <v>46377.576000000001</v>
      </c>
      <c r="EW21" s="338">
        <v>46403.334000000003</v>
      </c>
      <c r="EX21" s="338">
        <v>44897.051999999996</v>
      </c>
      <c r="EY21" s="338">
        <v>47003.207999999999</v>
      </c>
      <c r="EZ21" s="338">
        <v>46498.8</v>
      </c>
      <c r="FA21" s="338">
        <v>43823.729999999996</v>
      </c>
      <c r="FB21" s="338">
        <v>44411.826000000001</v>
      </c>
      <c r="FC21" s="338">
        <v>42593.093999999997</v>
      </c>
      <c r="FD21" s="338">
        <v>44924.801999999996</v>
      </c>
      <c r="FE21" s="338">
        <v>42942.678</v>
      </c>
      <c r="FF21" s="338">
        <v>45076.884000000005</v>
      </c>
      <c r="FG21" s="338">
        <v>43956.995999999999</v>
      </c>
      <c r="FH21" s="338">
        <v>45779.328000000001</v>
      </c>
      <c r="FI21" s="338">
        <v>44614.296000000002</v>
      </c>
      <c r="FJ21" s="338">
        <v>44327.982000000004</v>
      </c>
      <c r="FK21" s="338">
        <v>45646.241999999998</v>
      </c>
      <c r="FL21" s="338">
        <v>44026.865999999995</v>
      </c>
      <c r="FM21" s="338">
        <v>43557.726000000002</v>
      </c>
      <c r="FN21" s="338">
        <v>42851.387999999999</v>
      </c>
      <c r="FO21" s="338">
        <v>41488.362000000001</v>
      </c>
      <c r="FP21" s="338">
        <v>44733.198000000004</v>
      </c>
      <c r="FQ21" s="338">
        <v>42077.777999999998</v>
      </c>
      <c r="FR21" s="338">
        <v>43289.561999999998</v>
      </c>
      <c r="FS21" s="338">
        <v>43251.353999999999</v>
      </c>
      <c r="FT21" s="338">
        <v>43362.81</v>
      </c>
      <c r="FU21" s="338">
        <v>42845.634000000005</v>
      </c>
      <c r="FV21" s="338">
        <v>41386.115999999995</v>
      </c>
      <c r="FW21" s="338">
        <v>41612.561999999998</v>
      </c>
      <c r="FX21" s="338">
        <v>41938.487999999998</v>
      </c>
      <c r="FY21" s="338">
        <v>41136.797999999995</v>
      </c>
      <c r="FZ21" s="338">
        <v>40486.074000000001</v>
      </c>
      <c r="GA21" s="338">
        <v>41068.284</v>
      </c>
      <c r="GB21" s="338">
        <v>42155.448000000004</v>
      </c>
      <c r="GC21" s="338">
        <v>40201.703999999998</v>
      </c>
      <c r="GD21" s="338">
        <v>42642.017999999996</v>
      </c>
      <c r="GE21" s="338">
        <v>41332.902000000002</v>
      </c>
      <c r="GF21" s="338">
        <v>40632.57</v>
      </c>
      <c r="GG21" s="338">
        <v>42154.974000000002</v>
      </c>
      <c r="GH21" s="338">
        <v>39799.824000000001</v>
      </c>
      <c r="GI21" s="338">
        <v>40518</v>
      </c>
      <c r="GJ21" s="338">
        <v>41136.654000000002</v>
      </c>
      <c r="GK21" s="338">
        <v>39187.542000000001</v>
      </c>
      <c r="GL21" s="338">
        <v>39637.115999999995</v>
      </c>
      <c r="GM21" s="338">
        <v>38989.620000000003</v>
      </c>
      <c r="GN21" s="338">
        <v>42390.090000000004</v>
      </c>
      <c r="GO21" s="338">
        <v>39112.085999999996</v>
      </c>
      <c r="GP21" s="338">
        <v>42802.248</v>
      </c>
      <c r="GQ21" s="338">
        <v>41060.736000000004</v>
      </c>
      <c r="GR21" s="338">
        <v>41789.232000000004</v>
      </c>
      <c r="GS21" s="338">
        <v>42960.851999999999</v>
      </c>
      <c r="GT21" s="338">
        <v>41001.474000000002</v>
      </c>
      <c r="GU21" s="338">
        <v>42036.21</v>
      </c>
      <c r="GV21" s="338">
        <v>42489.156000000003</v>
      </c>
      <c r="GW21" s="338">
        <v>40001.364000000001</v>
      </c>
      <c r="GX21" s="338">
        <v>42599.19</v>
      </c>
      <c r="GY21" s="338">
        <v>40524.683999999994</v>
      </c>
      <c r="GZ21" s="338">
        <v>43105.943999999996</v>
      </c>
      <c r="HA21" s="338">
        <v>41735.267999999996</v>
      </c>
      <c r="HB21" s="338">
        <v>44507.171999999999</v>
      </c>
      <c r="HC21" s="338">
        <v>43204.409999999996</v>
      </c>
      <c r="HD21" s="338">
        <v>44672.243999999999</v>
      </c>
      <c r="HE21" s="338">
        <v>44481.108</v>
      </c>
      <c r="HF21" s="338">
        <v>41987.448000000004</v>
      </c>
      <c r="HG21" s="338">
        <v>45224.142</v>
      </c>
      <c r="HH21" s="338">
        <v>45015.995999999999</v>
      </c>
      <c r="HI21" s="338">
        <v>43752.522000000004</v>
      </c>
      <c r="HJ21" s="338">
        <v>43917.75</v>
      </c>
      <c r="HK21" s="338">
        <v>42523.385999999999</v>
      </c>
      <c r="HL21" s="338">
        <v>45303.78</v>
      </c>
      <c r="HM21" s="338">
        <v>42958.385999999999</v>
      </c>
      <c r="HN21" s="338">
        <v>46939.158000000003</v>
      </c>
      <c r="HO21" s="338">
        <v>46038.06</v>
      </c>
      <c r="HP21" s="338">
        <v>47735.076000000001</v>
      </c>
      <c r="HQ21" s="338">
        <v>47198.915999999997</v>
      </c>
      <c r="HR21" s="338">
        <v>45710.993999999999</v>
      </c>
      <c r="HS21" s="338">
        <v>47288.07</v>
      </c>
      <c r="HT21" s="338">
        <v>45758.591999999997</v>
      </c>
      <c r="HU21" s="338">
        <v>45393.516000000003</v>
      </c>
      <c r="HV21" s="338">
        <v>45279.377999999997</v>
      </c>
      <c r="HW21" s="338">
        <v>45113.502</v>
      </c>
      <c r="HX21" s="338">
        <v>46528.248</v>
      </c>
      <c r="HY21" s="338">
        <v>44109.828000000001</v>
      </c>
      <c r="HZ21" s="338">
        <v>47238.036</v>
      </c>
      <c r="IA21" s="338">
        <v>47176.122000000003</v>
      </c>
      <c r="IB21" s="338">
        <v>48497.304000000004</v>
      </c>
      <c r="IC21" s="338">
        <v>48819.084000000003</v>
      </c>
      <c r="ID21" s="338">
        <v>47543.538</v>
      </c>
      <c r="IE21" s="338">
        <v>48316.152000000002</v>
      </c>
      <c r="IF21" s="338">
        <v>48680.634000000005</v>
      </c>
      <c r="IG21" s="338">
        <v>46831.229999999996</v>
      </c>
      <c r="IH21" s="338">
        <v>46558.14</v>
      </c>
      <c r="II21" s="338">
        <v>44300.627999999997</v>
      </c>
      <c r="IJ21" s="338">
        <v>51490.157999999996</v>
      </c>
      <c r="IK21" s="338">
        <v>46908.858</v>
      </c>
      <c r="IL21" s="338">
        <v>49727.117999999995</v>
      </c>
      <c r="IM21" s="338">
        <v>49495.824000000001</v>
      </c>
      <c r="IN21" s="339">
        <v>49490.957999999999</v>
      </c>
      <c r="IO21" s="339">
        <v>51139.122000000003</v>
      </c>
      <c r="IP21" s="339">
        <v>49483.697999999997</v>
      </c>
      <c r="IQ21" s="339">
        <v>51049.751999999993</v>
      </c>
      <c r="IR21" s="339">
        <v>50753.736000000004</v>
      </c>
      <c r="IS21" s="339">
        <v>48307.938000000002</v>
      </c>
      <c r="IT21" s="339">
        <v>47767.433999999994</v>
      </c>
      <c r="IU21" s="339">
        <v>47312.639999999999</v>
      </c>
      <c r="IV21" s="339">
        <v>49624.331999999995</v>
      </c>
      <c r="IW21" s="340">
        <v>49143.144</v>
      </c>
      <c r="IX21" s="340">
        <v>53609.052000000003</v>
      </c>
      <c r="IY21" s="340">
        <v>53868.508000000002</v>
      </c>
      <c r="IZ21" s="340">
        <v>54066.591999999997</v>
      </c>
      <c r="JA21" s="340">
        <v>56115.646000000001</v>
      </c>
      <c r="JB21" s="340">
        <v>57998.892</v>
      </c>
      <c r="JC21" s="340">
        <v>59124.887999999999</v>
      </c>
      <c r="JD21" s="340">
        <v>59947.92</v>
      </c>
      <c r="JE21" s="340">
        <v>61223.417999999998</v>
      </c>
      <c r="JF21" s="340">
        <v>61384.61</v>
      </c>
      <c r="JG21" s="340">
        <v>59104.506000000001</v>
      </c>
      <c r="JH21" s="340">
        <v>57846.62</v>
      </c>
      <c r="JI21" s="340">
        <v>59710.423999999999</v>
      </c>
      <c r="JJ21" s="340">
        <v>61224.32</v>
      </c>
      <c r="JK21" s="341">
        <v>60640.252</v>
      </c>
    </row>
    <row r="22" spans="1:271" x14ac:dyDescent="0.25">
      <c r="IA22" s="322"/>
      <c r="IB22" s="322"/>
      <c r="IC22" s="322"/>
      <c r="ID22" s="322"/>
      <c r="IE22" s="322"/>
      <c r="IF22" s="322"/>
      <c r="IG22" s="322"/>
      <c r="IH22" s="322"/>
      <c r="II22" s="322"/>
      <c r="IJ22" s="322"/>
      <c r="IK22" s="322"/>
      <c r="IL22" s="322"/>
      <c r="IM22" s="322"/>
      <c r="IN22" s="3"/>
    </row>
    <row r="23" spans="1:271" x14ac:dyDescent="0.25">
      <c r="IA23" s="322"/>
      <c r="IB23" s="322"/>
      <c r="IC23" s="322"/>
      <c r="ID23" s="322"/>
      <c r="IE23" s="322"/>
      <c r="IF23" s="322"/>
      <c r="IG23" s="322"/>
      <c r="IH23" s="322"/>
      <c r="II23" s="322"/>
      <c r="IJ23" s="322"/>
      <c r="IK23" s="322"/>
      <c r="IL23" s="322"/>
      <c r="IM23" s="322"/>
      <c r="IN23" s="3"/>
    </row>
    <row r="24" spans="1:271" ht="15.75" thickBot="1" x14ac:dyDescent="0.3">
      <c r="A24" s="4" t="s">
        <v>173</v>
      </c>
      <c r="IA24" s="322"/>
      <c r="IB24" s="322"/>
      <c r="IC24" s="322"/>
      <c r="ID24" s="322"/>
      <c r="IE24" s="322"/>
      <c r="IF24" s="322"/>
      <c r="IG24" s="322"/>
      <c r="IH24" s="322"/>
      <c r="II24" s="322"/>
      <c r="IJ24" s="322"/>
      <c r="IK24" s="322"/>
      <c r="IL24" s="322"/>
      <c r="IM24" s="322"/>
      <c r="IN24" s="3"/>
    </row>
    <row r="25" spans="1:271" x14ac:dyDescent="0.25">
      <c r="A25" s="297" t="s">
        <v>63</v>
      </c>
      <c r="B25" s="329">
        <v>36922</v>
      </c>
      <c r="C25" s="329">
        <v>36950</v>
      </c>
      <c r="D25" s="329">
        <v>36981</v>
      </c>
      <c r="E25" s="329">
        <v>37011</v>
      </c>
      <c r="F25" s="329">
        <v>37042</v>
      </c>
      <c r="G25" s="329">
        <v>37072</v>
      </c>
      <c r="H25" s="329">
        <v>37103</v>
      </c>
      <c r="I25" s="329">
        <v>37134</v>
      </c>
      <c r="J25" s="329">
        <v>37164</v>
      </c>
      <c r="K25" s="329">
        <v>37195</v>
      </c>
      <c r="L25" s="329">
        <v>37225</v>
      </c>
      <c r="M25" s="329">
        <v>37256</v>
      </c>
      <c r="N25" s="329">
        <v>37287</v>
      </c>
      <c r="O25" s="329">
        <v>37315</v>
      </c>
      <c r="P25" s="329">
        <v>37346</v>
      </c>
      <c r="Q25" s="329">
        <v>37376</v>
      </c>
      <c r="R25" s="329">
        <v>37407</v>
      </c>
      <c r="S25" s="329">
        <v>37437</v>
      </c>
      <c r="T25" s="329">
        <v>37468</v>
      </c>
      <c r="U25" s="329">
        <v>37499</v>
      </c>
      <c r="V25" s="329">
        <v>37529</v>
      </c>
      <c r="W25" s="329">
        <v>37560</v>
      </c>
      <c r="X25" s="329">
        <v>37590</v>
      </c>
      <c r="Y25" s="329">
        <v>37621</v>
      </c>
      <c r="Z25" s="329">
        <v>37652</v>
      </c>
      <c r="AA25" s="329">
        <v>37680</v>
      </c>
      <c r="AB25" s="329">
        <v>37711</v>
      </c>
      <c r="AC25" s="329">
        <v>37741</v>
      </c>
      <c r="AD25" s="329">
        <v>37772</v>
      </c>
      <c r="AE25" s="329">
        <v>37802</v>
      </c>
      <c r="AF25" s="329">
        <v>37833</v>
      </c>
      <c r="AG25" s="329">
        <v>37864</v>
      </c>
      <c r="AH25" s="329">
        <v>37894</v>
      </c>
      <c r="AI25" s="329">
        <v>37925</v>
      </c>
      <c r="AJ25" s="329">
        <v>37955</v>
      </c>
      <c r="AK25" s="329">
        <v>37986</v>
      </c>
      <c r="AL25" s="329">
        <v>38017</v>
      </c>
      <c r="AM25" s="329">
        <v>38046</v>
      </c>
      <c r="AN25" s="329">
        <v>38077</v>
      </c>
      <c r="AO25" s="329">
        <v>38107</v>
      </c>
      <c r="AP25" s="329">
        <v>38138</v>
      </c>
      <c r="AQ25" s="329">
        <v>38168</v>
      </c>
      <c r="AR25" s="329">
        <v>38199</v>
      </c>
      <c r="AS25" s="329">
        <v>38230</v>
      </c>
      <c r="AT25" s="329">
        <v>38260</v>
      </c>
      <c r="AU25" s="329">
        <v>38291</v>
      </c>
      <c r="AV25" s="329">
        <v>38321</v>
      </c>
      <c r="AW25" s="329">
        <v>38352</v>
      </c>
      <c r="AX25" s="329">
        <v>38383</v>
      </c>
      <c r="AY25" s="329">
        <v>38411</v>
      </c>
      <c r="AZ25" s="329">
        <v>38442</v>
      </c>
      <c r="BA25" s="329">
        <v>38472</v>
      </c>
      <c r="BB25" s="329">
        <v>38503</v>
      </c>
      <c r="BC25" s="329">
        <v>38533</v>
      </c>
      <c r="BD25" s="329">
        <v>38564</v>
      </c>
      <c r="BE25" s="329">
        <v>38595</v>
      </c>
      <c r="BF25" s="329">
        <v>38625</v>
      </c>
      <c r="BG25" s="329">
        <v>38656</v>
      </c>
      <c r="BH25" s="329">
        <v>38686</v>
      </c>
      <c r="BI25" s="329">
        <v>38717</v>
      </c>
      <c r="BJ25" s="329">
        <v>38748</v>
      </c>
      <c r="BK25" s="329">
        <v>38776</v>
      </c>
      <c r="BL25" s="329">
        <v>38807</v>
      </c>
      <c r="BM25" s="329">
        <v>38837</v>
      </c>
      <c r="BN25" s="329">
        <v>38868</v>
      </c>
      <c r="BO25" s="329">
        <v>38898</v>
      </c>
      <c r="BP25" s="329">
        <v>38929</v>
      </c>
      <c r="BQ25" s="329">
        <v>38960</v>
      </c>
      <c r="BR25" s="329">
        <v>38990</v>
      </c>
      <c r="BS25" s="329">
        <v>39021</v>
      </c>
      <c r="BT25" s="329">
        <v>39051</v>
      </c>
      <c r="BU25" s="329">
        <v>39082</v>
      </c>
      <c r="BV25" s="329">
        <v>39113</v>
      </c>
      <c r="BW25" s="329">
        <v>39141</v>
      </c>
      <c r="BX25" s="329">
        <v>39172</v>
      </c>
      <c r="BY25" s="329">
        <v>39202</v>
      </c>
      <c r="BZ25" s="329">
        <v>39233</v>
      </c>
      <c r="CA25" s="329">
        <v>39263</v>
      </c>
      <c r="CB25" s="329">
        <v>39294</v>
      </c>
      <c r="CC25" s="329">
        <v>39325</v>
      </c>
      <c r="CD25" s="329">
        <v>39355</v>
      </c>
      <c r="CE25" s="329">
        <v>39386</v>
      </c>
      <c r="CF25" s="330">
        <v>39416</v>
      </c>
      <c r="CG25" s="330">
        <v>39447</v>
      </c>
      <c r="CH25" s="330">
        <v>39478</v>
      </c>
      <c r="CI25" s="330">
        <v>39507</v>
      </c>
      <c r="CJ25" s="330">
        <v>39538</v>
      </c>
      <c r="CK25" s="330">
        <v>39568</v>
      </c>
      <c r="CL25" s="330">
        <v>39599</v>
      </c>
      <c r="CM25" s="330">
        <v>39629</v>
      </c>
      <c r="CN25" s="330">
        <v>39660</v>
      </c>
      <c r="CO25" s="330">
        <v>39691</v>
      </c>
      <c r="CP25" s="330">
        <v>39721</v>
      </c>
      <c r="CQ25" s="330">
        <v>39752</v>
      </c>
      <c r="CR25" s="330">
        <v>39782</v>
      </c>
      <c r="CS25" s="330">
        <v>39813</v>
      </c>
      <c r="CT25" s="330">
        <v>39844</v>
      </c>
      <c r="CU25" s="330">
        <v>39872</v>
      </c>
      <c r="CV25" s="330">
        <v>39903</v>
      </c>
      <c r="CW25" s="330">
        <v>39933</v>
      </c>
      <c r="CX25" s="330">
        <v>39964</v>
      </c>
      <c r="CY25" s="330">
        <v>39994</v>
      </c>
      <c r="CZ25" s="330">
        <v>40025</v>
      </c>
      <c r="DA25" s="330">
        <v>40056</v>
      </c>
      <c r="DB25" s="330">
        <v>40086</v>
      </c>
      <c r="DC25" s="330">
        <v>40117</v>
      </c>
      <c r="DD25" s="330">
        <v>40147</v>
      </c>
      <c r="DE25" s="330">
        <v>40178</v>
      </c>
      <c r="DF25" s="330">
        <v>40209</v>
      </c>
      <c r="DG25" s="330">
        <v>40237</v>
      </c>
      <c r="DH25" s="330">
        <v>40268</v>
      </c>
      <c r="DI25" s="330">
        <v>40298</v>
      </c>
      <c r="DJ25" s="330">
        <v>40329</v>
      </c>
      <c r="DK25" s="330">
        <v>40359</v>
      </c>
      <c r="DL25" s="330">
        <v>40390</v>
      </c>
      <c r="DM25" s="330">
        <v>40421</v>
      </c>
      <c r="DN25" s="330">
        <v>40451</v>
      </c>
      <c r="DO25" s="330">
        <v>40482</v>
      </c>
      <c r="DP25" s="330">
        <v>40512</v>
      </c>
      <c r="DQ25" s="330">
        <v>40543</v>
      </c>
      <c r="DR25" s="330">
        <v>40574</v>
      </c>
      <c r="DS25" s="330">
        <v>40602</v>
      </c>
      <c r="DT25" s="330">
        <v>40633</v>
      </c>
      <c r="DU25" s="330">
        <v>40663</v>
      </c>
      <c r="DV25" s="330">
        <v>40694</v>
      </c>
      <c r="DW25" s="330">
        <v>40724</v>
      </c>
      <c r="DX25" s="330">
        <v>40755</v>
      </c>
      <c r="DY25" s="330">
        <v>40786</v>
      </c>
      <c r="DZ25" s="330">
        <v>40816</v>
      </c>
      <c r="EA25" s="330">
        <v>40847</v>
      </c>
      <c r="EB25" s="330">
        <v>40877</v>
      </c>
      <c r="EC25" s="330">
        <v>40908</v>
      </c>
      <c r="ED25" s="330">
        <v>40939</v>
      </c>
      <c r="EE25" s="330">
        <v>40968</v>
      </c>
      <c r="EF25" s="330">
        <v>40999</v>
      </c>
      <c r="EG25" s="330">
        <v>41029</v>
      </c>
      <c r="EH25" s="330">
        <v>41060</v>
      </c>
      <c r="EI25" s="330">
        <v>41090</v>
      </c>
      <c r="EJ25" s="330">
        <v>41121</v>
      </c>
      <c r="EK25" s="330">
        <v>41152</v>
      </c>
      <c r="EL25" s="330">
        <v>41182</v>
      </c>
      <c r="EM25" s="330">
        <v>41213</v>
      </c>
      <c r="EN25" s="330">
        <v>41243</v>
      </c>
      <c r="EO25" s="330">
        <v>41274</v>
      </c>
      <c r="EP25" s="330">
        <v>41305</v>
      </c>
      <c r="EQ25" s="330">
        <v>41333</v>
      </c>
      <c r="ER25" s="330">
        <v>41364</v>
      </c>
      <c r="ES25" s="330">
        <v>41394</v>
      </c>
      <c r="ET25" s="330">
        <v>41425</v>
      </c>
      <c r="EU25" s="330">
        <v>41455</v>
      </c>
      <c r="EV25" s="330">
        <v>41486</v>
      </c>
      <c r="EW25" s="330">
        <v>41517</v>
      </c>
      <c r="EX25" s="330">
        <v>41547</v>
      </c>
      <c r="EY25" s="330">
        <v>41578</v>
      </c>
      <c r="EZ25" s="330">
        <v>41608</v>
      </c>
      <c r="FA25" s="330">
        <v>41639</v>
      </c>
      <c r="FB25" s="330">
        <v>41670</v>
      </c>
      <c r="FC25" s="330">
        <v>41698</v>
      </c>
      <c r="FD25" s="330">
        <v>41729</v>
      </c>
      <c r="FE25" s="330">
        <v>41759</v>
      </c>
      <c r="FF25" s="330">
        <v>41790</v>
      </c>
      <c r="FG25" s="330">
        <v>41820</v>
      </c>
      <c r="FH25" s="330">
        <v>41851</v>
      </c>
      <c r="FI25" s="330">
        <v>41882</v>
      </c>
      <c r="FJ25" s="330">
        <v>41912</v>
      </c>
      <c r="FK25" s="330">
        <v>41943</v>
      </c>
      <c r="FL25" s="330">
        <v>41973</v>
      </c>
      <c r="FM25" s="330">
        <v>42004</v>
      </c>
      <c r="FN25" s="330">
        <v>42035</v>
      </c>
      <c r="FO25" s="330">
        <v>42063</v>
      </c>
      <c r="FP25" s="330">
        <v>42094</v>
      </c>
      <c r="FQ25" s="330">
        <v>42124</v>
      </c>
      <c r="FR25" s="330">
        <v>42155</v>
      </c>
      <c r="FS25" s="330">
        <v>42185</v>
      </c>
      <c r="FT25" s="330">
        <v>42216</v>
      </c>
      <c r="FU25" s="330">
        <v>42247</v>
      </c>
      <c r="FV25" s="330">
        <v>42277</v>
      </c>
      <c r="FW25" s="330">
        <v>42308</v>
      </c>
      <c r="FX25" s="330">
        <v>42338</v>
      </c>
      <c r="FY25" s="330">
        <v>42369</v>
      </c>
      <c r="FZ25" s="330">
        <v>42400</v>
      </c>
      <c r="GA25" s="330">
        <v>42429</v>
      </c>
      <c r="GB25" s="330">
        <v>42460</v>
      </c>
      <c r="GC25" s="330">
        <v>42490</v>
      </c>
      <c r="GD25" s="330">
        <v>42521</v>
      </c>
      <c r="GE25" s="330">
        <v>42551</v>
      </c>
      <c r="GF25" s="330">
        <v>42582</v>
      </c>
      <c r="GG25" s="330">
        <v>42613</v>
      </c>
      <c r="GH25" s="330">
        <v>42643</v>
      </c>
      <c r="GI25" s="330">
        <v>42674</v>
      </c>
      <c r="GJ25" s="330">
        <v>42704</v>
      </c>
      <c r="GK25" s="330">
        <v>42735</v>
      </c>
      <c r="GL25" s="330">
        <v>42766</v>
      </c>
      <c r="GM25" s="330">
        <v>42794</v>
      </c>
      <c r="GN25" s="330">
        <v>42825</v>
      </c>
      <c r="GO25" s="330">
        <v>42855</v>
      </c>
      <c r="GP25" s="330">
        <v>42886</v>
      </c>
      <c r="GQ25" s="330">
        <v>42916</v>
      </c>
      <c r="GR25" s="330">
        <v>42947</v>
      </c>
      <c r="GS25" s="330">
        <v>42978</v>
      </c>
      <c r="GT25" s="330">
        <v>43008</v>
      </c>
      <c r="GU25" s="330">
        <v>43039</v>
      </c>
      <c r="GV25" s="330">
        <v>43069</v>
      </c>
      <c r="GW25" s="330">
        <v>43100</v>
      </c>
      <c r="GX25" s="330">
        <v>43131</v>
      </c>
      <c r="GY25" s="330">
        <v>43159</v>
      </c>
      <c r="GZ25" s="330">
        <v>43190</v>
      </c>
      <c r="HA25" s="330">
        <v>43220</v>
      </c>
      <c r="HB25" s="330">
        <v>43251</v>
      </c>
      <c r="HC25" s="330">
        <v>43281</v>
      </c>
      <c r="HD25" s="330">
        <v>43312</v>
      </c>
      <c r="HE25" s="330">
        <v>43343</v>
      </c>
      <c r="HF25" s="330">
        <v>43373</v>
      </c>
      <c r="HG25" s="330">
        <v>43404</v>
      </c>
      <c r="HH25" s="330">
        <v>43434</v>
      </c>
      <c r="HI25" s="330">
        <v>43465</v>
      </c>
      <c r="HJ25" s="330">
        <v>43496</v>
      </c>
      <c r="HK25" s="330">
        <v>43524</v>
      </c>
      <c r="HL25" s="330">
        <v>43555</v>
      </c>
      <c r="HM25" s="330">
        <v>43585</v>
      </c>
      <c r="HN25" s="330">
        <v>43616</v>
      </c>
      <c r="HO25" s="330">
        <v>43646</v>
      </c>
      <c r="HP25" s="330">
        <v>43677</v>
      </c>
      <c r="HQ25" s="330">
        <v>43708</v>
      </c>
      <c r="HR25" s="330">
        <v>43738</v>
      </c>
      <c r="HS25" s="330">
        <v>43769</v>
      </c>
      <c r="HT25" s="330">
        <v>43799</v>
      </c>
      <c r="HU25" s="330">
        <v>43830</v>
      </c>
      <c r="HV25" s="330">
        <v>43861</v>
      </c>
      <c r="HW25" s="330">
        <v>43890</v>
      </c>
      <c r="HX25" s="330">
        <v>43921</v>
      </c>
      <c r="HY25" s="330">
        <v>43951</v>
      </c>
      <c r="HZ25" s="330">
        <v>43982</v>
      </c>
      <c r="IA25" s="330">
        <v>44012</v>
      </c>
      <c r="IB25" s="330">
        <v>44043</v>
      </c>
      <c r="IC25" s="330">
        <v>44074</v>
      </c>
      <c r="ID25" s="330">
        <v>44104</v>
      </c>
      <c r="IE25" s="330">
        <v>44135</v>
      </c>
      <c r="IF25" s="330">
        <v>44165</v>
      </c>
      <c r="IG25" s="330">
        <v>44196</v>
      </c>
      <c r="IH25" s="330">
        <v>44227</v>
      </c>
      <c r="II25" s="330">
        <v>44255</v>
      </c>
      <c r="IJ25" s="330">
        <v>44286</v>
      </c>
      <c r="IK25" s="330">
        <v>44316</v>
      </c>
      <c r="IL25" s="330">
        <v>44347</v>
      </c>
      <c r="IM25" s="330">
        <v>44377</v>
      </c>
      <c r="IN25" s="330">
        <v>44408</v>
      </c>
      <c r="IO25" s="330">
        <v>44439</v>
      </c>
      <c r="IP25" s="330">
        <v>44469</v>
      </c>
      <c r="IQ25" s="330">
        <v>44500</v>
      </c>
      <c r="IR25" s="330">
        <v>44530</v>
      </c>
      <c r="IS25" s="330">
        <v>44561</v>
      </c>
      <c r="IT25" s="330">
        <v>44592</v>
      </c>
      <c r="IU25" s="330">
        <v>44620</v>
      </c>
      <c r="IV25" s="330">
        <v>44651</v>
      </c>
      <c r="IW25" s="331">
        <v>44742</v>
      </c>
      <c r="IX25" s="331">
        <v>44834</v>
      </c>
      <c r="IY25" s="331">
        <v>44926</v>
      </c>
      <c r="IZ25" s="331">
        <v>45016</v>
      </c>
      <c r="JA25" s="331">
        <v>45107</v>
      </c>
      <c r="JB25" s="331">
        <v>45199</v>
      </c>
      <c r="JC25" s="331">
        <v>45291</v>
      </c>
      <c r="JD25" s="331">
        <v>45382</v>
      </c>
      <c r="JE25" s="331">
        <v>45473</v>
      </c>
      <c r="JF25" s="331">
        <v>45565</v>
      </c>
      <c r="JG25" s="331">
        <v>45657</v>
      </c>
      <c r="JH25" s="331">
        <v>45747</v>
      </c>
      <c r="JI25" s="331">
        <v>45838</v>
      </c>
      <c r="JJ25" s="331">
        <v>45930</v>
      </c>
      <c r="JK25" s="332">
        <v>46022</v>
      </c>
    </row>
    <row r="26" spans="1:271" x14ac:dyDescent="0.25">
      <c r="A26" s="303" t="s">
        <v>66</v>
      </c>
      <c r="B26" s="301">
        <v>1203.0840000000001</v>
      </c>
      <c r="C26" s="301">
        <v>1165.932</v>
      </c>
      <c r="D26" s="301">
        <v>1268.3220000000001</v>
      </c>
      <c r="E26" s="301">
        <v>1261.068</v>
      </c>
      <c r="F26" s="301">
        <v>1347.66</v>
      </c>
      <c r="G26" s="301">
        <v>1371.1320000000001</v>
      </c>
      <c r="H26" s="301">
        <v>1346.826</v>
      </c>
      <c r="I26" s="301">
        <v>1346.202</v>
      </c>
      <c r="J26" s="301">
        <v>1249.902</v>
      </c>
      <c r="K26" s="301">
        <v>1386.51</v>
      </c>
      <c r="L26" s="301">
        <v>1382.9279999999999</v>
      </c>
      <c r="M26" s="301">
        <v>1993.4339999999997</v>
      </c>
      <c r="N26" s="301">
        <v>1856.712</v>
      </c>
      <c r="O26" s="301">
        <v>1443.57</v>
      </c>
      <c r="P26" s="301">
        <v>1538.1179999999999</v>
      </c>
      <c r="Q26" s="301">
        <v>1421.856</v>
      </c>
      <c r="R26" s="301">
        <v>1493.1120000000001</v>
      </c>
      <c r="S26" s="301">
        <v>1377.0539999999999</v>
      </c>
      <c r="T26" s="301">
        <v>1489.182</v>
      </c>
      <c r="U26" s="301">
        <v>1330.002</v>
      </c>
      <c r="V26" s="301">
        <v>1578.6420000000003</v>
      </c>
      <c r="W26" s="301">
        <v>1668.096</v>
      </c>
      <c r="X26" s="301">
        <v>2227.0680000000002</v>
      </c>
      <c r="Y26" s="301">
        <v>1450.6619999999998</v>
      </c>
      <c r="Z26" s="301">
        <v>1564.008</v>
      </c>
      <c r="AA26" s="301">
        <v>1519.4159999999999</v>
      </c>
      <c r="AB26" s="301">
        <v>1598.106</v>
      </c>
      <c r="AC26" s="301">
        <v>1541.94</v>
      </c>
      <c r="AD26" s="301">
        <v>1892.0340000000001</v>
      </c>
      <c r="AE26" s="301">
        <v>1724.5920000000001</v>
      </c>
      <c r="AF26" s="301">
        <v>1766.0280000000002</v>
      </c>
      <c r="AG26" s="301">
        <v>1765.1760000000002</v>
      </c>
      <c r="AH26" s="301">
        <v>1430.502</v>
      </c>
      <c r="AI26" s="301">
        <v>1903.5359999999998</v>
      </c>
      <c r="AJ26" s="301">
        <v>1888.7460000000001</v>
      </c>
      <c r="AK26" s="301">
        <v>1485.1619999999998</v>
      </c>
      <c r="AL26" s="301">
        <v>1732.9079999999999</v>
      </c>
      <c r="AM26" s="301">
        <v>1889.568</v>
      </c>
      <c r="AN26" s="301">
        <v>2136.4560000000001</v>
      </c>
      <c r="AO26" s="301">
        <v>1983.84</v>
      </c>
      <c r="AP26" s="301">
        <v>2070.9539999999997</v>
      </c>
      <c r="AQ26" s="301">
        <v>1887.7559999999999</v>
      </c>
      <c r="AR26" s="301">
        <v>2298.5639999999999</v>
      </c>
      <c r="AS26" s="301">
        <v>2126.652</v>
      </c>
      <c r="AT26" s="301">
        <v>2442.9539999999997</v>
      </c>
      <c r="AU26" s="301">
        <v>2382.306</v>
      </c>
      <c r="AV26" s="301">
        <v>2814.3359999999998</v>
      </c>
      <c r="AW26" s="301">
        <v>3548.8140000000003</v>
      </c>
      <c r="AX26" s="301">
        <v>2831.364</v>
      </c>
      <c r="AY26" s="301">
        <v>2964.0419999999999</v>
      </c>
      <c r="AZ26" s="301">
        <v>3250.6320000000005</v>
      </c>
      <c r="BA26" s="301">
        <v>3651.75</v>
      </c>
      <c r="BB26" s="301">
        <v>4174.1039999999994</v>
      </c>
      <c r="BC26" s="301">
        <v>3849.7200000000003</v>
      </c>
      <c r="BD26" s="301">
        <v>3932.3339999999998</v>
      </c>
      <c r="BE26" s="301">
        <v>4236.6120000000001</v>
      </c>
      <c r="BF26" s="301">
        <v>4207.9439999999995</v>
      </c>
      <c r="BG26" s="301">
        <v>3360</v>
      </c>
      <c r="BH26" s="301">
        <v>4611.7440000000006</v>
      </c>
      <c r="BI26" s="301">
        <v>4231.8720000000003</v>
      </c>
      <c r="BJ26" s="301">
        <v>3641.3879999999999</v>
      </c>
      <c r="BK26" s="301">
        <v>4286.0879999999997</v>
      </c>
      <c r="BL26" s="301">
        <v>4468.4880000000003</v>
      </c>
      <c r="BM26" s="301">
        <v>2744.16</v>
      </c>
      <c r="BN26" s="301">
        <v>4877.6639999999998</v>
      </c>
      <c r="BO26" s="301">
        <v>4407.8220000000001</v>
      </c>
      <c r="BP26" s="301">
        <v>3900.12</v>
      </c>
      <c r="BQ26" s="301">
        <v>2809.098</v>
      </c>
      <c r="BR26" s="301">
        <v>2263.6860000000001</v>
      </c>
      <c r="BS26" s="301">
        <v>2491.5299999999997</v>
      </c>
      <c r="BT26" s="301">
        <v>2808.5219999999999</v>
      </c>
      <c r="BU26" s="301">
        <v>2499.0540000000001</v>
      </c>
      <c r="BV26" s="301">
        <v>2388.8579999999997</v>
      </c>
      <c r="BW26" s="301">
        <v>2708.424</v>
      </c>
      <c r="BX26" s="301">
        <v>2993.04</v>
      </c>
      <c r="BY26" s="301">
        <v>2089.6440000000002</v>
      </c>
      <c r="BZ26" s="301">
        <v>2896.9679999999998</v>
      </c>
      <c r="CA26" s="301">
        <v>2689.8119999999999</v>
      </c>
      <c r="CB26" s="301">
        <v>2760.2400000000002</v>
      </c>
      <c r="CC26" s="301">
        <v>2748.9119999999998</v>
      </c>
      <c r="CD26" s="301">
        <v>2429.46</v>
      </c>
      <c r="CE26" s="301">
        <v>2485.59</v>
      </c>
      <c r="CF26" s="301">
        <v>2479.3500000000004</v>
      </c>
      <c r="CG26" s="301">
        <v>2172.4079999999999</v>
      </c>
      <c r="CH26" s="301">
        <v>2052.9780000000001</v>
      </c>
      <c r="CI26" s="301">
        <v>2703.3180000000002</v>
      </c>
      <c r="CJ26" s="301">
        <v>2278.2660000000001</v>
      </c>
      <c r="CK26" s="301">
        <v>2404.752</v>
      </c>
      <c r="CL26" s="301">
        <v>2390.1059999999998</v>
      </c>
      <c r="CM26" s="301">
        <v>2486.2259999999997</v>
      </c>
      <c r="CN26" s="301">
        <v>2564.2020000000002</v>
      </c>
      <c r="CO26" s="301">
        <v>2515.6079999999997</v>
      </c>
      <c r="CP26" s="301">
        <v>2542.614</v>
      </c>
      <c r="CQ26" s="301">
        <v>2755.59</v>
      </c>
      <c r="CR26" s="301">
        <v>2769.69</v>
      </c>
      <c r="CS26" s="301">
        <v>2489.9339999999997</v>
      </c>
      <c r="CT26" s="301">
        <v>2436.2039999999997</v>
      </c>
      <c r="CU26" s="301">
        <v>3082.5360000000001</v>
      </c>
      <c r="CV26" s="301">
        <v>2813.5259999999998</v>
      </c>
      <c r="CW26" s="301">
        <v>2645.1660000000002</v>
      </c>
      <c r="CX26" s="301">
        <v>2632.674</v>
      </c>
      <c r="CY26" s="301">
        <v>2552.6459999999997</v>
      </c>
      <c r="CZ26" s="301">
        <v>2772.7919999999999</v>
      </c>
      <c r="DA26" s="301">
        <v>2658.732</v>
      </c>
      <c r="DB26" s="301">
        <v>3004.422</v>
      </c>
      <c r="DC26" s="301">
        <v>3001.5419999999999</v>
      </c>
      <c r="DD26" s="301">
        <v>3419.364</v>
      </c>
      <c r="DE26" s="301">
        <v>3149.5860000000002</v>
      </c>
      <c r="DF26" s="301">
        <v>3160.3379999999997</v>
      </c>
      <c r="DG26" s="301">
        <v>3586.5719999999997</v>
      </c>
      <c r="DH26" s="301">
        <v>3933.3539999999998</v>
      </c>
      <c r="DI26" s="301">
        <v>3272.46</v>
      </c>
      <c r="DJ26" s="301">
        <v>4027.326</v>
      </c>
      <c r="DK26" s="301">
        <v>4102.26</v>
      </c>
      <c r="DL26" s="301">
        <v>4682.8679999999995</v>
      </c>
      <c r="DM26" s="301">
        <v>4730.2440000000006</v>
      </c>
      <c r="DN26" s="301">
        <v>4846.116</v>
      </c>
      <c r="DO26" s="301">
        <v>5440.098</v>
      </c>
      <c r="DP26" s="301">
        <v>5835.9120000000003</v>
      </c>
      <c r="DQ26" s="301">
        <v>4901.6039999999994</v>
      </c>
      <c r="DR26" s="301">
        <v>5055.2759999999998</v>
      </c>
      <c r="DS26" s="301">
        <v>6301.8119999999999</v>
      </c>
      <c r="DT26" s="301">
        <v>6749.8860000000004</v>
      </c>
      <c r="DU26" s="301">
        <v>5663.4059999999999</v>
      </c>
      <c r="DV26" s="301">
        <v>6948.7920000000004</v>
      </c>
      <c r="DW26" s="301">
        <v>6814.6139999999996</v>
      </c>
      <c r="DX26" s="301">
        <v>6736.6260000000002</v>
      </c>
      <c r="DY26" s="301">
        <v>6631.8360000000002</v>
      </c>
      <c r="DZ26" s="301">
        <v>5860.8539999999994</v>
      </c>
      <c r="EA26" s="301">
        <v>5894.7179999999998</v>
      </c>
      <c r="EB26" s="301">
        <v>5796.9059999999999</v>
      </c>
      <c r="EC26" s="301">
        <v>4567.1460000000006</v>
      </c>
      <c r="ED26" s="301">
        <v>4231.47</v>
      </c>
      <c r="EE26" s="301">
        <v>4568.5199999999995</v>
      </c>
      <c r="EF26" s="301">
        <v>4655.0640000000003</v>
      </c>
      <c r="EG26" s="301">
        <v>4575.87</v>
      </c>
      <c r="EH26" s="301">
        <v>3430.9739999999997</v>
      </c>
      <c r="EI26" s="301">
        <v>2541.6839999999997</v>
      </c>
      <c r="EJ26" s="301">
        <v>2771.13</v>
      </c>
      <c r="EK26" s="301">
        <v>2683.7219999999998</v>
      </c>
      <c r="EL26" s="301">
        <v>2218.0859999999998</v>
      </c>
      <c r="EM26" s="301">
        <v>2414.9639999999999</v>
      </c>
      <c r="EN26" s="301">
        <v>2764.5720000000001</v>
      </c>
      <c r="EO26" s="301">
        <v>2248.5</v>
      </c>
      <c r="EP26" s="301">
        <v>2273.16</v>
      </c>
      <c r="EQ26" s="301">
        <v>2788.02</v>
      </c>
      <c r="ER26" s="301">
        <v>2402.9700000000003</v>
      </c>
      <c r="ES26" s="301">
        <v>2511.6660000000002</v>
      </c>
      <c r="ET26" s="301">
        <v>2571.078</v>
      </c>
      <c r="EU26" s="301">
        <v>2274.9780000000001</v>
      </c>
      <c r="EV26" s="301">
        <v>2438.3040000000001</v>
      </c>
      <c r="EW26" s="301">
        <v>2215.1880000000001</v>
      </c>
      <c r="EX26" s="301">
        <v>1948.326</v>
      </c>
      <c r="EY26" s="301">
        <v>2247.8579999999997</v>
      </c>
      <c r="EZ26" s="301">
        <v>2362.134</v>
      </c>
      <c r="FA26" s="301">
        <v>1981.9379999999999</v>
      </c>
      <c r="FB26" s="301">
        <v>2108.9700000000003</v>
      </c>
      <c r="FC26" s="301">
        <v>2581.6980000000003</v>
      </c>
      <c r="FD26" s="301">
        <v>2572.8239999999996</v>
      </c>
      <c r="FE26" s="301">
        <v>2253.4319999999998</v>
      </c>
      <c r="FF26" s="301">
        <v>2278.59</v>
      </c>
      <c r="FG26" s="301">
        <v>2193.48</v>
      </c>
      <c r="FH26" s="301">
        <v>2162.0639999999999</v>
      </c>
      <c r="FI26" s="301">
        <v>2076.018</v>
      </c>
      <c r="FJ26" s="301">
        <v>2082.9299999999998</v>
      </c>
      <c r="FK26" s="301">
        <v>2362.2539999999999</v>
      </c>
      <c r="FL26" s="301">
        <v>2442.21</v>
      </c>
      <c r="FM26" s="301">
        <v>2003.6279999999999</v>
      </c>
      <c r="FN26" s="301">
        <v>2125.038</v>
      </c>
      <c r="FO26" s="301">
        <v>2432.616</v>
      </c>
      <c r="FP26" s="301">
        <v>2304.288</v>
      </c>
      <c r="FQ26" s="301">
        <v>2285.6640000000002</v>
      </c>
      <c r="FR26" s="301">
        <v>2378.1660000000002</v>
      </c>
      <c r="FS26" s="301">
        <v>2412.2219999999998</v>
      </c>
      <c r="FT26" s="301">
        <v>2699.8440000000001</v>
      </c>
      <c r="FU26" s="301">
        <v>2307.6959999999999</v>
      </c>
      <c r="FV26" s="301">
        <v>2175.5880000000002</v>
      </c>
      <c r="FW26" s="301">
        <v>2359.0920000000001</v>
      </c>
      <c r="FX26" s="301">
        <v>2456.1179999999999</v>
      </c>
      <c r="FY26" s="301">
        <v>1948.8420000000001</v>
      </c>
      <c r="FZ26" s="301">
        <v>1899.5099999999998</v>
      </c>
      <c r="GA26" s="301">
        <v>1899.1260000000002</v>
      </c>
      <c r="GB26" s="301">
        <v>1754.9879999999998</v>
      </c>
      <c r="GC26" s="301">
        <v>1630.62</v>
      </c>
      <c r="GD26" s="301">
        <v>1718.172</v>
      </c>
      <c r="GE26" s="301">
        <v>1620.2759999999998</v>
      </c>
      <c r="GF26" s="301">
        <v>1491.9119999999998</v>
      </c>
      <c r="GG26" s="301">
        <v>1630.518</v>
      </c>
      <c r="GH26" s="301">
        <v>1680.1860000000001</v>
      </c>
      <c r="GI26" s="301">
        <v>1911.2219999999998</v>
      </c>
      <c r="GJ26" s="301">
        <v>1645.2539999999999</v>
      </c>
      <c r="GK26" s="301">
        <v>1992.42</v>
      </c>
      <c r="GL26" s="301">
        <v>1604.856</v>
      </c>
      <c r="GM26" s="301">
        <v>1834.0500000000002</v>
      </c>
      <c r="GN26" s="301">
        <v>1948.4520000000002</v>
      </c>
      <c r="GO26" s="301">
        <v>1622.5739999999998</v>
      </c>
      <c r="GP26" s="301">
        <v>2152.2060000000001</v>
      </c>
      <c r="GQ26" s="301">
        <v>2115.8940000000002</v>
      </c>
      <c r="GR26" s="301">
        <v>1876.6860000000001</v>
      </c>
      <c r="GS26" s="301">
        <v>1924.98</v>
      </c>
      <c r="GT26" s="301">
        <v>1884.7259999999999</v>
      </c>
      <c r="GU26" s="301">
        <v>2067.1980000000003</v>
      </c>
      <c r="GV26" s="301">
        <v>2271.2400000000002</v>
      </c>
      <c r="GW26" s="301">
        <v>1865.6220000000001</v>
      </c>
      <c r="GX26" s="301">
        <v>2165.886</v>
      </c>
      <c r="GY26" s="301">
        <v>2449.3019999999997</v>
      </c>
      <c r="GZ26" s="301">
        <v>2334.174</v>
      </c>
      <c r="HA26" s="301">
        <v>2211.3000000000002</v>
      </c>
      <c r="HB26" s="301">
        <v>2525.8620000000001</v>
      </c>
      <c r="HC26" s="301">
        <v>2165.922</v>
      </c>
      <c r="HD26" s="301">
        <v>2118.0360000000001</v>
      </c>
      <c r="HE26" s="301">
        <v>2545.3980000000001</v>
      </c>
      <c r="HF26" s="301">
        <v>2436.9360000000001</v>
      </c>
      <c r="HG26" s="301">
        <v>2875.7219999999998</v>
      </c>
      <c r="HH26" s="301">
        <v>2685.6120000000001</v>
      </c>
      <c r="HI26" s="301">
        <v>2331.1680000000001</v>
      </c>
      <c r="HJ26" s="301">
        <v>2609.52</v>
      </c>
      <c r="HK26" s="301">
        <v>2870.82</v>
      </c>
      <c r="HL26" s="301">
        <v>3066.924</v>
      </c>
      <c r="HM26" s="301">
        <v>2684.058</v>
      </c>
      <c r="HN26" s="301">
        <v>2942.4539999999997</v>
      </c>
      <c r="HO26" s="301">
        <v>2625.5219999999999</v>
      </c>
      <c r="HP26" s="333">
        <v>2776.1579999999999</v>
      </c>
      <c r="HQ26" s="333">
        <v>2584.8119999999999</v>
      </c>
      <c r="HR26" s="333">
        <v>2486.1660000000002</v>
      </c>
      <c r="HS26" s="333">
        <v>2661.8940000000002</v>
      </c>
      <c r="HT26" s="333">
        <v>2363.922</v>
      </c>
      <c r="HU26" s="333">
        <v>1850.502</v>
      </c>
      <c r="HV26" s="301">
        <v>2126.19</v>
      </c>
      <c r="HW26" s="301">
        <v>2554.9740000000002</v>
      </c>
      <c r="HX26" s="301">
        <v>2689.152</v>
      </c>
      <c r="HY26" s="301">
        <v>2149.3559999999998</v>
      </c>
      <c r="HZ26" s="301">
        <v>2289.9180000000001</v>
      </c>
      <c r="IA26" s="301">
        <v>2398.7219999999998</v>
      </c>
      <c r="IB26" s="301">
        <v>2356.7939999999999</v>
      </c>
      <c r="IC26" s="301">
        <v>2391.9960000000001</v>
      </c>
      <c r="ID26" s="301">
        <v>2626.422</v>
      </c>
      <c r="IE26" s="301">
        <v>2716.9859999999999</v>
      </c>
      <c r="IF26" s="301">
        <v>2495.1179999999999</v>
      </c>
      <c r="IG26" s="301">
        <v>2063.0700000000002</v>
      </c>
      <c r="IH26" s="301">
        <v>2216.3999999999996</v>
      </c>
      <c r="II26" s="301">
        <v>2605.4700000000003</v>
      </c>
      <c r="IJ26" s="301">
        <v>2965.4520000000002</v>
      </c>
      <c r="IK26" s="301">
        <v>2527.308</v>
      </c>
      <c r="IL26" s="301">
        <v>2654.0099999999998</v>
      </c>
      <c r="IM26" s="301">
        <v>2427.4319999999998</v>
      </c>
      <c r="IN26" s="333">
        <v>2478.3540000000003</v>
      </c>
      <c r="IO26" s="333">
        <v>2699.3820000000001</v>
      </c>
      <c r="IP26" s="333">
        <v>2906.73</v>
      </c>
      <c r="IQ26" s="333">
        <v>2485.1760000000004</v>
      </c>
      <c r="IR26" s="333">
        <v>2716.5240000000003</v>
      </c>
      <c r="IS26" s="333">
        <v>2259.0299999999997</v>
      </c>
      <c r="IT26" s="333">
        <v>2343.1320000000001</v>
      </c>
      <c r="IU26" s="333">
        <v>2704.7759999999998</v>
      </c>
      <c r="IV26" s="333">
        <v>2803.944</v>
      </c>
      <c r="IW26" s="334">
        <v>2580.942</v>
      </c>
      <c r="IX26" s="334">
        <v>2742.538</v>
      </c>
      <c r="IY26" s="334">
        <v>2860.0479999999998</v>
      </c>
      <c r="IZ26" s="334">
        <v>2953.7840000000001</v>
      </c>
      <c r="JA26" s="334">
        <v>2964.08</v>
      </c>
      <c r="JB26" s="334">
        <v>2922.4279999999999</v>
      </c>
      <c r="JC26" s="334">
        <v>2833.442</v>
      </c>
      <c r="JD26" s="334">
        <v>2654.47</v>
      </c>
      <c r="JE26" s="334">
        <v>2602.6640000000002</v>
      </c>
      <c r="JF26" s="334">
        <v>2636.9720000000002</v>
      </c>
      <c r="JG26" s="334">
        <v>2422.4699999999998</v>
      </c>
      <c r="JH26" s="334">
        <v>2698.9</v>
      </c>
      <c r="JI26" s="334">
        <v>2827.1779999999999</v>
      </c>
      <c r="JJ26" s="334">
        <v>2690.6019999999999</v>
      </c>
      <c r="JK26" s="335">
        <v>2594.192</v>
      </c>
    </row>
    <row r="27" spans="1:271" x14ac:dyDescent="0.25">
      <c r="A27" s="303" t="s">
        <v>159</v>
      </c>
      <c r="B27" s="304">
        <v>13.116</v>
      </c>
      <c r="C27" s="304">
        <v>15.624000000000001</v>
      </c>
      <c r="D27" s="304">
        <v>17.922000000000001</v>
      </c>
      <c r="E27" s="304">
        <v>11.214</v>
      </c>
      <c r="F27" s="304">
        <v>15.51</v>
      </c>
      <c r="G27" s="304">
        <v>10.602</v>
      </c>
      <c r="H27" s="304">
        <v>4.7520000000000007</v>
      </c>
      <c r="I27" s="304">
        <v>13.655999999999999</v>
      </c>
      <c r="J27" s="304">
        <v>10.434000000000001</v>
      </c>
      <c r="K27" s="304">
        <v>7.2060000000000004</v>
      </c>
      <c r="L27" s="304">
        <v>8.1059999999999999</v>
      </c>
      <c r="M27" s="304">
        <v>7.7279999999999998</v>
      </c>
      <c r="N27" s="304">
        <v>5.556</v>
      </c>
      <c r="O27" s="304">
        <v>5.556</v>
      </c>
      <c r="P27" s="304">
        <v>11.574</v>
      </c>
      <c r="Q27" s="304">
        <v>7.3140000000000001</v>
      </c>
      <c r="R27" s="304">
        <v>5.6579999999999995</v>
      </c>
      <c r="S27" s="304">
        <v>12.414</v>
      </c>
      <c r="T27" s="304">
        <v>7.2780000000000005</v>
      </c>
      <c r="U27" s="304">
        <v>8.6159999999999997</v>
      </c>
      <c r="V27" s="304">
        <v>11.214</v>
      </c>
      <c r="W27" s="304">
        <v>11.472</v>
      </c>
      <c r="X27" s="304">
        <v>9.0240000000000009</v>
      </c>
      <c r="Y27" s="304">
        <v>5.79</v>
      </c>
      <c r="Z27" s="304">
        <v>8.3339999999999996</v>
      </c>
      <c r="AA27" s="304">
        <v>7.3140000000000001</v>
      </c>
      <c r="AB27" s="304">
        <v>8.363999999999999</v>
      </c>
      <c r="AC27" s="304">
        <v>9.69</v>
      </c>
      <c r="AD27" s="304">
        <v>15.077999999999999</v>
      </c>
      <c r="AE27" s="304">
        <v>14.568</v>
      </c>
      <c r="AF27" s="304">
        <v>10.134</v>
      </c>
      <c r="AG27" s="304">
        <v>11.64</v>
      </c>
      <c r="AH27" s="304">
        <v>11.658000000000001</v>
      </c>
      <c r="AI27" s="304">
        <v>10.704000000000001</v>
      </c>
      <c r="AJ27" s="304">
        <v>12.995999999999999</v>
      </c>
      <c r="AK27" s="304">
        <v>14.25</v>
      </c>
      <c r="AL27" s="304">
        <v>7.38</v>
      </c>
      <c r="AM27" s="304">
        <v>8.7360000000000007</v>
      </c>
      <c r="AN27" s="304">
        <v>6.4320000000000004</v>
      </c>
      <c r="AO27" s="304">
        <v>26.526000000000003</v>
      </c>
      <c r="AP27" s="304">
        <v>15.558</v>
      </c>
      <c r="AQ27" s="304">
        <v>17.484000000000002</v>
      </c>
      <c r="AR27" s="304">
        <v>40.571999999999996</v>
      </c>
      <c r="AS27" s="304">
        <v>52.805999999999997</v>
      </c>
      <c r="AT27" s="304">
        <v>46.326000000000001</v>
      </c>
      <c r="AU27" s="304">
        <v>12.624000000000001</v>
      </c>
      <c r="AV27" s="304">
        <v>11.862</v>
      </c>
      <c r="AW27" s="304">
        <v>12.809999999999999</v>
      </c>
      <c r="AX27" s="304">
        <v>15.93</v>
      </c>
      <c r="AY27" s="304">
        <v>24.455999999999996</v>
      </c>
      <c r="AZ27" s="304">
        <v>22.902000000000001</v>
      </c>
      <c r="BA27" s="304">
        <v>25.031999999999996</v>
      </c>
      <c r="BB27" s="304">
        <v>19.236000000000001</v>
      </c>
      <c r="BC27" s="304">
        <v>18.282</v>
      </c>
      <c r="BD27" s="304">
        <v>10.565999999999999</v>
      </c>
      <c r="BE27" s="304">
        <v>17.538</v>
      </c>
      <c r="BF27" s="304">
        <v>12.347999999999999</v>
      </c>
      <c r="BG27" s="304">
        <v>11.388</v>
      </c>
      <c r="BH27" s="304">
        <v>15.03</v>
      </c>
      <c r="BI27" s="304">
        <v>12.594000000000001</v>
      </c>
      <c r="BJ27" s="304">
        <v>7.9619999999999997</v>
      </c>
      <c r="BK27" s="304">
        <v>10.212</v>
      </c>
      <c r="BL27" s="304">
        <v>15.936</v>
      </c>
      <c r="BM27" s="304">
        <v>9.57</v>
      </c>
      <c r="BN27" s="304">
        <v>8.9700000000000006</v>
      </c>
      <c r="BO27" s="304">
        <v>11.52</v>
      </c>
      <c r="BP27" s="304">
        <v>10.517999999999999</v>
      </c>
      <c r="BQ27" s="304">
        <v>11.088000000000001</v>
      </c>
      <c r="BR27" s="304">
        <v>11.694000000000001</v>
      </c>
      <c r="BS27" s="304">
        <v>8.411999999999999</v>
      </c>
      <c r="BT27" s="304">
        <v>14.268000000000001</v>
      </c>
      <c r="BU27" s="304">
        <v>10.391999999999999</v>
      </c>
      <c r="BV27" s="304">
        <v>16.295999999999999</v>
      </c>
      <c r="BW27" s="304">
        <v>13.14</v>
      </c>
      <c r="BX27" s="304">
        <v>10.44</v>
      </c>
      <c r="BY27" s="304">
        <v>10.98</v>
      </c>
      <c r="BZ27" s="304">
        <v>10.199999999999999</v>
      </c>
      <c r="CA27" s="304">
        <v>21.155999999999999</v>
      </c>
      <c r="CB27" s="304">
        <v>21.78</v>
      </c>
      <c r="CC27" s="304">
        <v>12.059999999999999</v>
      </c>
      <c r="CD27" s="304">
        <v>15.03</v>
      </c>
      <c r="CE27" s="304">
        <v>13.625999999999999</v>
      </c>
      <c r="CF27" s="304">
        <v>22.398</v>
      </c>
      <c r="CG27" s="304">
        <v>11.334</v>
      </c>
      <c r="CH27" s="304">
        <v>18.36</v>
      </c>
      <c r="CI27" s="304">
        <v>28.410000000000004</v>
      </c>
      <c r="CJ27" s="304">
        <v>23.19</v>
      </c>
      <c r="CK27" s="304">
        <v>28.392000000000003</v>
      </c>
      <c r="CL27" s="304">
        <v>33.269999999999996</v>
      </c>
      <c r="CM27" s="304">
        <v>33.588000000000001</v>
      </c>
      <c r="CN27" s="304">
        <v>34.548000000000002</v>
      </c>
      <c r="CO27" s="304">
        <v>38.04</v>
      </c>
      <c r="CP27" s="304">
        <v>48.936000000000007</v>
      </c>
      <c r="CQ27" s="304">
        <v>39.167999999999999</v>
      </c>
      <c r="CR27" s="304">
        <v>29.178000000000004</v>
      </c>
      <c r="CS27" s="304">
        <v>25.740000000000002</v>
      </c>
      <c r="CT27" s="304">
        <v>34.571999999999996</v>
      </c>
      <c r="CU27" s="304">
        <v>24.353999999999999</v>
      </c>
      <c r="CV27" s="304">
        <v>22.71</v>
      </c>
      <c r="CW27" s="304">
        <v>12.78</v>
      </c>
      <c r="CX27" s="304">
        <v>20.892000000000003</v>
      </c>
      <c r="CY27" s="304">
        <v>22.56</v>
      </c>
      <c r="CZ27" s="304">
        <v>20.838000000000001</v>
      </c>
      <c r="DA27" s="304">
        <v>21.905999999999999</v>
      </c>
      <c r="DB27" s="304">
        <v>27.137999999999998</v>
      </c>
      <c r="DC27" s="304">
        <v>36.786000000000001</v>
      </c>
      <c r="DD27" s="304">
        <v>42.983999999999995</v>
      </c>
      <c r="DE27" s="304">
        <v>192.42000000000002</v>
      </c>
      <c r="DF27" s="304">
        <v>161.85000000000002</v>
      </c>
      <c r="DG27" s="304">
        <v>154.512</v>
      </c>
      <c r="DH27" s="304">
        <v>54.305999999999997</v>
      </c>
      <c r="DI27" s="304">
        <v>42.57</v>
      </c>
      <c r="DJ27" s="304">
        <v>43.698</v>
      </c>
      <c r="DK27" s="304">
        <v>46.037999999999997</v>
      </c>
      <c r="DL27" s="304">
        <v>34.835999999999999</v>
      </c>
      <c r="DM27" s="304">
        <v>37.29</v>
      </c>
      <c r="DN27" s="304">
        <v>31.374000000000002</v>
      </c>
      <c r="DO27" s="304">
        <v>34.253999999999998</v>
      </c>
      <c r="DP27" s="304">
        <v>42.965999999999994</v>
      </c>
      <c r="DQ27" s="304">
        <v>24.48</v>
      </c>
      <c r="DR27" s="304">
        <v>15.725999999999999</v>
      </c>
      <c r="DS27" s="304">
        <v>16.122</v>
      </c>
      <c r="DT27" s="304">
        <v>20.190000000000001</v>
      </c>
      <c r="DU27" s="304">
        <v>9.5040000000000013</v>
      </c>
      <c r="DV27" s="304">
        <v>17.477999999999998</v>
      </c>
      <c r="DW27" s="304">
        <v>17.88</v>
      </c>
      <c r="DX27" s="304">
        <v>14.73</v>
      </c>
      <c r="DY27" s="304">
        <v>58.655999999999999</v>
      </c>
      <c r="DZ27" s="304">
        <v>89.61</v>
      </c>
      <c r="EA27" s="304">
        <v>74.975999999999999</v>
      </c>
      <c r="EB27" s="304">
        <v>34.932000000000002</v>
      </c>
      <c r="EC27" s="304">
        <v>19.134</v>
      </c>
      <c r="ED27" s="304">
        <v>21.408000000000001</v>
      </c>
      <c r="EE27" s="304">
        <v>20.454000000000001</v>
      </c>
      <c r="EF27" s="304">
        <v>44.682000000000002</v>
      </c>
      <c r="EG27" s="304">
        <v>36.725999999999999</v>
      </c>
      <c r="EH27" s="304">
        <v>37.055999999999997</v>
      </c>
      <c r="EI27" s="304">
        <v>25.596</v>
      </c>
      <c r="EJ27" s="304">
        <v>25.632000000000001</v>
      </c>
      <c r="EK27" s="304">
        <v>25.08</v>
      </c>
      <c r="EL27" s="304">
        <v>21.347999999999999</v>
      </c>
      <c r="EM27" s="304">
        <v>25.044000000000004</v>
      </c>
      <c r="EN27" s="304">
        <v>52.320000000000007</v>
      </c>
      <c r="EO27" s="304">
        <v>78</v>
      </c>
      <c r="EP27" s="304">
        <v>80.706000000000003</v>
      </c>
      <c r="EQ27" s="304">
        <v>40.884</v>
      </c>
      <c r="ER27" s="304">
        <v>45.564</v>
      </c>
      <c r="ES27" s="304">
        <v>34.74</v>
      </c>
      <c r="ET27" s="304">
        <v>31.991999999999997</v>
      </c>
      <c r="EU27" s="304">
        <v>32.963999999999999</v>
      </c>
      <c r="EV27" s="304">
        <v>34.362000000000002</v>
      </c>
      <c r="EW27" s="304">
        <v>30.576000000000001</v>
      </c>
      <c r="EX27" s="304">
        <v>25.571999999999996</v>
      </c>
      <c r="EY27" s="304">
        <v>34.295999999999999</v>
      </c>
      <c r="EZ27" s="304">
        <v>43.632000000000005</v>
      </c>
      <c r="FA27" s="304">
        <v>26.700000000000003</v>
      </c>
      <c r="FB27" s="304">
        <v>34.68</v>
      </c>
      <c r="FC27" s="304">
        <v>50.742000000000004</v>
      </c>
      <c r="FD27" s="304">
        <v>60.851999999999997</v>
      </c>
      <c r="FE27" s="304">
        <v>344.96999999999997</v>
      </c>
      <c r="FF27" s="304">
        <v>409.01400000000001</v>
      </c>
      <c r="FG27" s="304">
        <v>382.76400000000001</v>
      </c>
      <c r="FH27" s="304">
        <v>373.36199999999997</v>
      </c>
      <c r="FI27" s="304">
        <v>415.08000000000004</v>
      </c>
      <c r="FJ27" s="304">
        <v>424.5</v>
      </c>
      <c r="FK27" s="304">
        <v>455.01</v>
      </c>
      <c r="FL27" s="304">
        <v>413.11200000000002</v>
      </c>
      <c r="FM27" s="304">
        <v>129.95400000000001</v>
      </c>
      <c r="FN27" s="304">
        <v>120.102</v>
      </c>
      <c r="FO27" s="304">
        <v>119.49</v>
      </c>
      <c r="FP27" s="304">
        <v>122.244</v>
      </c>
      <c r="FQ27" s="304">
        <v>123.34199999999998</v>
      </c>
      <c r="FR27" s="304">
        <v>204.85200000000003</v>
      </c>
      <c r="FS27" s="304">
        <v>186.11399999999998</v>
      </c>
      <c r="FT27" s="304">
        <v>167.37</v>
      </c>
      <c r="FU27" s="304">
        <v>140.328</v>
      </c>
      <c r="FV27" s="304">
        <v>141.13200000000001</v>
      </c>
      <c r="FW27" s="304">
        <v>166.566</v>
      </c>
      <c r="FX27" s="304">
        <v>196.32599999999996</v>
      </c>
      <c r="FY27" s="304">
        <v>172.53</v>
      </c>
      <c r="FZ27" s="304">
        <v>136.23599999999999</v>
      </c>
      <c r="GA27" s="304">
        <v>111.834</v>
      </c>
      <c r="GB27" s="304">
        <v>139.92000000000002</v>
      </c>
      <c r="GC27" s="304">
        <v>181.542</v>
      </c>
      <c r="GD27" s="304">
        <v>136.05000000000001</v>
      </c>
      <c r="GE27" s="304">
        <v>107.376</v>
      </c>
      <c r="GF27" s="304">
        <v>144.744</v>
      </c>
      <c r="GG27" s="304">
        <v>161.952</v>
      </c>
      <c r="GH27" s="304">
        <v>143.994</v>
      </c>
      <c r="GI27" s="304">
        <v>133.24799999999999</v>
      </c>
      <c r="GJ27" s="304">
        <v>187.75200000000001</v>
      </c>
      <c r="GK27" s="304">
        <v>188.904</v>
      </c>
      <c r="GL27" s="304">
        <v>192.63</v>
      </c>
      <c r="GM27" s="304">
        <v>200.988</v>
      </c>
      <c r="GN27" s="304">
        <v>199.00200000000001</v>
      </c>
      <c r="GO27" s="304">
        <v>170.01</v>
      </c>
      <c r="GP27" s="304">
        <v>205.42200000000003</v>
      </c>
      <c r="GQ27" s="304">
        <v>222.63600000000002</v>
      </c>
      <c r="GR27" s="304">
        <v>233.67599999999999</v>
      </c>
      <c r="GS27" s="304">
        <v>240.32999999999998</v>
      </c>
      <c r="GT27" s="304">
        <v>231.18599999999998</v>
      </c>
      <c r="GU27" s="304">
        <v>254.232</v>
      </c>
      <c r="GV27" s="304">
        <v>269.03399999999999</v>
      </c>
      <c r="GW27" s="304">
        <v>255.32999999999998</v>
      </c>
      <c r="GX27" s="304">
        <v>277.16399999999999</v>
      </c>
      <c r="GY27" s="304">
        <v>262.75200000000001</v>
      </c>
      <c r="GZ27" s="304">
        <v>268.99799999999999</v>
      </c>
      <c r="HA27" s="304">
        <v>204.03000000000003</v>
      </c>
      <c r="HB27" s="304">
        <v>219.12</v>
      </c>
      <c r="HC27" s="304">
        <v>213.43200000000002</v>
      </c>
      <c r="HD27" s="304">
        <v>199.81799999999998</v>
      </c>
      <c r="HE27" s="304">
        <v>186.846</v>
      </c>
      <c r="HF27" s="304">
        <v>186.32399999999998</v>
      </c>
      <c r="HG27" s="304">
        <v>220.97399999999999</v>
      </c>
      <c r="HH27" s="304">
        <v>207.13800000000003</v>
      </c>
      <c r="HI27" s="304">
        <v>183.816</v>
      </c>
      <c r="HJ27" s="304">
        <v>207.096</v>
      </c>
      <c r="HK27" s="304">
        <v>192.35399999999998</v>
      </c>
      <c r="HL27" s="304">
        <v>224.262</v>
      </c>
      <c r="HM27" s="304">
        <v>210.42599999999999</v>
      </c>
      <c r="HN27" s="304">
        <v>180.90600000000001</v>
      </c>
      <c r="HO27" s="304">
        <v>135.43199999999999</v>
      </c>
      <c r="HP27" s="304">
        <v>165.27</v>
      </c>
      <c r="HQ27" s="304">
        <v>236.59200000000001</v>
      </c>
      <c r="HR27" s="304">
        <v>187.548</v>
      </c>
      <c r="HS27" s="304">
        <v>244.66200000000001</v>
      </c>
      <c r="HT27" s="304">
        <v>260.64600000000002</v>
      </c>
      <c r="HU27" s="304">
        <v>204.23400000000001</v>
      </c>
      <c r="HV27" s="304">
        <v>167.83199999999999</v>
      </c>
      <c r="HW27" s="304">
        <v>172.61399999999998</v>
      </c>
      <c r="HX27" s="304">
        <v>191.256</v>
      </c>
      <c r="HY27" s="304">
        <v>170.44800000000001</v>
      </c>
      <c r="HZ27" s="304">
        <v>193.68599999999998</v>
      </c>
      <c r="IA27" s="304">
        <v>251.57400000000001</v>
      </c>
      <c r="IB27" s="304">
        <v>162.29399999999998</v>
      </c>
      <c r="IC27" s="304">
        <v>154.05000000000001</v>
      </c>
      <c r="ID27" s="304">
        <v>155.934</v>
      </c>
      <c r="IE27" s="304">
        <v>176.892</v>
      </c>
      <c r="IF27" s="304">
        <v>165.15600000000001</v>
      </c>
      <c r="IG27" s="304">
        <v>110.31</v>
      </c>
      <c r="IH27" s="304">
        <v>157.05599999999998</v>
      </c>
      <c r="II27" s="304">
        <v>182.91</v>
      </c>
      <c r="IJ27" s="304">
        <v>168.58799999999999</v>
      </c>
      <c r="IK27" s="304">
        <v>150.46200000000002</v>
      </c>
      <c r="IL27" s="304">
        <v>136.524</v>
      </c>
      <c r="IM27" s="304">
        <v>106.93199999999999</v>
      </c>
      <c r="IN27" s="12">
        <v>121.07399999999998</v>
      </c>
      <c r="IO27" s="12">
        <v>131.56200000000001</v>
      </c>
      <c r="IP27" s="12">
        <v>156.51599999999999</v>
      </c>
      <c r="IQ27" s="12">
        <v>172.95</v>
      </c>
      <c r="IR27" s="12">
        <v>176.922</v>
      </c>
      <c r="IS27" s="12">
        <v>166.63200000000001</v>
      </c>
      <c r="IT27" s="12">
        <v>187.89000000000001</v>
      </c>
      <c r="IU27" s="12">
        <v>207.27600000000001</v>
      </c>
      <c r="IV27" s="12">
        <v>251.67599999999999</v>
      </c>
      <c r="IW27" s="12">
        <v>328.40199999999999</v>
      </c>
      <c r="IX27" s="12">
        <v>338.61200000000002</v>
      </c>
      <c r="IY27" s="12">
        <v>328.80599999999998</v>
      </c>
      <c r="IZ27" s="12">
        <v>388.91800000000001</v>
      </c>
      <c r="JA27" s="12">
        <v>385.14800000000002</v>
      </c>
      <c r="JB27" s="12">
        <v>368.084</v>
      </c>
      <c r="JC27" s="12">
        <v>349.99599999999998</v>
      </c>
      <c r="JD27" s="12">
        <v>400.05200000000002</v>
      </c>
      <c r="JE27" s="12">
        <v>451.56400000000002</v>
      </c>
      <c r="JF27" s="12">
        <v>445.52199999999999</v>
      </c>
      <c r="JG27" s="12">
        <v>461.23200000000003</v>
      </c>
      <c r="JH27" s="12">
        <v>448.226</v>
      </c>
      <c r="JI27" s="12">
        <v>467.38799999999998</v>
      </c>
      <c r="JJ27" s="12">
        <v>453.94600000000003</v>
      </c>
      <c r="JK27" s="336">
        <v>421.82400000000001</v>
      </c>
    </row>
    <row r="28" spans="1:271" x14ac:dyDescent="0.25">
      <c r="A28" s="303" t="s">
        <v>160</v>
      </c>
      <c r="B28" s="301">
        <v>158.74799999999999</v>
      </c>
      <c r="C28" s="301">
        <v>192</v>
      </c>
      <c r="D28" s="301">
        <v>194.86199999999997</v>
      </c>
      <c r="E28" s="301">
        <v>163.84800000000001</v>
      </c>
      <c r="F28" s="301">
        <v>195.798</v>
      </c>
      <c r="G28" s="301">
        <v>248.82599999999996</v>
      </c>
      <c r="H28" s="301">
        <v>220.07400000000001</v>
      </c>
      <c r="I28" s="301">
        <v>244.22399999999999</v>
      </c>
      <c r="J28" s="301">
        <v>253.20600000000002</v>
      </c>
      <c r="K28" s="301">
        <v>227.69399999999999</v>
      </c>
      <c r="L28" s="301">
        <v>259.72799999999995</v>
      </c>
      <c r="M28" s="301">
        <v>210.45000000000002</v>
      </c>
      <c r="N28" s="301">
        <v>258.666</v>
      </c>
      <c r="O28" s="301">
        <v>254.32799999999997</v>
      </c>
      <c r="P28" s="301">
        <v>213.36599999999999</v>
      </c>
      <c r="Q28" s="301">
        <v>72.366</v>
      </c>
      <c r="R28" s="301">
        <v>75.989999999999995</v>
      </c>
      <c r="S28" s="301">
        <v>62.070000000000007</v>
      </c>
      <c r="T28" s="301">
        <v>63.503999999999998</v>
      </c>
      <c r="U28" s="301">
        <v>57.09</v>
      </c>
      <c r="V28" s="301">
        <v>67.86</v>
      </c>
      <c r="W28" s="301">
        <v>80.585999999999999</v>
      </c>
      <c r="X28" s="301">
        <v>87.204000000000008</v>
      </c>
      <c r="Y28" s="301">
        <v>70.542000000000002</v>
      </c>
      <c r="Z28" s="301">
        <v>72.492000000000004</v>
      </c>
      <c r="AA28" s="301">
        <v>81.635999999999996</v>
      </c>
      <c r="AB28" s="301">
        <v>78.635999999999996</v>
      </c>
      <c r="AC28" s="301">
        <v>70.56</v>
      </c>
      <c r="AD28" s="301">
        <v>84.51</v>
      </c>
      <c r="AE28" s="301">
        <v>65.153999999999996</v>
      </c>
      <c r="AF28" s="301">
        <v>76.506</v>
      </c>
      <c r="AG28" s="301">
        <v>78.75</v>
      </c>
      <c r="AH28" s="301">
        <v>93.402000000000001</v>
      </c>
      <c r="AI28" s="301">
        <v>74.664000000000001</v>
      </c>
      <c r="AJ28" s="301">
        <v>73.902000000000001</v>
      </c>
      <c r="AK28" s="301">
        <v>67.248000000000005</v>
      </c>
      <c r="AL28" s="301">
        <v>65.64</v>
      </c>
      <c r="AM28" s="301">
        <v>45.186</v>
      </c>
      <c r="AN28" s="301">
        <v>64.248000000000005</v>
      </c>
      <c r="AO28" s="301">
        <v>65.262</v>
      </c>
      <c r="AP28" s="301">
        <v>77.460000000000008</v>
      </c>
      <c r="AQ28" s="301">
        <v>77.262</v>
      </c>
      <c r="AR28" s="301">
        <v>88.65</v>
      </c>
      <c r="AS28" s="301">
        <v>71.51400000000001</v>
      </c>
      <c r="AT28" s="301">
        <v>96.744</v>
      </c>
      <c r="AU28" s="301">
        <v>91.253999999999991</v>
      </c>
      <c r="AV28" s="301">
        <v>103.33799999999999</v>
      </c>
      <c r="AW28" s="301">
        <v>100.27199999999999</v>
      </c>
      <c r="AX28" s="301">
        <v>89.418000000000006</v>
      </c>
      <c r="AY28" s="301">
        <v>93.474000000000004</v>
      </c>
      <c r="AZ28" s="301">
        <v>82.949999999999989</v>
      </c>
      <c r="BA28" s="301">
        <v>81.462000000000003</v>
      </c>
      <c r="BB28" s="301">
        <v>104.36399999999999</v>
      </c>
      <c r="BC28" s="301">
        <v>96.311999999999998</v>
      </c>
      <c r="BD28" s="301">
        <v>107.898</v>
      </c>
      <c r="BE28" s="301">
        <v>113.562</v>
      </c>
      <c r="BF28" s="301">
        <v>115.512</v>
      </c>
      <c r="BG28" s="301">
        <v>127.71600000000001</v>
      </c>
      <c r="BH28" s="301">
        <v>135.66</v>
      </c>
      <c r="BI28" s="301">
        <v>94.061999999999998</v>
      </c>
      <c r="BJ28" s="301">
        <v>86.784000000000006</v>
      </c>
      <c r="BK28" s="301">
        <v>122.238</v>
      </c>
      <c r="BL28" s="301">
        <v>111.312</v>
      </c>
      <c r="BM28" s="301">
        <v>96.984000000000009</v>
      </c>
      <c r="BN28" s="301">
        <v>104.85000000000001</v>
      </c>
      <c r="BO28" s="301">
        <v>116.22</v>
      </c>
      <c r="BP28" s="301">
        <v>145.93799999999999</v>
      </c>
      <c r="BQ28" s="301">
        <v>135.22199999999998</v>
      </c>
      <c r="BR28" s="301">
        <v>144.51</v>
      </c>
      <c r="BS28" s="301">
        <v>186.60000000000002</v>
      </c>
      <c r="BT28" s="301">
        <v>188.50799999999998</v>
      </c>
      <c r="BU28" s="301">
        <v>156.24</v>
      </c>
      <c r="BV28" s="301">
        <v>145.64999999999998</v>
      </c>
      <c r="BW28" s="301">
        <v>159.744</v>
      </c>
      <c r="BX28" s="301">
        <v>163.608</v>
      </c>
      <c r="BY28" s="301">
        <v>161.75399999999999</v>
      </c>
      <c r="BZ28" s="301">
        <v>196.25400000000002</v>
      </c>
      <c r="CA28" s="301">
        <v>218.39999999999998</v>
      </c>
      <c r="CB28" s="301">
        <v>214.35000000000002</v>
      </c>
      <c r="CC28" s="301">
        <v>193.19399999999999</v>
      </c>
      <c r="CD28" s="301">
        <v>200.31600000000003</v>
      </c>
      <c r="CE28" s="301">
        <v>211.18799999999999</v>
      </c>
      <c r="CF28" s="301">
        <v>219.95400000000001</v>
      </c>
      <c r="CG28" s="301">
        <v>173.988</v>
      </c>
      <c r="CH28" s="301">
        <v>197.56200000000001</v>
      </c>
      <c r="CI28" s="301">
        <v>194.904</v>
      </c>
      <c r="CJ28" s="301">
        <v>219.666</v>
      </c>
      <c r="CK28" s="301">
        <v>256.87800000000004</v>
      </c>
      <c r="CL28" s="301">
        <v>271.11</v>
      </c>
      <c r="CM28" s="301">
        <v>264.20400000000001</v>
      </c>
      <c r="CN28" s="301">
        <v>242.196</v>
      </c>
      <c r="CO28" s="301">
        <v>215.17200000000003</v>
      </c>
      <c r="CP28" s="301">
        <v>242.86199999999997</v>
      </c>
      <c r="CQ28" s="301">
        <v>265.06200000000001</v>
      </c>
      <c r="CR28" s="301">
        <v>241.11599999999999</v>
      </c>
      <c r="CS28" s="301">
        <v>199.86</v>
      </c>
      <c r="CT28" s="301">
        <v>224.37</v>
      </c>
      <c r="CU28" s="301">
        <v>221.39400000000001</v>
      </c>
      <c r="CV28" s="301">
        <v>244.518</v>
      </c>
      <c r="CW28" s="301">
        <v>242.53800000000001</v>
      </c>
      <c r="CX28" s="301">
        <v>258.99</v>
      </c>
      <c r="CY28" s="301">
        <v>226.84200000000001</v>
      </c>
      <c r="CZ28" s="301">
        <v>203.58599999999998</v>
      </c>
      <c r="DA28" s="301">
        <v>186.19800000000001</v>
      </c>
      <c r="DB28" s="301">
        <v>186.98400000000001</v>
      </c>
      <c r="DC28" s="301">
        <v>197.196</v>
      </c>
      <c r="DD28" s="301">
        <v>206.82599999999996</v>
      </c>
      <c r="DE28" s="301">
        <v>174.41399999999999</v>
      </c>
      <c r="DF28" s="301">
        <v>214.07999999999998</v>
      </c>
      <c r="DG28" s="301">
        <v>244.11599999999999</v>
      </c>
      <c r="DH28" s="301">
        <v>232.73400000000001</v>
      </c>
      <c r="DI28" s="301">
        <v>207.702</v>
      </c>
      <c r="DJ28" s="301">
        <v>252.43200000000002</v>
      </c>
      <c r="DK28" s="301">
        <v>277.01400000000001</v>
      </c>
      <c r="DL28" s="301">
        <v>279.99599999999998</v>
      </c>
      <c r="DM28" s="301">
        <v>276.06600000000003</v>
      </c>
      <c r="DN28" s="301">
        <v>274.08600000000001</v>
      </c>
      <c r="DO28" s="301">
        <v>231.38400000000001</v>
      </c>
      <c r="DP28" s="301">
        <v>240.126</v>
      </c>
      <c r="DQ28" s="301">
        <v>211.31400000000002</v>
      </c>
      <c r="DR28" s="301">
        <v>212.07599999999996</v>
      </c>
      <c r="DS28" s="301">
        <v>220.72199999999998</v>
      </c>
      <c r="DT28" s="301">
        <v>244.596</v>
      </c>
      <c r="DU28" s="301">
        <v>228.03000000000003</v>
      </c>
      <c r="DV28" s="301">
        <v>225.16200000000001</v>
      </c>
      <c r="DW28" s="301">
        <v>259.60200000000003</v>
      </c>
      <c r="DX28" s="301">
        <v>269.84399999999999</v>
      </c>
      <c r="DY28" s="301">
        <v>331.86</v>
      </c>
      <c r="DZ28" s="301">
        <v>344.178</v>
      </c>
      <c r="EA28" s="301">
        <v>365.52</v>
      </c>
      <c r="EB28" s="301">
        <v>372.14400000000001</v>
      </c>
      <c r="EC28" s="301">
        <v>317.20800000000003</v>
      </c>
      <c r="ED28" s="301">
        <v>304.92599999999999</v>
      </c>
      <c r="EE28" s="301">
        <v>336.14400000000001</v>
      </c>
      <c r="EF28" s="301">
        <v>359.262</v>
      </c>
      <c r="EG28" s="301">
        <v>346.60200000000003</v>
      </c>
      <c r="EH28" s="301">
        <v>366.73199999999997</v>
      </c>
      <c r="EI28" s="301">
        <v>321.89400000000001</v>
      </c>
      <c r="EJ28" s="301">
        <v>275.68200000000002</v>
      </c>
      <c r="EK28" s="301">
        <v>299.08199999999999</v>
      </c>
      <c r="EL28" s="301">
        <v>332.65199999999999</v>
      </c>
      <c r="EM28" s="301">
        <v>347.94600000000003</v>
      </c>
      <c r="EN28" s="301">
        <v>377.53199999999998</v>
      </c>
      <c r="EO28" s="301">
        <v>269.38200000000001</v>
      </c>
      <c r="EP28" s="301">
        <v>327.43200000000002</v>
      </c>
      <c r="EQ28" s="301">
        <v>315.36</v>
      </c>
      <c r="ER28" s="301">
        <v>372.54599999999999</v>
      </c>
      <c r="ES28" s="301">
        <v>364.5</v>
      </c>
      <c r="ET28" s="301">
        <v>364.75200000000001</v>
      </c>
      <c r="EU28" s="301">
        <v>346.69200000000001</v>
      </c>
      <c r="EV28" s="301">
        <v>338.58</v>
      </c>
      <c r="EW28" s="301">
        <v>334.80600000000004</v>
      </c>
      <c r="EX28" s="301">
        <v>366.12599999999998</v>
      </c>
      <c r="EY28" s="301">
        <v>360.702</v>
      </c>
      <c r="EZ28" s="301">
        <v>369.024</v>
      </c>
      <c r="FA28" s="301">
        <v>280.35599999999999</v>
      </c>
      <c r="FB28" s="301">
        <v>306.33600000000001</v>
      </c>
      <c r="FC28" s="301">
        <v>292.536</v>
      </c>
      <c r="FD28" s="301">
        <v>304.51800000000003</v>
      </c>
      <c r="FE28" s="301">
        <v>297.25200000000001</v>
      </c>
      <c r="FF28" s="301">
        <v>292.57799999999997</v>
      </c>
      <c r="FG28" s="301">
        <v>290.35200000000003</v>
      </c>
      <c r="FH28" s="301">
        <v>348.678</v>
      </c>
      <c r="FI28" s="301">
        <v>312.57</v>
      </c>
      <c r="FJ28" s="301">
        <v>283.06799999999998</v>
      </c>
      <c r="FK28" s="301">
        <v>296.94600000000003</v>
      </c>
      <c r="FL28" s="301">
        <v>283.66200000000003</v>
      </c>
      <c r="FM28" s="301">
        <v>217.20600000000002</v>
      </c>
      <c r="FN28" s="301">
        <v>207.84</v>
      </c>
      <c r="FO28" s="301">
        <v>206.43599999999998</v>
      </c>
      <c r="FP28" s="301">
        <v>223.78199999999998</v>
      </c>
      <c r="FQ28" s="301">
        <v>219.012</v>
      </c>
      <c r="FR28" s="301">
        <v>184.434</v>
      </c>
      <c r="FS28" s="301">
        <v>172.75799999999998</v>
      </c>
      <c r="FT28" s="301">
        <v>159.63</v>
      </c>
      <c r="FU28" s="301">
        <v>166.524</v>
      </c>
      <c r="FV28" s="301">
        <v>172.584</v>
      </c>
      <c r="FW28" s="301">
        <v>172.68</v>
      </c>
      <c r="FX28" s="301">
        <v>185.39400000000001</v>
      </c>
      <c r="FY28" s="301">
        <v>155.39400000000001</v>
      </c>
      <c r="FZ28" s="301">
        <v>147.18599999999998</v>
      </c>
      <c r="GA28" s="301">
        <v>179.79</v>
      </c>
      <c r="GB28" s="301">
        <v>198.46800000000002</v>
      </c>
      <c r="GC28" s="301">
        <v>225.012</v>
      </c>
      <c r="GD28" s="301">
        <v>234.49799999999999</v>
      </c>
      <c r="GE28" s="301">
        <v>284.12400000000002</v>
      </c>
      <c r="GF28" s="301">
        <v>254.58599999999998</v>
      </c>
      <c r="GG28" s="301">
        <v>271.88400000000001</v>
      </c>
      <c r="GH28" s="301">
        <v>280.36799999999999</v>
      </c>
      <c r="GI28" s="301">
        <v>288.51</v>
      </c>
      <c r="GJ28" s="301">
        <v>315.42</v>
      </c>
      <c r="GK28" s="301">
        <v>276.096</v>
      </c>
      <c r="GL28" s="301">
        <v>298.13400000000001</v>
      </c>
      <c r="GM28" s="301">
        <v>308.37599999999998</v>
      </c>
      <c r="GN28" s="301">
        <v>332.01599999999996</v>
      </c>
      <c r="GO28" s="301">
        <v>218.68799999999999</v>
      </c>
      <c r="GP28" s="301">
        <v>303.90600000000001</v>
      </c>
      <c r="GQ28" s="301">
        <v>264.91800000000001</v>
      </c>
      <c r="GR28" s="301">
        <v>204.738</v>
      </c>
      <c r="GS28" s="301">
        <v>213.37800000000001</v>
      </c>
      <c r="GT28" s="301">
        <v>203.56799999999998</v>
      </c>
      <c r="GU28" s="301">
        <v>336.822</v>
      </c>
      <c r="GV28" s="301">
        <v>370.428</v>
      </c>
      <c r="GW28" s="301">
        <v>257.20800000000003</v>
      </c>
      <c r="GX28" s="301">
        <v>221.46600000000001</v>
      </c>
      <c r="GY28" s="301">
        <v>264.89999999999998</v>
      </c>
      <c r="GZ28" s="301">
        <v>273.24</v>
      </c>
      <c r="HA28" s="301">
        <v>234.14999999999998</v>
      </c>
      <c r="HB28" s="301">
        <v>309.69600000000003</v>
      </c>
      <c r="HC28" s="301">
        <v>272.42400000000004</v>
      </c>
      <c r="HD28" s="301">
        <v>263.95800000000003</v>
      </c>
      <c r="HE28" s="301">
        <v>322.96800000000002</v>
      </c>
      <c r="HF28" s="301">
        <v>363.81</v>
      </c>
      <c r="HG28" s="301">
        <v>373.84199999999998</v>
      </c>
      <c r="HH28" s="301">
        <v>321.03000000000003</v>
      </c>
      <c r="HI28" s="301">
        <v>219.53399999999999</v>
      </c>
      <c r="HJ28" s="301">
        <v>268.584</v>
      </c>
      <c r="HK28" s="301">
        <v>228.07799999999997</v>
      </c>
      <c r="HL28" s="301">
        <v>199.29599999999999</v>
      </c>
      <c r="HM28" s="301">
        <v>197.19</v>
      </c>
      <c r="HN28" s="301">
        <v>237.45600000000002</v>
      </c>
      <c r="HO28" s="301">
        <v>235.32599999999996</v>
      </c>
      <c r="HP28" s="333">
        <v>286.49400000000003</v>
      </c>
      <c r="HQ28" s="333">
        <v>249.38400000000001</v>
      </c>
      <c r="HR28" s="333">
        <v>233.166</v>
      </c>
      <c r="HS28" s="333">
        <v>255.99</v>
      </c>
      <c r="HT28" s="333">
        <v>248.13</v>
      </c>
      <c r="HU28" s="333">
        <v>191.916</v>
      </c>
      <c r="HV28" s="301">
        <v>226.68599999999998</v>
      </c>
      <c r="HW28" s="301">
        <v>259.39799999999997</v>
      </c>
      <c r="HX28" s="301">
        <v>267.52200000000005</v>
      </c>
      <c r="HY28" s="301">
        <v>232.03800000000001</v>
      </c>
      <c r="HZ28" s="301">
        <v>180.91200000000001</v>
      </c>
      <c r="IA28" s="301">
        <v>211.374</v>
      </c>
      <c r="IB28" s="301">
        <v>216.25200000000001</v>
      </c>
      <c r="IC28" s="301">
        <v>213.738</v>
      </c>
      <c r="ID28" s="301">
        <v>212.35200000000003</v>
      </c>
      <c r="IE28" s="301">
        <v>215.61599999999999</v>
      </c>
      <c r="IF28" s="301">
        <v>199.09800000000001</v>
      </c>
      <c r="IG28" s="301">
        <v>171.756</v>
      </c>
      <c r="IH28" s="301">
        <v>172.596</v>
      </c>
      <c r="II28" s="301">
        <v>198.74400000000003</v>
      </c>
      <c r="IJ28" s="301">
        <v>236.142</v>
      </c>
      <c r="IK28" s="301">
        <v>234.29399999999998</v>
      </c>
      <c r="IL28" s="301">
        <v>245.39999999999998</v>
      </c>
      <c r="IM28" s="301">
        <v>228.126</v>
      </c>
      <c r="IN28" s="333">
        <v>247.23600000000002</v>
      </c>
      <c r="IO28" s="333">
        <v>239.13</v>
      </c>
      <c r="IP28" s="333">
        <v>282.18599999999998</v>
      </c>
      <c r="IQ28" s="333">
        <v>303.91800000000001</v>
      </c>
      <c r="IR28" s="333">
        <v>310.66800000000001</v>
      </c>
      <c r="IS28" s="333">
        <v>229.00200000000001</v>
      </c>
      <c r="IT28" s="333">
        <v>246.94199999999998</v>
      </c>
      <c r="IU28" s="333">
        <v>273</v>
      </c>
      <c r="IV28" s="333">
        <v>293.86799999999999</v>
      </c>
      <c r="IW28" s="334">
        <v>208.322</v>
      </c>
      <c r="IX28" s="334">
        <v>201.83600000000001</v>
      </c>
      <c r="IY28" s="334">
        <v>225.44800000000001</v>
      </c>
      <c r="IZ28" s="334">
        <v>229.328</v>
      </c>
      <c r="JA28" s="334">
        <v>555.71400000000006</v>
      </c>
      <c r="JB28" s="334">
        <v>296.65600000000001</v>
      </c>
      <c r="JC28" s="334">
        <v>243.86</v>
      </c>
      <c r="JD28" s="334">
        <v>250.93600000000001</v>
      </c>
      <c r="JE28" s="334">
        <v>252.846</v>
      </c>
      <c r="JF28" s="334">
        <v>255.244</v>
      </c>
      <c r="JG28" s="334">
        <v>200.816</v>
      </c>
      <c r="JH28" s="334">
        <v>176.81800000000001</v>
      </c>
      <c r="JI28" s="334">
        <v>215.81399999999999</v>
      </c>
      <c r="JJ28" s="334">
        <v>223.624</v>
      </c>
      <c r="JK28" s="335">
        <v>237.376</v>
      </c>
    </row>
    <row r="29" spans="1:271" x14ac:dyDescent="0.25">
      <c r="A29" s="303" t="s">
        <v>67</v>
      </c>
      <c r="B29" s="304">
        <v>698.26199999999994</v>
      </c>
      <c r="C29" s="304">
        <v>683.46600000000001</v>
      </c>
      <c r="D29" s="304">
        <v>722.91</v>
      </c>
      <c r="E29" s="304">
        <v>692.23199999999997</v>
      </c>
      <c r="F29" s="304">
        <v>705.22799999999995</v>
      </c>
      <c r="G29" s="304">
        <v>715.68600000000004</v>
      </c>
      <c r="H29" s="304">
        <v>777.08400000000006</v>
      </c>
      <c r="I29" s="304">
        <v>744.37800000000004</v>
      </c>
      <c r="J29" s="304">
        <v>694.29</v>
      </c>
      <c r="K29" s="304">
        <v>678.86400000000003</v>
      </c>
      <c r="L29" s="304">
        <v>669.70799999999997</v>
      </c>
      <c r="M29" s="304">
        <v>594.51599999999996</v>
      </c>
      <c r="N29" s="304">
        <v>641.7059999999999</v>
      </c>
      <c r="O29" s="304">
        <v>511.64400000000001</v>
      </c>
      <c r="P29" s="304">
        <v>689.43600000000004</v>
      </c>
      <c r="Q29" s="304">
        <v>619.06200000000001</v>
      </c>
      <c r="R29" s="304">
        <v>704.68799999999999</v>
      </c>
      <c r="S29" s="304">
        <v>676.74599999999998</v>
      </c>
      <c r="T29" s="304">
        <v>645.68399999999997</v>
      </c>
      <c r="U29" s="304">
        <v>725.322</v>
      </c>
      <c r="V29" s="304">
        <v>724.86</v>
      </c>
      <c r="W29" s="304">
        <v>806.86800000000005</v>
      </c>
      <c r="X29" s="304">
        <v>825.82799999999997</v>
      </c>
      <c r="Y29" s="304">
        <v>877.15800000000013</v>
      </c>
      <c r="Z29" s="304">
        <v>860.68200000000002</v>
      </c>
      <c r="AA29" s="304">
        <v>828.92399999999998</v>
      </c>
      <c r="AB29" s="304">
        <v>861.93000000000006</v>
      </c>
      <c r="AC29" s="304">
        <v>871.08600000000001</v>
      </c>
      <c r="AD29" s="304">
        <v>896.14200000000005</v>
      </c>
      <c r="AE29" s="304">
        <v>939.73200000000008</v>
      </c>
      <c r="AF29" s="304">
        <v>827.96399999999994</v>
      </c>
      <c r="AG29" s="304">
        <v>886.74</v>
      </c>
      <c r="AH29" s="304">
        <v>884.78399999999999</v>
      </c>
      <c r="AI29" s="304">
        <v>836.73599999999988</v>
      </c>
      <c r="AJ29" s="304">
        <v>692.74199999999996</v>
      </c>
      <c r="AK29" s="304">
        <v>571.06200000000001</v>
      </c>
      <c r="AL29" s="304">
        <v>621.37199999999996</v>
      </c>
      <c r="AM29" s="304">
        <v>617.44799999999998</v>
      </c>
      <c r="AN29" s="304">
        <v>629.67599999999993</v>
      </c>
      <c r="AO29" s="304">
        <v>594.43200000000002</v>
      </c>
      <c r="AP29" s="304">
        <v>666.24599999999998</v>
      </c>
      <c r="AQ29" s="304">
        <v>675.10199999999998</v>
      </c>
      <c r="AR29" s="304">
        <v>731.81399999999996</v>
      </c>
      <c r="AS29" s="304">
        <v>923.77199999999993</v>
      </c>
      <c r="AT29" s="304">
        <v>862.63199999999995</v>
      </c>
      <c r="AU29" s="304">
        <v>950.7059999999999</v>
      </c>
      <c r="AV29" s="304">
        <v>989.35199999999998</v>
      </c>
      <c r="AW29" s="304">
        <v>840.59399999999994</v>
      </c>
      <c r="AX29" s="304">
        <v>815.81999999999994</v>
      </c>
      <c r="AY29" s="304">
        <v>880.09799999999996</v>
      </c>
      <c r="AZ29" s="304">
        <v>943.45799999999997</v>
      </c>
      <c r="BA29" s="304">
        <v>861.13799999999992</v>
      </c>
      <c r="BB29" s="304">
        <v>957.83999999999992</v>
      </c>
      <c r="BC29" s="304">
        <v>885.92399999999998</v>
      </c>
      <c r="BD29" s="304">
        <v>1065.444</v>
      </c>
      <c r="BE29" s="304">
        <v>1114.068</v>
      </c>
      <c r="BF29" s="304">
        <v>1084.548</v>
      </c>
      <c r="BG29" s="304">
        <v>1410.258</v>
      </c>
      <c r="BH29" s="304">
        <v>1259.058</v>
      </c>
      <c r="BI29" s="304">
        <v>1160.3700000000001</v>
      </c>
      <c r="BJ29" s="304">
        <v>1262.9580000000001</v>
      </c>
      <c r="BK29" s="304">
        <v>1157.1179999999999</v>
      </c>
      <c r="BL29" s="304">
        <v>1254.6480000000001</v>
      </c>
      <c r="BM29" s="304">
        <v>1167.93</v>
      </c>
      <c r="BN29" s="304">
        <v>1143.6659999999999</v>
      </c>
      <c r="BO29" s="304">
        <v>1277.4000000000001</v>
      </c>
      <c r="BP29" s="304">
        <v>1278.9659999999999</v>
      </c>
      <c r="BQ29" s="304">
        <v>1365.204</v>
      </c>
      <c r="BR29" s="304">
        <v>1420.7640000000001</v>
      </c>
      <c r="BS29" s="304">
        <v>1517.49</v>
      </c>
      <c r="BT29" s="304">
        <v>1627.9499999999998</v>
      </c>
      <c r="BU29" s="304">
        <v>1503.5219999999999</v>
      </c>
      <c r="BV29" s="304">
        <v>1576.3139999999999</v>
      </c>
      <c r="BW29" s="304">
        <v>1607.3040000000001</v>
      </c>
      <c r="BX29" s="304">
        <v>1759.3920000000003</v>
      </c>
      <c r="BY29" s="304">
        <v>1486.3320000000001</v>
      </c>
      <c r="BZ29" s="304">
        <v>1505.4780000000001</v>
      </c>
      <c r="CA29" s="304">
        <v>1338.1379999999999</v>
      </c>
      <c r="CB29" s="304">
        <v>1323.96</v>
      </c>
      <c r="CC29" s="304">
        <v>1481.7240000000002</v>
      </c>
      <c r="CD29" s="304">
        <v>1359.7919999999999</v>
      </c>
      <c r="CE29" s="304">
        <v>1518.9</v>
      </c>
      <c r="CF29" s="304">
        <v>1503.954</v>
      </c>
      <c r="CG29" s="304">
        <v>1268.52</v>
      </c>
      <c r="CH29" s="304">
        <v>1270.77</v>
      </c>
      <c r="CI29" s="304">
        <v>1370.472</v>
      </c>
      <c r="CJ29" s="304">
        <v>1467.09</v>
      </c>
      <c r="CK29" s="304">
        <v>1418.934</v>
      </c>
      <c r="CL29" s="304">
        <v>1479.6420000000001</v>
      </c>
      <c r="CM29" s="304">
        <v>1447.6320000000001</v>
      </c>
      <c r="CN29" s="304">
        <v>1529.694</v>
      </c>
      <c r="CO29" s="304">
        <v>943.05599999999993</v>
      </c>
      <c r="CP29" s="304">
        <v>1193.4360000000001</v>
      </c>
      <c r="CQ29" s="304">
        <v>1257.672</v>
      </c>
      <c r="CR29" s="304">
        <v>1118.598</v>
      </c>
      <c r="CS29" s="304">
        <v>996.13199999999995</v>
      </c>
      <c r="CT29" s="304">
        <v>687.31200000000001</v>
      </c>
      <c r="CU29" s="304">
        <v>473.44200000000001</v>
      </c>
      <c r="CV29" s="304">
        <v>532.63799999999992</v>
      </c>
      <c r="CW29" s="304">
        <v>523.63799999999992</v>
      </c>
      <c r="CX29" s="304">
        <v>617.02200000000005</v>
      </c>
      <c r="CY29" s="304">
        <v>638.05200000000002</v>
      </c>
      <c r="CZ29" s="304">
        <v>612.90599999999995</v>
      </c>
      <c r="DA29" s="304">
        <v>598.39800000000002</v>
      </c>
      <c r="DB29" s="304">
        <v>626.56200000000001</v>
      </c>
      <c r="DC29" s="304">
        <v>660.32400000000007</v>
      </c>
      <c r="DD29" s="304">
        <v>634.65000000000009</v>
      </c>
      <c r="DE29" s="304">
        <v>701.84400000000005</v>
      </c>
      <c r="DF29" s="304">
        <v>766.548</v>
      </c>
      <c r="DG29" s="304">
        <v>883.572</v>
      </c>
      <c r="DH29" s="304">
        <v>1061.904</v>
      </c>
      <c r="DI29" s="304">
        <v>1091.646</v>
      </c>
      <c r="DJ29" s="304">
        <v>1146.9839999999999</v>
      </c>
      <c r="DK29" s="304">
        <v>1100.4960000000001</v>
      </c>
      <c r="DL29" s="304">
        <v>1123.3920000000001</v>
      </c>
      <c r="DM29" s="304">
        <v>1067.616</v>
      </c>
      <c r="DN29" s="304">
        <v>1085.4179999999999</v>
      </c>
      <c r="DO29" s="304">
        <v>1032.864</v>
      </c>
      <c r="DP29" s="304">
        <v>955.15200000000004</v>
      </c>
      <c r="DQ29" s="304">
        <v>993.98399999999992</v>
      </c>
      <c r="DR29" s="304">
        <v>837.654</v>
      </c>
      <c r="DS29" s="304">
        <v>788.17200000000003</v>
      </c>
      <c r="DT29" s="304">
        <v>1334.1179999999999</v>
      </c>
      <c r="DU29" s="304">
        <v>1208.616</v>
      </c>
      <c r="DV29" s="304">
        <v>1220.3340000000001</v>
      </c>
      <c r="DW29" s="304">
        <v>1247.0940000000001</v>
      </c>
      <c r="DX29" s="304">
        <v>1212.8220000000001</v>
      </c>
      <c r="DY29" s="304">
        <v>1299.5520000000001</v>
      </c>
      <c r="DZ29" s="304">
        <v>1237.164</v>
      </c>
      <c r="EA29" s="304">
        <v>1364.0639999999999</v>
      </c>
      <c r="EB29" s="304">
        <v>1501.8419999999999</v>
      </c>
      <c r="EC29" s="304">
        <v>1421.5740000000001</v>
      </c>
      <c r="ED29" s="304">
        <v>1525.4760000000001</v>
      </c>
      <c r="EE29" s="304">
        <v>1517.1179999999999</v>
      </c>
      <c r="EF29" s="304">
        <v>1546.296</v>
      </c>
      <c r="EG29" s="304">
        <v>1607.4119999999998</v>
      </c>
      <c r="EH29" s="304">
        <v>1569.4740000000002</v>
      </c>
      <c r="EI29" s="304">
        <v>1528.566</v>
      </c>
      <c r="EJ29" s="304">
        <v>1620.1860000000001</v>
      </c>
      <c r="EK29" s="304">
        <v>1665.8579999999997</v>
      </c>
      <c r="EL29" s="304">
        <v>1559.2979999999998</v>
      </c>
      <c r="EM29" s="304">
        <v>1393.1399999999999</v>
      </c>
      <c r="EN29" s="304">
        <v>1205.4780000000001</v>
      </c>
      <c r="EO29" s="304">
        <v>1121.0219999999999</v>
      </c>
      <c r="EP29" s="304">
        <v>1085.2560000000001</v>
      </c>
      <c r="EQ29" s="304">
        <v>1157.1600000000001</v>
      </c>
      <c r="ER29" s="304">
        <v>1308.5520000000001</v>
      </c>
      <c r="ES29" s="304">
        <v>1171.2840000000001</v>
      </c>
      <c r="ET29" s="304">
        <v>1258.17</v>
      </c>
      <c r="EU29" s="304">
        <v>1202.508</v>
      </c>
      <c r="EV29" s="304">
        <v>1272.6299999999999</v>
      </c>
      <c r="EW29" s="304">
        <v>1232.73</v>
      </c>
      <c r="EX29" s="304">
        <v>1110.528</v>
      </c>
      <c r="EY29" s="304">
        <v>1208.268</v>
      </c>
      <c r="EZ29" s="304">
        <v>1092.2940000000001</v>
      </c>
      <c r="FA29" s="304">
        <v>1140.9839999999999</v>
      </c>
      <c r="FB29" s="304">
        <v>1118.3820000000001</v>
      </c>
      <c r="FC29" s="304">
        <v>1192.8600000000001</v>
      </c>
      <c r="FD29" s="304">
        <v>1314.096</v>
      </c>
      <c r="FE29" s="304">
        <v>1105.5239999999999</v>
      </c>
      <c r="FF29" s="304">
        <v>1172.904</v>
      </c>
      <c r="FG29" s="304">
        <v>1028.9279999999999</v>
      </c>
      <c r="FH29" s="304">
        <v>1054.0740000000001</v>
      </c>
      <c r="FI29" s="304">
        <v>1229.7660000000001</v>
      </c>
      <c r="FJ29" s="304">
        <v>1193.8980000000001</v>
      </c>
      <c r="FK29" s="304">
        <v>1241.6999999999998</v>
      </c>
      <c r="FL29" s="304">
        <v>1293.0060000000001</v>
      </c>
      <c r="FM29" s="304">
        <v>1226.6279999999999</v>
      </c>
      <c r="FN29" s="304">
        <v>1228.4639999999999</v>
      </c>
      <c r="FO29" s="304">
        <v>1085.454</v>
      </c>
      <c r="FP29" s="304">
        <v>1156.6019999999999</v>
      </c>
      <c r="FQ29" s="304">
        <v>1109.886</v>
      </c>
      <c r="FR29" s="304">
        <v>1174.4279999999999</v>
      </c>
      <c r="FS29" s="304">
        <v>1031.9639999999999</v>
      </c>
      <c r="FT29" s="304">
        <v>1199.5440000000001</v>
      </c>
      <c r="FU29" s="304">
        <v>1095.81</v>
      </c>
      <c r="FV29" s="304">
        <v>1021.8419999999999</v>
      </c>
      <c r="FW29" s="304">
        <v>1081.3020000000001</v>
      </c>
      <c r="FX29" s="304">
        <v>985.87799999999993</v>
      </c>
      <c r="FY29" s="304">
        <v>975.90600000000006</v>
      </c>
      <c r="FZ29" s="304">
        <v>1050.5880000000002</v>
      </c>
      <c r="GA29" s="304">
        <v>987.50400000000002</v>
      </c>
      <c r="GB29" s="304">
        <v>1006.5120000000001</v>
      </c>
      <c r="GC29" s="304">
        <v>886.03199999999993</v>
      </c>
      <c r="GD29" s="304">
        <v>973.33800000000008</v>
      </c>
      <c r="GE29" s="304">
        <v>934.38599999999997</v>
      </c>
      <c r="GF29" s="304">
        <v>956.92200000000003</v>
      </c>
      <c r="GG29" s="304">
        <v>986.23200000000008</v>
      </c>
      <c r="GH29" s="304">
        <v>888.57600000000002</v>
      </c>
      <c r="GI29" s="304">
        <v>1022.0520000000001</v>
      </c>
      <c r="GJ29" s="304">
        <v>961.0619999999999</v>
      </c>
      <c r="GK29" s="304">
        <v>1037.6279999999999</v>
      </c>
      <c r="GL29" s="304">
        <v>1090.7940000000001</v>
      </c>
      <c r="GM29" s="304">
        <v>992.82600000000002</v>
      </c>
      <c r="GN29" s="304">
        <v>1154.2379999999998</v>
      </c>
      <c r="GO29" s="304">
        <v>1162.56</v>
      </c>
      <c r="GP29" s="304">
        <v>1111.68</v>
      </c>
      <c r="GQ29" s="304">
        <v>1169.3879999999999</v>
      </c>
      <c r="GR29" s="304">
        <v>1258.0319999999999</v>
      </c>
      <c r="GS29" s="304">
        <v>1332.4680000000001</v>
      </c>
      <c r="GT29" s="304">
        <v>1348.7159999999999</v>
      </c>
      <c r="GU29" s="304">
        <v>1467.9059999999999</v>
      </c>
      <c r="GV29" s="304">
        <v>1414.4279999999999</v>
      </c>
      <c r="GW29" s="304">
        <v>1249.4879999999998</v>
      </c>
      <c r="GX29" s="304">
        <v>1285.0140000000001</v>
      </c>
      <c r="GY29" s="304">
        <v>1254.252</v>
      </c>
      <c r="GZ29" s="304">
        <v>1330.248</v>
      </c>
      <c r="HA29" s="304">
        <v>1214.5440000000001</v>
      </c>
      <c r="HB29" s="304">
        <v>1265.0880000000002</v>
      </c>
      <c r="HC29" s="304">
        <v>1279.6320000000001</v>
      </c>
      <c r="HD29" s="304">
        <v>1370.82</v>
      </c>
      <c r="HE29" s="304">
        <v>1361.58</v>
      </c>
      <c r="HF29" s="304">
        <v>1279.0140000000001</v>
      </c>
      <c r="HG29" s="304">
        <v>1334.6580000000001</v>
      </c>
      <c r="HH29" s="304">
        <v>1257.18</v>
      </c>
      <c r="HI29" s="304">
        <v>1303.818</v>
      </c>
      <c r="HJ29" s="304">
        <v>1365.798</v>
      </c>
      <c r="HK29" s="304">
        <v>1376.46</v>
      </c>
      <c r="HL29" s="304">
        <v>1455.42</v>
      </c>
      <c r="HM29" s="304">
        <v>1602.5039999999999</v>
      </c>
      <c r="HN29" s="304">
        <v>1514.1</v>
      </c>
      <c r="HO29" s="304">
        <v>1451.9939999999999</v>
      </c>
      <c r="HP29" s="304">
        <v>1541.37</v>
      </c>
      <c r="HQ29" s="304">
        <v>1530.5639999999999</v>
      </c>
      <c r="HR29" s="304">
        <v>1239.78</v>
      </c>
      <c r="HS29" s="304">
        <v>1557.018</v>
      </c>
      <c r="HT29" s="304">
        <v>1537.8720000000001</v>
      </c>
      <c r="HU29" s="304">
        <v>1331.184</v>
      </c>
      <c r="HV29" s="304">
        <v>1207.0919999999999</v>
      </c>
      <c r="HW29" s="304">
        <v>1299.7080000000001</v>
      </c>
      <c r="HX29" s="304">
        <v>1373.9279999999999</v>
      </c>
      <c r="HY29" s="304">
        <v>1326.81</v>
      </c>
      <c r="HZ29" s="304">
        <v>1434.8579999999999</v>
      </c>
      <c r="IA29" s="304">
        <v>1299.4080000000001</v>
      </c>
      <c r="IB29" s="304">
        <v>1317.288</v>
      </c>
      <c r="IC29" s="304">
        <v>1373.5740000000001</v>
      </c>
      <c r="ID29" s="304">
        <v>1270.6079999999999</v>
      </c>
      <c r="IE29" s="304">
        <v>1271.97</v>
      </c>
      <c r="IF29" s="304">
        <v>1351.8899999999999</v>
      </c>
      <c r="IG29" s="304">
        <v>1257.57</v>
      </c>
      <c r="IH29" s="304">
        <v>1320.78</v>
      </c>
      <c r="II29" s="304">
        <v>1223.058</v>
      </c>
      <c r="IJ29" s="304">
        <v>1372.2359999999999</v>
      </c>
      <c r="IK29" s="304">
        <v>1146.1200000000001</v>
      </c>
      <c r="IL29" s="304">
        <v>1395.942</v>
      </c>
      <c r="IM29" s="304">
        <v>1212.2339999999999</v>
      </c>
      <c r="IN29" s="12">
        <v>1249.8720000000001</v>
      </c>
      <c r="IO29" s="12">
        <v>1329.6779999999999</v>
      </c>
      <c r="IP29" s="12">
        <v>1468.4159999999999</v>
      </c>
      <c r="IQ29" s="12">
        <v>1540.2840000000001</v>
      </c>
      <c r="IR29" s="12">
        <v>1593.6000000000001</v>
      </c>
      <c r="IS29" s="12">
        <v>1483.674</v>
      </c>
      <c r="IT29" s="12">
        <v>1333.2359999999999</v>
      </c>
      <c r="IU29" s="12">
        <v>1292.376</v>
      </c>
      <c r="IV29" s="12">
        <v>1378.902</v>
      </c>
      <c r="IW29" s="12">
        <v>1514.106</v>
      </c>
      <c r="IX29" s="12">
        <v>1659.558</v>
      </c>
      <c r="IY29" s="12">
        <v>1398.098</v>
      </c>
      <c r="IZ29" s="12">
        <v>1235.018</v>
      </c>
      <c r="JA29" s="12">
        <v>1093.4059999999999</v>
      </c>
      <c r="JB29" s="12">
        <v>1061.242</v>
      </c>
      <c r="JC29" s="12">
        <v>1081.6199999999999</v>
      </c>
      <c r="JD29" s="12">
        <v>1094.742</v>
      </c>
      <c r="JE29" s="12">
        <v>1150.8219999999999</v>
      </c>
      <c r="JF29" s="12">
        <v>1162.1600000000001</v>
      </c>
      <c r="JG29" s="12">
        <v>1249.6320000000001</v>
      </c>
      <c r="JH29" s="12">
        <v>1172.174</v>
      </c>
      <c r="JI29" s="12">
        <v>1170.0920000000001</v>
      </c>
      <c r="JJ29" s="12">
        <v>1243.7260000000001</v>
      </c>
      <c r="JK29" s="336">
        <v>1279.78</v>
      </c>
    </row>
    <row r="30" spans="1:271" x14ac:dyDescent="0.25">
      <c r="A30" s="303" t="s">
        <v>161</v>
      </c>
      <c r="B30" s="301">
        <v>355.33199999999999</v>
      </c>
      <c r="C30" s="301">
        <v>314.31600000000003</v>
      </c>
      <c r="D30" s="301">
        <v>352.93200000000002</v>
      </c>
      <c r="E30" s="301">
        <v>368.19</v>
      </c>
      <c r="F30" s="301">
        <v>409.04400000000004</v>
      </c>
      <c r="G30" s="301">
        <v>505.32600000000002</v>
      </c>
      <c r="H30" s="301">
        <v>406.02</v>
      </c>
      <c r="I30" s="301">
        <v>406.26</v>
      </c>
      <c r="J30" s="301">
        <v>368.65800000000002</v>
      </c>
      <c r="K30" s="301">
        <v>418.84800000000007</v>
      </c>
      <c r="L30" s="301">
        <v>666.75600000000009</v>
      </c>
      <c r="M30" s="301">
        <v>574.68600000000004</v>
      </c>
      <c r="N30" s="301">
        <v>668.18399999999997</v>
      </c>
      <c r="O30" s="301">
        <v>568.572</v>
      </c>
      <c r="P30" s="301">
        <v>459.72</v>
      </c>
      <c r="Q30" s="301">
        <v>375.69</v>
      </c>
      <c r="R30" s="301">
        <v>514.27200000000005</v>
      </c>
      <c r="S30" s="301">
        <v>420.73800000000006</v>
      </c>
      <c r="T30" s="301">
        <v>586.77600000000007</v>
      </c>
      <c r="U30" s="301">
        <v>535.08600000000001</v>
      </c>
      <c r="V30" s="301">
        <v>401.51400000000001</v>
      </c>
      <c r="W30" s="301">
        <v>551.11200000000008</v>
      </c>
      <c r="X30" s="301">
        <v>550.49399999999991</v>
      </c>
      <c r="Y30" s="301">
        <v>469.08000000000004</v>
      </c>
      <c r="Z30" s="301">
        <v>394.58399999999995</v>
      </c>
      <c r="AA30" s="301">
        <v>402.024</v>
      </c>
      <c r="AB30" s="301">
        <v>463.65599999999995</v>
      </c>
      <c r="AC30" s="301">
        <v>422.74199999999996</v>
      </c>
      <c r="AD30" s="301">
        <v>524.35799999999995</v>
      </c>
      <c r="AE30" s="301">
        <v>522.35400000000004</v>
      </c>
      <c r="AF30" s="301">
        <v>516.81000000000006</v>
      </c>
      <c r="AG30" s="301">
        <v>472.81799999999998</v>
      </c>
      <c r="AH30" s="301">
        <v>471.858</v>
      </c>
      <c r="AI30" s="301">
        <v>452.70599999999996</v>
      </c>
      <c r="AJ30" s="301">
        <v>589.10400000000004</v>
      </c>
      <c r="AK30" s="301">
        <v>560.17200000000003</v>
      </c>
      <c r="AL30" s="301">
        <v>548.01599999999996</v>
      </c>
      <c r="AM30" s="301">
        <v>492.59400000000005</v>
      </c>
      <c r="AN30" s="301">
        <v>531.32400000000007</v>
      </c>
      <c r="AO30" s="301">
        <v>796.03800000000001</v>
      </c>
      <c r="AP30" s="301">
        <v>892.35599999999999</v>
      </c>
      <c r="AQ30" s="301">
        <v>578.30399999999997</v>
      </c>
      <c r="AR30" s="301">
        <v>634.66200000000003</v>
      </c>
      <c r="AS30" s="301">
        <v>904.02599999999995</v>
      </c>
      <c r="AT30" s="301">
        <v>737.88</v>
      </c>
      <c r="AU30" s="301">
        <v>655.70400000000006</v>
      </c>
      <c r="AV30" s="301">
        <v>764.20799999999997</v>
      </c>
      <c r="AW30" s="301">
        <v>665.84999999999991</v>
      </c>
      <c r="AX30" s="301">
        <v>894.75</v>
      </c>
      <c r="AY30" s="301">
        <v>817.80599999999993</v>
      </c>
      <c r="AZ30" s="301">
        <v>920.07600000000002</v>
      </c>
      <c r="BA30" s="301">
        <v>920.21399999999994</v>
      </c>
      <c r="BB30" s="301">
        <v>951.34799999999996</v>
      </c>
      <c r="BC30" s="301">
        <v>917.38799999999992</v>
      </c>
      <c r="BD30" s="301">
        <v>946.5</v>
      </c>
      <c r="BE30" s="301">
        <v>878.83800000000008</v>
      </c>
      <c r="BF30" s="301">
        <v>876.64800000000002</v>
      </c>
      <c r="BG30" s="301">
        <v>894.54600000000005</v>
      </c>
      <c r="BH30" s="301">
        <v>918.12599999999998</v>
      </c>
      <c r="BI30" s="301">
        <v>781.33200000000011</v>
      </c>
      <c r="BJ30" s="301">
        <v>724.87800000000004</v>
      </c>
      <c r="BK30" s="301">
        <v>704.05799999999999</v>
      </c>
      <c r="BL30" s="301">
        <v>896.01</v>
      </c>
      <c r="BM30" s="301">
        <v>801.64800000000002</v>
      </c>
      <c r="BN30" s="301">
        <v>856.17599999999993</v>
      </c>
      <c r="BO30" s="301">
        <v>890.64</v>
      </c>
      <c r="BP30" s="301">
        <v>1112.508</v>
      </c>
      <c r="BQ30" s="301">
        <v>1075.818</v>
      </c>
      <c r="BR30" s="301">
        <v>1157.394</v>
      </c>
      <c r="BS30" s="301">
        <v>1331.376</v>
      </c>
      <c r="BT30" s="301">
        <v>1180.104</v>
      </c>
      <c r="BU30" s="301">
        <v>1078.0319999999999</v>
      </c>
      <c r="BV30" s="301">
        <v>1267.5239999999999</v>
      </c>
      <c r="BW30" s="301">
        <v>1164.954</v>
      </c>
      <c r="BX30" s="301">
        <v>1115.2620000000002</v>
      </c>
      <c r="BY30" s="301">
        <v>1140.3000000000002</v>
      </c>
      <c r="BZ30" s="301">
        <v>1218.0720000000001</v>
      </c>
      <c r="CA30" s="301">
        <v>1221.8820000000001</v>
      </c>
      <c r="CB30" s="301">
        <v>1342.77</v>
      </c>
      <c r="CC30" s="301">
        <v>1377.9960000000001</v>
      </c>
      <c r="CD30" s="301">
        <v>1311.414</v>
      </c>
      <c r="CE30" s="301">
        <v>1578.5639999999999</v>
      </c>
      <c r="CF30" s="301">
        <v>1453.65</v>
      </c>
      <c r="CG30" s="301">
        <v>1530.384</v>
      </c>
      <c r="CH30" s="301">
        <v>1458.672</v>
      </c>
      <c r="CI30" s="301">
        <v>1523.1420000000001</v>
      </c>
      <c r="CJ30" s="301">
        <v>1534.2719999999999</v>
      </c>
      <c r="CK30" s="301">
        <v>1438.548</v>
      </c>
      <c r="CL30" s="301">
        <v>1463.124</v>
      </c>
      <c r="CM30" s="301">
        <v>1696.5</v>
      </c>
      <c r="CN30" s="301">
        <v>1567.7159999999999</v>
      </c>
      <c r="CO30" s="301">
        <v>1703.1239999999998</v>
      </c>
      <c r="CP30" s="301">
        <v>1664.7780000000002</v>
      </c>
      <c r="CQ30" s="301">
        <v>1896.96</v>
      </c>
      <c r="CR30" s="301">
        <v>1702.614</v>
      </c>
      <c r="CS30" s="301">
        <v>1897.2539999999999</v>
      </c>
      <c r="CT30" s="301">
        <v>1158.354</v>
      </c>
      <c r="CU30" s="301">
        <v>1074.384</v>
      </c>
      <c r="CV30" s="301">
        <v>919.51200000000006</v>
      </c>
      <c r="CW30" s="301">
        <v>875.27399999999989</v>
      </c>
      <c r="CX30" s="301">
        <v>769.48799999999994</v>
      </c>
      <c r="CY30" s="301">
        <v>678.21</v>
      </c>
      <c r="CZ30" s="301">
        <v>643.5</v>
      </c>
      <c r="DA30" s="301">
        <v>534.24</v>
      </c>
      <c r="DB30" s="301">
        <v>543.18600000000004</v>
      </c>
      <c r="DC30" s="301">
        <v>558.50400000000002</v>
      </c>
      <c r="DD30" s="301">
        <v>605.76</v>
      </c>
      <c r="DE30" s="301">
        <v>549.19799999999998</v>
      </c>
      <c r="DF30" s="301">
        <v>479.63399999999996</v>
      </c>
      <c r="DG30" s="301">
        <v>505.78800000000001</v>
      </c>
      <c r="DH30" s="301">
        <v>591.23400000000004</v>
      </c>
      <c r="DI30" s="301">
        <v>633.69600000000003</v>
      </c>
      <c r="DJ30" s="301">
        <v>672.46800000000007</v>
      </c>
      <c r="DK30" s="301">
        <v>666.54599999999994</v>
      </c>
      <c r="DL30" s="301">
        <v>746.21399999999994</v>
      </c>
      <c r="DM30" s="301">
        <v>746.01599999999996</v>
      </c>
      <c r="DN30" s="301">
        <v>860.37599999999998</v>
      </c>
      <c r="DO30" s="301">
        <v>946.71600000000001</v>
      </c>
      <c r="DP30" s="301">
        <v>987.22199999999998</v>
      </c>
      <c r="DQ30" s="301">
        <v>1090.884</v>
      </c>
      <c r="DR30" s="301">
        <v>1013.172</v>
      </c>
      <c r="DS30" s="301">
        <v>1012.788</v>
      </c>
      <c r="DT30" s="301">
        <v>1003.278</v>
      </c>
      <c r="DU30" s="301">
        <v>1024.3679999999999</v>
      </c>
      <c r="DV30" s="301">
        <v>1345.1759999999999</v>
      </c>
      <c r="DW30" s="301">
        <v>1199.2860000000001</v>
      </c>
      <c r="DX30" s="301">
        <v>1125.81</v>
      </c>
      <c r="DY30" s="301">
        <v>1291.758</v>
      </c>
      <c r="DZ30" s="301">
        <v>1450.614</v>
      </c>
      <c r="EA30" s="301">
        <v>1492.5720000000001</v>
      </c>
      <c r="EB30" s="301">
        <v>1407.9479999999999</v>
      </c>
      <c r="EC30" s="301">
        <v>1630.818</v>
      </c>
      <c r="ED30" s="301">
        <v>1614.5519999999999</v>
      </c>
      <c r="EE30" s="301">
        <v>1757.508</v>
      </c>
      <c r="EF30" s="301">
        <v>1749.558</v>
      </c>
      <c r="EG30" s="301">
        <v>1831.5720000000001</v>
      </c>
      <c r="EH30" s="301">
        <v>2012.16</v>
      </c>
      <c r="EI30" s="301">
        <v>1963.7280000000001</v>
      </c>
      <c r="EJ30" s="301">
        <v>2094.9839999999999</v>
      </c>
      <c r="EK30" s="301">
        <v>2140.7640000000001</v>
      </c>
      <c r="EL30" s="301">
        <v>2086.1999999999998</v>
      </c>
      <c r="EM30" s="301">
        <v>2268.8519999999999</v>
      </c>
      <c r="EN30" s="301">
        <v>2256.0839999999998</v>
      </c>
      <c r="EO30" s="301">
        <v>2024.7240000000002</v>
      </c>
      <c r="EP30" s="301">
        <v>1951.0320000000002</v>
      </c>
      <c r="EQ30" s="301">
        <v>1406.0520000000001</v>
      </c>
      <c r="ER30" s="301">
        <v>1437.1320000000001</v>
      </c>
      <c r="ES30" s="301">
        <v>1393.848</v>
      </c>
      <c r="ET30" s="301">
        <v>1394.808</v>
      </c>
      <c r="EU30" s="301">
        <v>1295.028</v>
      </c>
      <c r="EV30" s="301">
        <v>1075.404</v>
      </c>
      <c r="EW30" s="301">
        <v>1020.3119999999999</v>
      </c>
      <c r="EX30" s="301">
        <v>814.30799999999999</v>
      </c>
      <c r="EY30" s="301">
        <v>870.58800000000008</v>
      </c>
      <c r="EZ30" s="301">
        <v>804.39599999999996</v>
      </c>
      <c r="FA30" s="301">
        <v>759.64800000000002</v>
      </c>
      <c r="FB30" s="301">
        <v>814.29600000000005</v>
      </c>
      <c r="FC30" s="301">
        <v>823.428</v>
      </c>
      <c r="FD30" s="301">
        <v>843.01799999999992</v>
      </c>
      <c r="FE30" s="301">
        <v>850.05000000000007</v>
      </c>
      <c r="FF30" s="301">
        <v>938.38799999999992</v>
      </c>
      <c r="FG30" s="301">
        <v>950.53199999999993</v>
      </c>
      <c r="FH30" s="301">
        <v>907.90800000000013</v>
      </c>
      <c r="FI30" s="301">
        <v>766.17599999999993</v>
      </c>
      <c r="FJ30" s="301">
        <v>588.15599999999995</v>
      </c>
      <c r="FK30" s="301">
        <v>656.02800000000002</v>
      </c>
      <c r="FL30" s="301">
        <v>767.13599999999997</v>
      </c>
      <c r="FM30" s="301">
        <v>655.75199999999995</v>
      </c>
      <c r="FN30" s="301">
        <v>586.71600000000001</v>
      </c>
      <c r="FO30" s="301">
        <v>610.96199999999999</v>
      </c>
      <c r="FP30" s="301">
        <v>607.46399999999994</v>
      </c>
      <c r="FQ30" s="301">
        <v>554.904</v>
      </c>
      <c r="FR30" s="301">
        <v>615.07799999999997</v>
      </c>
      <c r="FS30" s="301">
        <v>552.024</v>
      </c>
      <c r="FT30" s="301">
        <v>445.48199999999997</v>
      </c>
      <c r="FU30" s="301">
        <v>470.31599999999997</v>
      </c>
      <c r="FV30" s="301">
        <v>435.36</v>
      </c>
      <c r="FW30" s="301">
        <v>467.83799999999997</v>
      </c>
      <c r="FX30" s="301">
        <v>426.726</v>
      </c>
      <c r="FY30" s="301">
        <v>382.03199999999998</v>
      </c>
      <c r="FZ30" s="301">
        <v>349.77</v>
      </c>
      <c r="GA30" s="301">
        <v>316.98</v>
      </c>
      <c r="GB30" s="301">
        <v>401.47200000000004</v>
      </c>
      <c r="GC30" s="301">
        <v>306.11399999999998</v>
      </c>
      <c r="GD30" s="301">
        <v>335.47799999999995</v>
      </c>
      <c r="GE30" s="301">
        <v>356.99400000000003</v>
      </c>
      <c r="GF30" s="301">
        <v>301.23</v>
      </c>
      <c r="GG30" s="301">
        <v>328.12800000000004</v>
      </c>
      <c r="GH30" s="301">
        <v>399.08399999999995</v>
      </c>
      <c r="GI30" s="301">
        <v>379.51800000000003</v>
      </c>
      <c r="GJ30" s="301">
        <v>412.548</v>
      </c>
      <c r="GK30" s="301">
        <v>430.66200000000003</v>
      </c>
      <c r="GL30" s="301">
        <v>379.78199999999998</v>
      </c>
      <c r="GM30" s="301">
        <v>368.154</v>
      </c>
      <c r="GN30" s="301">
        <v>474.16200000000003</v>
      </c>
      <c r="GO30" s="301">
        <v>451.92599999999999</v>
      </c>
      <c r="GP30" s="301">
        <v>402.62400000000002</v>
      </c>
      <c r="GQ30" s="301">
        <v>422.25</v>
      </c>
      <c r="GR30" s="301">
        <v>379.79399999999998</v>
      </c>
      <c r="GS30" s="301">
        <v>369.21600000000001</v>
      </c>
      <c r="GT30" s="301">
        <v>428.89800000000002</v>
      </c>
      <c r="GU30" s="301">
        <v>341.17200000000003</v>
      </c>
      <c r="GV30" s="301">
        <v>388.11</v>
      </c>
      <c r="GW30" s="301">
        <v>422.904</v>
      </c>
      <c r="GX30" s="301">
        <v>337.21199999999999</v>
      </c>
      <c r="GY30" s="301">
        <v>390.024</v>
      </c>
      <c r="GZ30" s="301">
        <v>439.60199999999998</v>
      </c>
      <c r="HA30" s="301">
        <v>446.91600000000005</v>
      </c>
      <c r="HB30" s="301">
        <v>450.60599999999999</v>
      </c>
      <c r="HC30" s="301">
        <v>485.52600000000007</v>
      </c>
      <c r="HD30" s="301">
        <v>459.36600000000004</v>
      </c>
      <c r="HE30" s="301">
        <v>508.36799999999994</v>
      </c>
      <c r="HF30" s="301">
        <v>505.74</v>
      </c>
      <c r="HG30" s="301">
        <v>461.77200000000005</v>
      </c>
      <c r="HH30" s="301">
        <v>517.63799999999992</v>
      </c>
      <c r="HI30" s="301">
        <v>455.69399999999996</v>
      </c>
      <c r="HJ30" s="301">
        <v>504.62400000000002</v>
      </c>
      <c r="HK30" s="301">
        <v>452.83799999999997</v>
      </c>
      <c r="HL30" s="301">
        <v>533.05799999999999</v>
      </c>
      <c r="HM30" s="301">
        <v>419.08199999999999</v>
      </c>
      <c r="HN30" s="301">
        <v>495.714</v>
      </c>
      <c r="HO30" s="301">
        <v>390.70799999999997</v>
      </c>
      <c r="HP30" s="333">
        <v>384.44399999999996</v>
      </c>
      <c r="HQ30" s="333">
        <v>352.59000000000003</v>
      </c>
      <c r="HR30" s="333">
        <v>395.952</v>
      </c>
      <c r="HS30" s="333">
        <v>366.27</v>
      </c>
      <c r="HT30" s="333">
        <v>325.19399999999996</v>
      </c>
      <c r="HU30" s="333">
        <v>306.738</v>
      </c>
      <c r="HV30" s="301">
        <v>385.83600000000001</v>
      </c>
      <c r="HW30" s="301">
        <v>316.01400000000001</v>
      </c>
      <c r="HX30" s="301">
        <v>253.11</v>
      </c>
      <c r="HY30" s="301">
        <v>215.07599999999996</v>
      </c>
      <c r="HZ30" s="301">
        <v>280.07400000000001</v>
      </c>
      <c r="IA30" s="301">
        <v>323.50200000000001</v>
      </c>
      <c r="IB30" s="301">
        <v>312.58799999999997</v>
      </c>
      <c r="IC30" s="301">
        <v>254.57400000000001</v>
      </c>
      <c r="ID30" s="301">
        <v>158.11199999999999</v>
      </c>
      <c r="IE30" s="301">
        <v>249.12</v>
      </c>
      <c r="IF30" s="301">
        <v>205.63800000000003</v>
      </c>
      <c r="IG30" s="301">
        <v>136.30799999999999</v>
      </c>
      <c r="IH30" s="301">
        <v>64.271999999999991</v>
      </c>
      <c r="II30" s="301">
        <v>27.768000000000001</v>
      </c>
      <c r="IJ30" s="301">
        <v>35.393999999999998</v>
      </c>
      <c r="IK30" s="301">
        <v>33.864000000000004</v>
      </c>
      <c r="IL30" s="301">
        <v>34.433999999999997</v>
      </c>
      <c r="IM30" s="301">
        <v>206.04599999999999</v>
      </c>
      <c r="IN30" s="333">
        <v>210.31799999999998</v>
      </c>
      <c r="IO30" s="333">
        <v>256.77</v>
      </c>
      <c r="IP30" s="333">
        <v>246.072</v>
      </c>
      <c r="IQ30" s="333">
        <v>250.392</v>
      </c>
      <c r="IR30" s="333">
        <v>210.79199999999997</v>
      </c>
      <c r="IS30" s="333">
        <v>196.87800000000001</v>
      </c>
      <c r="IT30" s="333">
        <v>200.85599999999999</v>
      </c>
      <c r="IU30" s="333">
        <v>203.79599999999999</v>
      </c>
      <c r="IV30" s="333">
        <v>241.36799999999999</v>
      </c>
      <c r="IW30" s="334">
        <v>187.94399999999999</v>
      </c>
      <c r="IX30" s="334">
        <v>340.55799999999999</v>
      </c>
      <c r="IY30" s="334">
        <v>292.49200000000002</v>
      </c>
      <c r="IZ30" s="334">
        <v>317.70400000000001</v>
      </c>
      <c r="JA30" s="334">
        <v>326.952</v>
      </c>
      <c r="JB30" s="334">
        <v>367.73</v>
      </c>
      <c r="JC30" s="334">
        <v>372.07799999999997</v>
      </c>
      <c r="JD30" s="334">
        <v>350.142</v>
      </c>
      <c r="JE30" s="334">
        <v>342.87599999999998</v>
      </c>
      <c r="JF30" s="334">
        <v>389.34</v>
      </c>
      <c r="JG30" s="334">
        <v>356.12200000000001</v>
      </c>
      <c r="JH30" s="334">
        <v>246.83</v>
      </c>
      <c r="JI30" s="334">
        <v>18.712</v>
      </c>
      <c r="JJ30" s="334">
        <v>425.178</v>
      </c>
      <c r="JK30" s="335">
        <v>378.94600000000003</v>
      </c>
    </row>
    <row r="31" spans="1:271" x14ac:dyDescent="0.25">
      <c r="A31" s="303" t="s">
        <v>68</v>
      </c>
      <c r="B31" s="304">
        <v>8250.69</v>
      </c>
      <c r="C31" s="304">
        <v>8181.0119999999997</v>
      </c>
      <c r="D31" s="304">
        <v>9202.5420000000013</v>
      </c>
      <c r="E31" s="304">
        <v>8905.7219999999998</v>
      </c>
      <c r="F31" s="304">
        <v>8752.764000000001</v>
      </c>
      <c r="G31" s="304">
        <v>8756.0640000000003</v>
      </c>
      <c r="H31" s="304">
        <v>8524.4459999999999</v>
      </c>
      <c r="I31" s="304">
        <v>8610.6720000000005</v>
      </c>
      <c r="J31" s="304">
        <v>8275.4459999999999</v>
      </c>
      <c r="K31" s="304">
        <v>8438.0280000000002</v>
      </c>
      <c r="L31" s="304">
        <v>8289.8580000000002</v>
      </c>
      <c r="M31" s="304">
        <v>8106.6360000000004</v>
      </c>
      <c r="N31" s="304">
        <v>8702.64</v>
      </c>
      <c r="O31" s="304">
        <v>8000.6759999999995</v>
      </c>
      <c r="P31" s="304">
        <v>8410.9500000000007</v>
      </c>
      <c r="Q31" s="304">
        <v>8060.514000000001</v>
      </c>
      <c r="R31" s="304">
        <v>8082.9060000000009</v>
      </c>
      <c r="S31" s="304">
        <v>7707.924</v>
      </c>
      <c r="T31" s="304">
        <v>9127.6560000000009</v>
      </c>
      <c r="U31" s="304">
        <v>8219.01</v>
      </c>
      <c r="V31" s="304">
        <v>8912.19</v>
      </c>
      <c r="W31" s="304">
        <v>8862.84</v>
      </c>
      <c r="X31" s="304">
        <v>8463.5760000000009</v>
      </c>
      <c r="Y31" s="304">
        <v>8056.8240000000005</v>
      </c>
      <c r="Z31" s="304">
        <v>7868.9940000000006</v>
      </c>
      <c r="AA31" s="304">
        <v>7490.9220000000005</v>
      </c>
      <c r="AB31" s="304">
        <v>8527.0740000000005</v>
      </c>
      <c r="AC31" s="304">
        <v>7674.0659999999998</v>
      </c>
      <c r="AD31" s="304">
        <v>7924.8180000000011</v>
      </c>
      <c r="AE31" s="304">
        <v>7750.7160000000003</v>
      </c>
      <c r="AF31" s="304">
        <v>7954.68</v>
      </c>
      <c r="AG31" s="304">
        <v>8010.9840000000004</v>
      </c>
      <c r="AH31" s="304">
        <v>7960.8420000000006</v>
      </c>
      <c r="AI31" s="304">
        <v>8026.0860000000002</v>
      </c>
      <c r="AJ31" s="304">
        <v>8453.4120000000003</v>
      </c>
      <c r="AK31" s="304">
        <v>8054.4000000000005</v>
      </c>
      <c r="AL31" s="304">
        <v>8133.8819999999996</v>
      </c>
      <c r="AM31" s="304">
        <v>8972.4540000000015</v>
      </c>
      <c r="AN31" s="304">
        <v>9246.2219999999998</v>
      </c>
      <c r="AO31" s="304">
        <v>8455.8240000000005</v>
      </c>
      <c r="AP31" s="304">
        <v>9163.6139999999996</v>
      </c>
      <c r="AQ31" s="304">
        <v>8742.2880000000005</v>
      </c>
      <c r="AR31" s="304">
        <v>8861.0939999999991</v>
      </c>
      <c r="AS31" s="304">
        <v>8535.5280000000002</v>
      </c>
      <c r="AT31" s="304">
        <v>8426.34</v>
      </c>
      <c r="AU31" s="304">
        <v>8283.1440000000002</v>
      </c>
      <c r="AV31" s="304">
        <v>8131.5960000000005</v>
      </c>
      <c r="AW31" s="304">
        <v>7459.6439999999993</v>
      </c>
      <c r="AX31" s="304">
        <v>7305.0300000000007</v>
      </c>
      <c r="AY31" s="304">
        <v>7153.6020000000008</v>
      </c>
      <c r="AZ31" s="304">
        <v>7465.7579999999998</v>
      </c>
      <c r="BA31" s="304">
        <v>7329.57</v>
      </c>
      <c r="BB31" s="304">
        <v>7476.5339999999997</v>
      </c>
      <c r="BC31" s="304">
        <v>7188.5159999999996</v>
      </c>
      <c r="BD31" s="304">
        <v>7156.326</v>
      </c>
      <c r="BE31" s="304">
        <v>7569.1439999999993</v>
      </c>
      <c r="BF31" s="304">
        <v>7533.9719999999998</v>
      </c>
      <c r="BG31" s="304">
        <v>7522.7820000000002</v>
      </c>
      <c r="BH31" s="304">
        <v>7548.7440000000006</v>
      </c>
      <c r="BI31" s="304">
        <v>6888.4139999999998</v>
      </c>
      <c r="BJ31" s="304">
        <v>6596.1539999999995</v>
      </c>
      <c r="BK31" s="304">
        <v>6732.9719999999998</v>
      </c>
      <c r="BL31" s="304">
        <v>7135.02</v>
      </c>
      <c r="BM31" s="304">
        <v>7645.985999999999</v>
      </c>
      <c r="BN31" s="304">
        <v>7821.9000000000005</v>
      </c>
      <c r="BO31" s="304">
        <v>7338.2040000000006</v>
      </c>
      <c r="BP31" s="304">
        <v>7656.5280000000002</v>
      </c>
      <c r="BQ31" s="304">
        <v>7434.5399999999991</v>
      </c>
      <c r="BR31" s="304">
        <v>7577.1060000000007</v>
      </c>
      <c r="BS31" s="304">
        <v>7708.6319999999996</v>
      </c>
      <c r="BT31" s="304">
        <v>7936.4639999999999</v>
      </c>
      <c r="BU31" s="304">
        <v>7705.9380000000001</v>
      </c>
      <c r="BV31" s="304">
        <v>8062.9980000000005</v>
      </c>
      <c r="BW31" s="304">
        <v>7932.9719999999998</v>
      </c>
      <c r="BX31" s="304">
        <v>8420.387999999999</v>
      </c>
      <c r="BY31" s="304">
        <v>8051.13</v>
      </c>
      <c r="BZ31" s="304">
        <v>8537.6280000000006</v>
      </c>
      <c r="CA31" s="304">
        <v>8241.75</v>
      </c>
      <c r="CB31" s="304">
        <v>8483.76</v>
      </c>
      <c r="CC31" s="304">
        <v>8789.4840000000004</v>
      </c>
      <c r="CD31" s="304">
        <v>8632.9439999999995</v>
      </c>
      <c r="CE31" s="304">
        <v>8382.7920000000013</v>
      </c>
      <c r="CF31" s="304">
        <v>8639.0640000000003</v>
      </c>
      <c r="CG31" s="304">
        <v>8252.3760000000002</v>
      </c>
      <c r="CH31" s="304">
        <v>8227.3019999999997</v>
      </c>
      <c r="CI31" s="304">
        <v>8262.7619999999988</v>
      </c>
      <c r="CJ31" s="304">
        <v>9274.0680000000011</v>
      </c>
      <c r="CK31" s="304">
        <v>9509.9940000000006</v>
      </c>
      <c r="CL31" s="304">
        <v>10541.07</v>
      </c>
      <c r="CM31" s="304">
        <v>9654.0779999999995</v>
      </c>
      <c r="CN31" s="304">
        <v>9264.2819999999992</v>
      </c>
      <c r="CO31" s="304">
        <v>10089.353999999999</v>
      </c>
      <c r="CP31" s="304">
        <v>9658.0619999999999</v>
      </c>
      <c r="CQ31" s="304">
        <v>10794.72</v>
      </c>
      <c r="CR31" s="304">
        <v>10033.380000000001</v>
      </c>
      <c r="CS31" s="304">
        <v>9703.0499999999993</v>
      </c>
      <c r="CT31" s="304">
        <v>10239.696</v>
      </c>
      <c r="CU31" s="304">
        <v>10478.142</v>
      </c>
      <c r="CV31" s="304">
        <v>11363.124</v>
      </c>
      <c r="CW31" s="304">
        <v>11089.698</v>
      </c>
      <c r="CX31" s="304">
        <v>12313.241999999998</v>
      </c>
      <c r="CY31" s="304">
        <v>11007.960000000001</v>
      </c>
      <c r="CZ31" s="304">
        <v>10152.738000000001</v>
      </c>
      <c r="DA31" s="304">
        <v>9802.5360000000001</v>
      </c>
      <c r="DB31" s="304">
        <v>9675.5999999999985</v>
      </c>
      <c r="DC31" s="304">
        <v>10235.219999999999</v>
      </c>
      <c r="DD31" s="304">
        <v>8555.0159999999996</v>
      </c>
      <c r="DE31" s="304">
        <v>8517.5280000000002</v>
      </c>
      <c r="DF31" s="304">
        <v>8009.2800000000007</v>
      </c>
      <c r="DG31" s="304">
        <v>9187.2060000000001</v>
      </c>
      <c r="DH31" s="304">
        <v>10495.632</v>
      </c>
      <c r="DI31" s="304">
        <v>10415.976000000001</v>
      </c>
      <c r="DJ31" s="304">
        <v>10554.27</v>
      </c>
      <c r="DK31" s="304">
        <v>9976.5659999999989</v>
      </c>
      <c r="DL31" s="304">
        <v>10037.849999999999</v>
      </c>
      <c r="DM31" s="304">
        <v>10435.464</v>
      </c>
      <c r="DN31" s="304">
        <v>9818.8979999999992</v>
      </c>
      <c r="DO31" s="304">
        <v>9808.3080000000009</v>
      </c>
      <c r="DP31" s="304">
        <v>10300.242</v>
      </c>
      <c r="DQ31" s="304">
        <v>9667.6739999999991</v>
      </c>
      <c r="DR31" s="304">
        <v>10208.466</v>
      </c>
      <c r="DS31" s="304">
        <v>9711.42</v>
      </c>
      <c r="DT31" s="304">
        <v>10575.119999999999</v>
      </c>
      <c r="DU31" s="304">
        <v>10337.628000000001</v>
      </c>
      <c r="DV31" s="304">
        <v>11026.068000000001</v>
      </c>
      <c r="DW31" s="304">
        <v>10646.43</v>
      </c>
      <c r="DX31" s="304">
        <v>11187</v>
      </c>
      <c r="DY31" s="304">
        <v>11426.946</v>
      </c>
      <c r="DZ31" s="304">
        <v>11738.49</v>
      </c>
      <c r="EA31" s="304">
        <v>12267.137999999999</v>
      </c>
      <c r="EB31" s="304">
        <v>12261.335999999999</v>
      </c>
      <c r="EC31" s="304">
        <v>11507.64</v>
      </c>
      <c r="ED31" s="304">
        <v>11750.61</v>
      </c>
      <c r="EE31" s="304">
        <v>11857.548000000001</v>
      </c>
      <c r="EF31" s="304">
        <v>13046.814</v>
      </c>
      <c r="EG31" s="304">
        <v>12799.29</v>
      </c>
      <c r="EH31" s="304">
        <v>13306.698</v>
      </c>
      <c r="EI31" s="304">
        <v>12998.502</v>
      </c>
      <c r="EJ31" s="304">
        <v>13461.101999999999</v>
      </c>
      <c r="EK31" s="304">
        <v>13390.998</v>
      </c>
      <c r="EL31" s="304">
        <v>13361.165999999999</v>
      </c>
      <c r="EM31" s="304">
        <v>13223.22</v>
      </c>
      <c r="EN31" s="304">
        <v>12345.545999999998</v>
      </c>
      <c r="EO31" s="304">
        <v>11705.304</v>
      </c>
      <c r="EP31" s="304">
        <v>12171.75</v>
      </c>
      <c r="EQ31" s="304">
        <v>12189.312</v>
      </c>
      <c r="ER31" s="304">
        <v>12530.214</v>
      </c>
      <c r="ES31" s="304">
        <v>12141.564</v>
      </c>
      <c r="ET31" s="304">
        <v>13006.11</v>
      </c>
      <c r="EU31" s="304">
        <v>12010.848</v>
      </c>
      <c r="EV31" s="304">
        <v>11440.866</v>
      </c>
      <c r="EW31" s="304">
        <v>10523.238000000001</v>
      </c>
      <c r="EX31" s="304">
        <v>10517.436</v>
      </c>
      <c r="EY31" s="304">
        <v>9656.4660000000003</v>
      </c>
      <c r="EZ31" s="304">
        <v>10343.004000000001</v>
      </c>
      <c r="FA31" s="304">
        <v>8633.3040000000001</v>
      </c>
      <c r="FB31" s="304">
        <v>8688.9000000000015</v>
      </c>
      <c r="FC31" s="304">
        <v>8425.74</v>
      </c>
      <c r="FD31" s="304">
        <v>9081.6419999999998</v>
      </c>
      <c r="FE31" s="304">
        <v>9235.2899999999991</v>
      </c>
      <c r="FF31" s="304">
        <v>9142.3979999999992</v>
      </c>
      <c r="FG31" s="304">
        <v>8712.402</v>
      </c>
      <c r="FH31" s="304">
        <v>8802.0540000000001</v>
      </c>
      <c r="FI31" s="304">
        <v>9529.56</v>
      </c>
      <c r="FJ31" s="304">
        <v>9127.4519999999993</v>
      </c>
      <c r="FK31" s="304">
        <v>9938.58</v>
      </c>
      <c r="FL31" s="304">
        <v>9458.4359999999997</v>
      </c>
      <c r="FM31" s="304">
        <v>8929.7880000000005</v>
      </c>
      <c r="FN31" s="304">
        <v>9001.7880000000005</v>
      </c>
      <c r="FO31" s="304">
        <v>9294.4439999999995</v>
      </c>
      <c r="FP31" s="304">
        <v>10281.485999999999</v>
      </c>
      <c r="FQ31" s="304">
        <v>9936.4259999999995</v>
      </c>
      <c r="FR31" s="304">
        <v>9885.9719999999998</v>
      </c>
      <c r="FS31" s="304">
        <v>9789.630000000001</v>
      </c>
      <c r="FT31" s="304">
        <v>10148.394</v>
      </c>
      <c r="FU31" s="304">
        <v>10334.628000000001</v>
      </c>
      <c r="FV31" s="304">
        <v>10108.722</v>
      </c>
      <c r="FW31" s="304">
        <v>11336.592000000001</v>
      </c>
      <c r="FX31" s="304">
        <v>11198.147999999999</v>
      </c>
      <c r="FY31" s="304">
        <v>10757.460000000001</v>
      </c>
      <c r="FZ31" s="304">
        <v>11187.906000000001</v>
      </c>
      <c r="GA31" s="304">
        <v>11415.642</v>
      </c>
      <c r="GB31" s="304">
        <v>12070.938</v>
      </c>
      <c r="GC31" s="304">
        <v>12653.165999999999</v>
      </c>
      <c r="GD31" s="304">
        <v>12569.310000000001</v>
      </c>
      <c r="GE31" s="304">
        <v>12491.094000000001</v>
      </c>
      <c r="GF31" s="304">
        <v>13216.332000000002</v>
      </c>
      <c r="GG31" s="304">
        <v>13077.155999999999</v>
      </c>
      <c r="GH31" s="304">
        <v>13141.428</v>
      </c>
      <c r="GI31" s="304">
        <v>14063.400000000001</v>
      </c>
      <c r="GJ31" s="304">
        <v>13735.392</v>
      </c>
      <c r="GK31" s="304">
        <v>12679.848</v>
      </c>
      <c r="GL31" s="304">
        <v>13122.491999999998</v>
      </c>
      <c r="GM31" s="304">
        <v>12775.554</v>
      </c>
      <c r="GN31" s="304">
        <v>13995.810000000001</v>
      </c>
      <c r="GO31" s="304">
        <v>13672.949999999999</v>
      </c>
      <c r="GP31" s="304">
        <v>15390.797999999999</v>
      </c>
      <c r="GQ31" s="304">
        <v>14241.119999999999</v>
      </c>
      <c r="GR31" s="304">
        <v>14449.824000000001</v>
      </c>
      <c r="GS31" s="304">
        <v>14859.797999999999</v>
      </c>
      <c r="GT31" s="304">
        <v>13908.756000000001</v>
      </c>
      <c r="GU31" s="304">
        <v>15672.78</v>
      </c>
      <c r="GV31" s="304">
        <v>14746.374</v>
      </c>
      <c r="GW31" s="304">
        <v>13963.47</v>
      </c>
      <c r="GX31" s="304">
        <v>14077.854000000001</v>
      </c>
      <c r="GY31" s="304">
        <v>13761.99</v>
      </c>
      <c r="GZ31" s="304">
        <v>15717.804</v>
      </c>
      <c r="HA31" s="304">
        <v>14716.578</v>
      </c>
      <c r="HB31" s="304">
        <v>15348.072</v>
      </c>
      <c r="HC31" s="304">
        <v>14873.49</v>
      </c>
      <c r="HD31" s="304">
        <v>16232.886000000002</v>
      </c>
      <c r="HE31" s="304">
        <v>15611.057999999999</v>
      </c>
      <c r="HF31" s="304">
        <v>15112.098</v>
      </c>
      <c r="HG31" s="304">
        <v>16185.689999999999</v>
      </c>
      <c r="HH31" s="304">
        <v>17059.272000000001</v>
      </c>
      <c r="HI31" s="304">
        <v>14935.224000000002</v>
      </c>
      <c r="HJ31" s="304">
        <v>15369.606</v>
      </c>
      <c r="HK31" s="304">
        <v>14846.946</v>
      </c>
      <c r="HL31" s="304">
        <v>17031.876</v>
      </c>
      <c r="HM31" s="304">
        <v>15903.599999999999</v>
      </c>
      <c r="HN31" s="304">
        <v>16711.044000000002</v>
      </c>
      <c r="HO31" s="304">
        <v>15493.991999999998</v>
      </c>
      <c r="HP31" s="304">
        <v>16992.804</v>
      </c>
      <c r="HQ31" s="304">
        <v>15788.915999999999</v>
      </c>
      <c r="HR31" s="304">
        <v>15445.302</v>
      </c>
      <c r="HS31" s="304">
        <v>16376.184000000001</v>
      </c>
      <c r="HT31" s="304">
        <v>16534.71</v>
      </c>
      <c r="HU31" s="304">
        <v>15349.224000000002</v>
      </c>
      <c r="HV31" s="304">
        <v>15572.207999999999</v>
      </c>
      <c r="HW31" s="304">
        <v>15818.417999999998</v>
      </c>
      <c r="HX31" s="304">
        <v>17166.756000000001</v>
      </c>
      <c r="HY31" s="304">
        <v>15562.998</v>
      </c>
      <c r="HZ31" s="304">
        <v>16567.788</v>
      </c>
      <c r="IA31" s="304">
        <v>16353.882</v>
      </c>
      <c r="IB31" s="304">
        <v>17186.292000000001</v>
      </c>
      <c r="IC31" s="304">
        <v>16984.38</v>
      </c>
      <c r="ID31" s="304">
        <v>16360.23</v>
      </c>
      <c r="IE31" s="304">
        <v>16968.173999999999</v>
      </c>
      <c r="IF31" s="304">
        <v>17418.491999999998</v>
      </c>
      <c r="IG31" s="304">
        <v>16812.912</v>
      </c>
      <c r="IH31" s="304">
        <v>17387.448</v>
      </c>
      <c r="II31" s="304">
        <v>17175.887999999999</v>
      </c>
      <c r="IJ31" s="304">
        <v>20032.415999999997</v>
      </c>
      <c r="IK31" s="304">
        <v>18699.93</v>
      </c>
      <c r="IL31" s="304">
        <v>19923.905999999999</v>
      </c>
      <c r="IM31" s="304">
        <v>19318.698</v>
      </c>
      <c r="IN31" s="12">
        <v>19505.687999999998</v>
      </c>
      <c r="IO31" s="12">
        <v>20239.47</v>
      </c>
      <c r="IP31" s="12">
        <v>18706.067999999999</v>
      </c>
      <c r="IQ31" s="12">
        <v>19920.21</v>
      </c>
      <c r="IR31" s="12">
        <v>20682.096000000001</v>
      </c>
      <c r="IS31" s="12">
        <v>19105.721999999998</v>
      </c>
      <c r="IT31" s="12">
        <v>19420.079999999998</v>
      </c>
      <c r="IU31" s="12">
        <v>19464.329999999998</v>
      </c>
      <c r="IV31" s="12">
        <v>20675.682000000001</v>
      </c>
      <c r="IW31" s="12">
        <v>20424.666000000001</v>
      </c>
      <c r="IX31" s="12">
        <v>19804.466</v>
      </c>
      <c r="IY31" s="12">
        <v>18992.732</v>
      </c>
      <c r="IZ31" s="12">
        <v>18596.263999999999</v>
      </c>
      <c r="JA31" s="12">
        <v>18704.387999999999</v>
      </c>
      <c r="JB31" s="12">
        <v>19969.817999999999</v>
      </c>
      <c r="JC31" s="12">
        <v>19920.576000000001</v>
      </c>
      <c r="JD31" s="12">
        <v>20383.403999999999</v>
      </c>
      <c r="JE31" s="12">
        <v>21182.074000000001</v>
      </c>
      <c r="JF31" s="12">
        <v>22553.95</v>
      </c>
      <c r="JG31" s="12">
        <v>22455.542000000001</v>
      </c>
      <c r="JH31" s="12">
        <v>23062.385999999999</v>
      </c>
      <c r="JI31" s="12">
        <v>24823.236000000001</v>
      </c>
      <c r="JJ31" s="12">
        <v>25864.995999999999</v>
      </c>
      <c r="JK31" s="336">
        <v>27001.407999999999</v>
      </c>
    </row>
    <row r="32" spans="1:271" x14ac:dyDescent="0.25">
      <c r="A32" s="303" t="s">
        <v>69</v>
      </c>
      <c r="B32" s="301">
        <v>2425.098</v>
      </c>
      <c r="C32" s="301">
        <v>2746.9319999999998</v>
      </c>
      <c r="D32" s="301">
        <v>3272.2080000000005</v>
      </c>
      <c r="E32" s="301">
        <v>3090.5279999999998</v>
      </c>
      <c r="F32" s="301">
        <v>3290.8500000000004</v>
      </c>
      <c r="G32" s="301">
        <v>2918.172</v>
      </c>
      <c r="H32" s="301">
        <v>3053.7960000000003</v>
      </c>
      <c r="I32" s="301">
        <v>3636.0540000000001</v>
      </c>
      <c r="J32" s="301">
        <v>3489.2280000000001</v>
      </c>
      <c r="K32" s="301">
        <v>3608.82</v>
      </c>
      <c r="L32" s="301">
        <v>4119.7440000000006</v>
      </c>
      <c r="M32" s="301">
        <v>3181.6379999999999</v>
      </c>
      <c r="N32" s="301">
        <v>2942.8739999999998</v>
      </c>
      <c r="O32" s="301">
        <v>2656.1279999999997</v>
      </c>
      <c r="P32" s="301">
        <v>2885.7660000000001</v>
      </c>
      <c r="Q32" s="301">
        <v>2444.5920000000001</v>
      </c>
      <c r="R32" s="301">
        <v>2754.0120000000002</v>
      </c>
      <c r="S32" s="301">
        <v>2276.5500000000002</v>
      </c>
      <c r="T32" s="301">
        <v>2753.37</v>
      </c>
      <c r="U32" s="301">
        <v>3206.7359999999999</v>
      </c>
      <c r="V32" s="301">
        <v>3403.6379999999999</v>
      </c>
      <c r="W32" s="301">
        <v>3690.6059999999998</v>
      </c>
      <c r="X32" s="301">
        <v>4094.7060000000001</v>
      </c>
      <c r="Y32" s="301">
        <v>4027.848</v>
      </c>
      <c r="Z32" s="301">
        <v>4250.8739999999998</v>
      </c>
      <c r="AA32" s="301">
        <v>4279.5659999999998</v>
      </c>
      <c r="AB32" s="301">
        <v>4808.3339999999998</v>
      </c>
      <c r="AC32" s="301">
        <v>4143.8820000000005</v>
      </c>
      <c r="AD32" s="301">
        <v>5014.17</v>
      </c>
      <c r="AE32" s="301">
        <v>4421.0460000000003</v>
      </c>
      <c r="AF32" s="301">
        <v>4513.5659999999998</v>
      </c>
      <c r="AG32" s="301">
        <v>4858.134</v>
      </c>
      <c r="AH32" s="301">
        <v>5062.9500000000007</v>
      </c>
      <c r="AI32" s="301">
        <v>5204.4840000000004</v>
      </c>
      <c r="AJ32" s="301">
        <v>5203.4040000000005</v>
      </c>
      <c r="AK32" s="301">
        <v>4908.54</v>
      </c>
      <c r="AL32" s="301">
        <v>5360.5499999999993</v>
      </c>
      <c r="AM32" s="301">
        <v>5321.0280000000002</v>
      </c>
      <c r="AN32" s="301">
        <v>5659.8119999999999</v>
      </c>
      <c r="AO32" s="301">
        <v>5898.9120000000003</v>
      </c>
      <c r="AP32" s="301">
        <v>6251.652</v>
      </c>
      <c r="AQ32" s="301">
        <v>6089.0039999999999</v>
      </c>
      <c r="AR32" s="301">
        <v>6055.7880000000005</v>
      </c>
      <c r="AS32" s="301">
        <v>5787.942</v>
      </c>
      <c r="AT32" s="301">
        <v>6652.8960000000006</v>
      </c>
      <c r="AU32" s="301">
        <v>6677.8919999999998</v>
      </c>
      <c r="AV32" s="301">
        <v>6171.1560000000009</v>
      </c>
      <c r="AW32" s="301">
        <v>5079.4079999999994</v>
      </c>
      <c r="AX32" s="301">
        <v>5409.2579999999998</v>
      </c>
      <c r="AY32" s="301">
        <v>5303.1120000000001</v>
      </c>
      <c r="AZ32" s="301">
        <v>6217.4639999999999</v>
      </c>
      <c r="BA32" s="301">
        <v>6158.1660000000011</v>
      </c>
      <c r="BB32" s="301">
        <v>6537.9959999999992</v>
      </c>
      <c r="BC32" s="301">
        <v>6279.5939999999991</v>
      </c>
      <c r="BD32" s="301">
        <v>7128.7920000000004</v>
      </c>
      <c r="BE32" s="301">
        <v>6650.3339999999989</v>
      </c>
      <c r="BF32" s="301">
        <v>7335.4560000000001</v>
      </c>
      <c r="BG32" s="301">
        <v>7565.34</v>
      </c>
      <c r="BH32" s="301">
        <v>7638.1620000000003</v>
      </c>
      <c r="BI32" s="301">
        <v>6779.9940000000006</v>
      </c>
      <c r="BJ32" s="301">
        <v>6215.598</v>
      </c>
      <c r="BK32" s="301">
        <v>7849.8360000000002</v>
      </c>
      <c r="BL32" s="301">
        <v>8519.4060000000009</v>
      </c>
      <c r="BM32" s="301">
        <v>8570.8919999999998</v>
      </c>
      <c r="BN32" s="301">
        <v>9609.2100000000009</v>
      </c>
      <c r="BO32" s="301">
        <v>9578.5619999999999</v>
      </c>
      <c r="BP32" s="301">
        <v>10140.114</v>
      </c>
      <c r="BQ32" s="301">
        <v>10286.76</v>
      </c>
      <c r="BR32" s="301">
        <v>11433.456</v>
      </c>
      <c r="BS32" s="301">
        <v>11578.89</v>
      </c>
      <c r="BT32" s="301">
        <v>11151.168</v>
      </c>
      <c r="BU32" s="301">
        <v>9725.7479999999996</v>
      </c>
      <c r="BV32" s="301">
        <v>9157.9740000000002</v>
      </c>
      <c r="BW32" s="301">
        <v>10698.906000000001</v>
      </c>
      <c r="BX32" s="301">
        <v>10456.356</v>
      </c>
      <c r="BY32" s="301">
        <v>10503.378000000001</v>
      </c>
      <c r="BZ32" s="301">
        <v>11414.538</v>
      </c>
      <c r="CA32" s="301">
        <v>10835.603999999999</v>
      </c>
      <c r="CB32" s="301">
        <v>11496.732</v>
      </c>
      <c r="CC32" s="301">
        <v>11625.72</v>
      </c>
      <c r="CD32" s="301">
        <v>10525.08</v>
      </c>
      <c r="CE32" s="301">
        <v>10390.116</v>
      </c>
      <c r="CF32" s="301">
        <v>10738.896000000001</v>
      </c>
      <c r="CG32" s="301">
        <v>8694.5459999999985</v>
      </c>
      <c r="CH32" s="301">
        <v>9228.4079999999994</v>
      </c>
      <c r="CI32" s="301">
        <v>10114.416000000001</v>
      </c>
      <c r="CJ32" s="301">
        <v>10122.696</v>
      </c>
      <c r="CK32" s="301">
        <v>10390.68</v>
      </c>
      <c r="CL32" s="301">
        <v>11240.754000000001</v>
      </c>
      <c r="CM32" s="301">
        <v>12240.678</v>
      </c>
      <c r="CN32" s="301">
        <v>13312.332000000002</v>
      </c>
      <c r="CO32" s="301">
        <v>14714.670000000002</v>
      </c>
      <c r="CP32" s="301">
        <v>15313.128000000001</v>
      </c>
      <c r="CQ32" s="301">
        <v>15434.082000000002</v>
      </c>
      <c r="CR32" s="301">
        <v>14954.256000000001</v>
      </c>
      <c r="CS32" s="301">
        <v>12519.006000000001</v>
      </c>
      <c r="CT32" s="301">
        <v>12266.178</v>
      </c>
      <c r="CU32" s="301">
        <v>12641.567999999999</v>
      </c>
      <c r="CV32" s="301">
        <v>14460.851999999999</v>
      </c>
      <c r="CW32" s="301">
        <v>14167.565999999999</v>
      </c>
      <c r="CX32" s="301">
        <v>13765.031999999999</v>
      </c>
      <c r="CY32" s="301">
        <v>13376.477999999999</v>
      </c>
      <c r="CZ32" s="301">
        <v>14009.304</v>
      </c>
      <c r="DA32" s="301">
        <v>13202.838</v>
      </c>
      <c r="DB32" s="301">
        <v>12254.67</v>
      </c>
      <c r="DC32" s="301">
        <v>12639.078</v>
      </c>
      <c r="DD32" s="301">
        <v>13141.392</v>
      </c>
      <c r="DE32" s="301">
        <v>11433.258</v>
      </c>
      <c r="DF32" s="301">
        <v>10885.998</v>
      </c>
      <c r="DG32" s="301">
        <v>11314.614</v>
      </c>
      <c r="DH32" s="301">
        <v>11885.028</v>
      </c>
      <c r="DI32" s="301">
        <v>11694.18</v>
      </c>
      <c r="DJ32" s="301">
        <v>12524.748</v>
      </c>
      <c r="DK32" s="301">
        <v>12740.238000000001</v>
      </c>
      <c r="DL32" s="301">
        <v>13660.266</v>
      </c>
      <c r="DM32" s="301">
        <v>13907.964</v>
      </c>
      <c r="DN32" s="301">
        <v>13846.248</v>
      </c>
      <c r="DO32" s="301">
        <v>14588.142</v>
      </c>
      <c r="DP32" s="301">
        <v>14658.48</v>
      </c>
      <c r="DQ32" s="301">
        <v>13026.324000000001</v>
      </c>
      <c r="DR32" s="301">
        <v>13806.756000000001</v>
      </c>
      <c r="DS32" s="301">
        <v>13206.167999999998</v>
      </c>
      <c r="DT32" s="301">
        <v>14670.371999999999</v>
      </c>
      <c r="DU32" s="301">
        <v>15305.976000000001</v>
      </c>
      <c r="DV32" s="301">
        <v>18369.48</v>
      </c>
      <c r="DW32" s="301">
        <v>17962.914000000001</v>
      </c>
      <c r="DX32" s="301">
        <v>18529.542000000001</v>
      </c>
      <c r="DY32" s="301">
        <v>18717.761999999999</v>
      </c>
      <c r="DZ32" s="301">
        <v>19827.732</v>
      </c>
      <c r="EA32" s="301">
        <v>20066.13</v>
      </c>
      <c r="EB32" s="301">
        <v>21046.721999999998</v>
      </c>
      <c r="EC32" s="301">
        <v>18155.91</v>
      </c>
      <c r="ED32" s="301">
        <v>23894.351999999999</v>
      </c>
      <c r="EE32" s="301">
        <v>26460.924000000003</v>
      </c>
      <c r="EF32" s="301">
        <v>29595.023999999998</v>
      </c>
      <c r="EG32" s="301">
        <v>28722.21</v>
      </c>
      <c r="EH32" s="301">
        <v>31934.976000000002</v>
      </c>
      <c r="EI32" s="301">
        <v>31141.776000000002</v>
      </c>
      <c r="EJ32" s="301">
        <v>33375.96</v>
      </c>
      <c r="EK32" s="301">
        <v>34708.127999999997</v>
      </c>
      <c r="EL32" s="301">
        <v>32130.281999999999</v>
      </c>
      <c r="EM32" s="301">
        <v>32215.097999999998</v>
      </c>
      <c r="EN32" s="301">
        <v>30746.879999999997</v>
      </c>
      <c r="EO32" s="301">
        <v>29522.004000000001</v>
      </c>
      <c r="EP32" s="301">
        <v>32153.777999999998</v>
      </c>
      <c r="EQ32" s="301">
        <v>35324.256000000001</v>
      </c>
      <c r="ER32" s="301">
        <v>34731.767999999996</v>
      </c>
      <c r="ES32" s="301">
        <v>37023.372000000003</v>
      </c>
      <c r="ET32" s="301">
        <v>35072.118000000002</v>
      </c>
      <c r="EU32" s="301">
        <v>34921.254000000001</v>
      </c>
      <c r="EV32" s="301">
        <v>37835.081999999995</v>
      </c>
      <c r="EW32" s="301">
        <v>40691.705999999998</v>
      </c>
      <c r="EX32" s="301">
        <v>36046.457999999999</v>
      </c>
      <c r="EY32" s="301">
        <v>36267.911999999997</v>
      </c>
      <c r="EZ32" s="301">
        <v>34591.86</v>
      </c>
      <c r="FA32" s="301">
        <v>29373.39</v>
      </c>
      <c r="FB32" s="301">
        <v>29500.103999999999</v>
      </c>
      <c r="FC32" s="301">
        <v>30513.708000000002</v>
      </c>
      <c r="FD32" s="301">
        <v>34769.411999999997</v>
      </c>
      <c r="FE32" s="301">
        <v>33303.551999999996</v>
      </c>
      <c r="FF32" s="301">
        <v>35361.347999999998</v>
      </c>
      <c r="FG32" s="301">
        <v>32915.364000000001</v>
      </c>
      <c r="FH32" s="301">
        <v>32799.263999999996</v>
      </c>
      <c r="FI32" s="301">
        <v>32896.127999999997</v>
      </c>
      <c r="FJ32" s="301">
        <v>32751.288</v>
      </c>
      <c r="FK32" s="301">
        <v>34903.122000000003</v>
      </c>
      <c r="FL32" s="301">
        <v>33676.614000000001</v>
      </c>
      <c r="FM32" s="301">
        <v>29421.42</v>
      </c>
      <c r="FN32" s="301">
        <v>28611.498</v>
      </c>
      <c r="FO32" s="301">
        <v>28600.212</v>
      </c>
      <c r="FP32" s="301">
        <v>30166.973999999998</v>
      </c>
      <c r="FQ32" s="301">
        <v>28298.801999999996</v>
      </c>
      <c r="FR32" s="301">
        <v>27830.226000000002</v>
      </c>
      <c r="FS32" s="301">
        <v>27463.02</v>
      </c>
      <c r="FT32" s="301">
        <v>28050.408000000003</v>
      </c>
      <c r="FU32" s="301">
        <v>28203.822</v>
      </c>
      <c r="FV32" s="301">
        <v>28550.879999999997</v>
      </c>
      <c r="FW32" s="301">
        <v>27577.296000000002</v>
      </c>
      <c r="FX32" s="301">
        <v>26091.42</v>
      </c>
      <c r="FY32" s="301">
        <v>24252.971999999998</v>
      </c>
      <c r="FZ32" s="301">
        <v>22956.408000000003</v>
      </c>
      <c r="GA32" s="301">
        <v>23079.768</v>
      </c>
      <c r="GB32" s="301">
        <v>21688.584000000003</v>
      </c>
      <c r="GC32" s="301">
        <v>21672.732</v>
      </c>
      <c r="GD32" s="301">
        <v>22990.362000000001</v>
      </c>
      <c r="GE32" s="301">
        <v>20928.78</v>
      </c>
      <c r="GF32" s="301">
        <v>23276.874</v>
      </c>
      <c r="GG32" s="301">
        <v>22682.37</v>
      </c>
      <c r="GH32" s="301">
        <v>20118.653999999999</v>
      </c>
      <c r="GI32" s="301">
        <v>21249.402000000002</v>
      </c>
      <c r="GJ32" s="301">
        <v>22831.667999999998</v>
      </c>
      <c r="GK32" s="301">
        <v>19753.002</v>
      </c>
      <c r="GL32" s="301">
        <v>20785.031999999999</v>
      </c>
      <c r="GM32" s="301">
        <v>21518.165999999997</v>
      </c>
      <c r="GN32" s="301">
        <v>20540.993999999999</v>
      </c>
      <c r="GO32" s="301">
        <v>21585.137999999999</v>
      </c>
      <c r="GP32" s="301">
        <v>22056.84</v>
      </c>
      <c r="GQ32" s="301">
        <v>20678.61</v>
      </c>
      <c r="GR32" s="301">
        <v>22408.403999999999</v>
      </c>
      <c r="GS32" s="301">
        <v>21422.856</v>
      </c>
      <c r="GT32" s="301">
        <v>21321.966</v>
      </c>
      <c r="GU32" s="301">
        <v>22151.784</v>
      </c>
      <c r="GV32" s="301">
        <v>22317.48</v>
      </c>
      <c r="GW32" s="301">
        <v>19856.903999999999</v>
      </c>
      <c r="GX32" s="301">
        <v>19410.54</v>
      </c>
      <c r="GY32" s="301">
        <v>20963.165999999997</v>
      </c>
      <c r="GZ32" s="301">
        <v>22248.576000000001</v>
      </c>
      <c r="HA32" s="301">
        <v>21886.260000000002</v>
      </c>
      <c r="HB32" s="301">
        <v>22585.392</v>
      </c>
      <c r="HC32" s="301">
        <v>21497.921999999999</v>
      </c>
      <c r="HD32" s="301">
        <v>23999.597999999998</v>
      </c>
      <c r="HE32" s="301">
        <v>23693.082000000002</v>
      </c>
      <c r="HF32" s="301">
        <v>22623.96</v>
      </c>
      <c r="HG32" s="301">
        <v>24436.547999999999</v>
      </c>
      <c r="HH32" s="301">
        <v>24460.362000000001</v>
      </c>
      <c r="HI32" s="301">
        <v>21814.65</v>
      </c>
      <c r="HJ32" s="301">
        <v>23591.19</v>
      </c>
      <c r="HK32" s="301">
        <v>23529.522000000001</v>
      </c>
      <c r="HL32" s="301">
        <v>23641.511999999999</v>
      </c>
      <c r="HM32" s="301">
        <v>26036.634000000002</v>
      </c>
      <c r="HN32" s="301">
        <v>27088.385999999999</v>
      </c>
      <c r="HO32" s="301">
        <v>25225.188000000002</v>
      </c>
      <c r="HP32" s="333">
        <v>29404.044000000002</v>
      </c>
      <c r="HQ32" s="333">
        <v>28158.546000000002</v>
      </c>
      <c r="HR32" s="333">
        <v>27540.192000000003</v>
      </c>
      <c r="HS32" s="333">
        <v>29538.131999999998</v>
      </c>
      <c r="HT32" s="333">
        <v>30048.017999999996</v>
      </c>
      <c r="HU32" s="333">
        <v>25585.608</v>
      </c>
      <c r="HV32" s="301">
        <v>28077.629999999997</v>
      </c>
      <c r="HW32" s="301">
        <v>30521.909999999996</v>
      </c>
      <c r="HX32" s="301">
        <v>31722.149999999998</v>
      </c>
      <c r="HY32" s="301">
        <v>30750.828000000001</v>
      </c>
      <c r="HZ32" s="301">
        <v>32591.652000000002</v>
      </c>
      <c r="IA32" s="301">
        <v>33587.58</v>
      </c>
      <c r="IB32" s="301">
        <v>35326.433999999994</v>
      </c>
      <c r="IC32" s="301">
        <v>35939.100000000006</v>
      </c>
      <c r="ID32" s="301">
        <v>35922.822</v>
      </c>
      <c r="IE32" s="301">
        <v>36467.057999999997</v>
      </c>
      <c r="IF32" s="301">
        <v>37790.046000000002</v>
      </c>
      <c r="IG32" s="301">
        <v>31222.067999999999</v>
      </c>
      <c r="IH32" s="301">
        <v>33792.258000000002</v>
      </c>
      <c r="II32" s="301">
        <v>33738.288</v>
      </c>
      <c r="IJ32" s="301">
        <v>38531.129999999997</v>
      </c>
      <c r="IK32" s="301">
        <v>36963.036</v>
      </c>
      <c r="IL32" s="301">
        <v>37377.504000000001</v>
      </c>
      <c r="IM32" s="301">
        <v>37021.074000000001</v>
      </c>
      <c r="IN32" s="333">
        <v>35681.370000000003</v>
      </c>
      <c r="IO32" s="333">
        <v>37790.43</v>
      </c>
      <c r="IP32" s="333">
        <v>36880.673999999999</v>
      </c>
      <c r="IQ32" s="333">
        <v>35947.949999999997</v>
      </c>
      <c r="IR32" s="333">
        <v>36553.800000000003</v>
      </c>
      <c r="IS32" s="333">
        <v>30437.621999999999</v>
      </c>
      <c r="IT32" s="333">
        <v>31256.58</v>
      </c>
      <c r="IU32" s="333">
        <v>32229.347999999998</v>
      </c>
      <c r="IV32" s="333">
        <v>34520.622000000003</v>
      </c>
      <c r="IW32" s="334">
        <v>35177.99</v>
      </c>
      <c r="IX32" s="334">
        <v>35403.516000000003</v>
      </c>
      <c r="IY32" s="334">
        <v>33684.506000000001</v>
      </c>
      <c r="IZ32" s="334">
        <v>32439.308000000001</v>
      </c>
      <c r="JA32" s="334">
        <v>31713.067999999999</v>
      </c>
      <c r="JB32" s="334">
        <v>32347.227999999999</v>
      </c>
      <c r="JC32" s="334">
        <v>30360.18</v>
      </c>
      <c r="JD32" s="334">
        <v>31937.124</v>
      </c>
      <c r="JE32" s="334">
        <v>34148.756000000001</v>
      </c>
      <c r="JF32" s="334">
        <v>34801.012000000002</v>
      </c>
      <c r="JG32" s="334">
        <v>33907.707999999999</v>
      </c>
      <c r="JH32" s="334">
        <v>33391.642</v>
      </c>
      <c r="JI32" s="334">
        <v>35996.224000000002</v>
      </c>
      <c r="JJ32" s="334">
        <v>36700.578000000001</v>
      </c>
      <c r="JK32" s="335">
        <v>36266.858</v>
      </c>
    </row>
    <row r="33" spans="1:271" x14ac:dyDescent="0.25">
      <c r="A33" s="303" t="s">
        <v>70</v>
      </c>
      <c r="B33" s="304">
        <v>199.572</v>
      </c>
      <c r="C33" s="304">
        <v>211.65600000000001</v>
      </c>
      <c r="D33" s="304">
        <v>311.85599999999999</v>
      </c>
      <c r="E33" s="304">
        <v>277.80600000000004</v>
      </c>
      <c r="F33" s="304">
        <v>326.76599999999996</v>
      </c>
      <c r="G33" s="304">
        <v>419.52</v>
      </c>
      <c r="H33" s="304">
        <v>330.45600000000002</v>
      </c>
      <c r="I33" s="304">
        <v>457.84199999999998</v>
      </c>
      <c r="J33" s="304">
        <v>734.94600000000003</v>
      </c>
      <c r="K33" s="304">
        <v>722.61</v>
      </c>
      <c r="L33" s="304">
        <v>762.71399999999994</v>
      </c>
      <c r="M33" s="304">
        <v>571.78800000000001</v>
      </c>
      <c r="N33" s="304">
        <v>734.04</v>
      </c>
      <c r="O33" s="304">
        <v>496.26599999999996</v>
      </c>
      <c r="P33" s="304">
        <v>418.64400000000001</v>
      </c>
      <c r="Q33" s="304">
        <v>347.04599999999999</v>
      </c>
      <c r="R33" s="304">
        <v>356.61</v>
      </c>
      <c r="S33" s="304">
        <v>375.79199999999997</v>
      </c>
      <c r="T33" s="304">
        <v>302.00400000000002</v>
      </c>
      <c r="U33" s="304">
        <v>294.13200000000001</v>
      </c>
      <c r="V33" s="304">
        <v>327.37800000000004</v>
      </c>
      <c r="W33" s="304">
        <v>263.82599999999996</v>
      </c>
      <c r="X33" s="304">
        <v>229.83599999999998</v>
      </c>
      <c r="Y33" s="304">
        <v>166.03200000000001</v>
      </c>
      <c r="Z33" s="304">
        <v>226.512</v>
      </c>
      <c r="AA33" s="304">
        <v>214.93799999999999</v>
      </c>
      <c r="AB33" s="304">
        <v>268.572</v>
      </c>
      <c r="AC33" s="304">
        <v>225.42000000000002</v>
      </c>
      <c r="AD33" s="304">
        <v>264.20999999999998</v>
      </c>
      <c r="AE33" s="304">
        <v>322.26599999999996</v>
      </c>
      <c r="AF33" s="304">
        <v>346.69200000000001</v>
      </c>
      <c r="AG33" s="304">
        <v>335.82599999999996</v>
      </c>
      <c r="AH33" s="304">
        <v>375.63</v>
      </c>
      <c r="AI33" s="304">
        <v>321.93599999999998</v>
      </c>
      <c r="AJ33" s="304">
        <v>323.346</v>
      </c>
      <c r="AK33" s="304">
        <v>344.50200000000001</v>
      </c>
      <c r="AL33" s="304">
        <v>301.43399999999997</v>
      </c>
      <c r="AM33" s="304">
        <v>347.142</v>
      </c>
      <c r="AN33" s="304">
        <v>430.404</v>
      </c>
      <c r="AO33" s="304">
        <v>334.21199999999999</v>
      </c>
      <c r="AP33" s="304">
        <v>350.62800000000004</v>
      </c>
      <c r="AQ33" s="304">
        <v>367.476</v>
      </c>
      <c r="AR33" s="304">
        <v>304.82400000000001</v>
      </c>
      <c r="AS33" s="304">
        <v>293.54999999999995</v>
      </c>
      <c r="AT33" s="304">
        <v>291.25799999999998</v>
      </c>
      <c r="AU33" s="304">
        <v>300.13800000000003</v>
      </c>
      <c r="AV33" s="304">
        <v>322.42200000000003</v>
      </c>
      <c r="AW33" s="304">
        <v>401.59800000000007</v>
      </c>
      <c r="AX33" s="304">
        <v>344.59199999999998</v>
      </c>
      <c r="AY33" s="304">
        <v>391.84199999999998</v>
      </c>
      <c r="AZ33" s="304">
        <v>518.56200000000001</v>
      </c>
      <c r="BA33" s="304">
        <v>398.26800000000003</v>
      </c>
      <c r="BB33" s="304">
        <v>497.49</v>
      </c>
      <c r="BC33" s="304">
        <v>503.09400000000005</v>
      </c>
      <c r="BD33" s="304">
        <v>389.02799999999996</v>
      </c>
      <c r="BE33" s="304">
        <v>402.846</v>
      </c>
      <c r="BF33" s="304">
        <v>415.64400000000001</v>
      </c>
      <c r="BG33" s="304">
        <v>409.44600000000003</v>
      </c>
      <c r="BH33" s="304">
        <v>422.226</v>
      </c>
      <c r="BI33" s="304">
        <v>431.91600000000005</v>
      </c>
      <c r="BJ33" s="304">
        <v>369.46800000000002</v>
      </c>
      <c r="BK33" s="304">
        <v>388.87800000000004</v>
      </c>
      <c r="BL33" s="304">
        <v>405.55799999999999</v>
      </c>
      <c r="BM33" s="304">
        <v>302.02200000000005</v>
      </c>
      <c r="BN33" s="304">
        <v>320.85599999999999</v>
      </c>
      <c r="BO33" s="304">
        <v>375.62400000000002</v>
      </c>
      <c r="BP33" s="304">
        <v>290.346</v>
      </c>
      <c r="BQ33" s="304">
        <v>254.92200000000003</v>
      </c>
      <c r="BR33" s="304">
        <v>284.77200000000005</v>
      </c>
      <c r="BS33" s="304">
        <v>221.43</v>
      </c>
      <c r="BT33" s="304">
        <v>212.286</v>
      </c>
      <c r="BU33" s="304">
        <v>222.90600000000001</v>
      </c>
      <c r="BV33" s="304">
        <v>201.94199999999998</v>
      </c>
      <c r="BW33" s="304">
        <v>210.99</v>
      </c>
      <c r="BX33" s="304">
        <v>130.15800000000002</v>
      </c>
      <c r="BY33" s="304">
        <v>132.15600000000001</v>
      </c>
      <c r="BZ33" s="304">
        <v>209.01</v>
      </c>
      <c r="CA33" s="304">
        <v>277.57799999999997</v>
      </c>
      <c r="CB33" s="304">
        <v>265.93799999999999</v>
      </c>
      <c r="CC33" s="304">
        <v>155.11199999999999</v>
      </c>
      <c r="CD33" s="304">
        <v>282.18</v>
      </c>
      <c r="CE33" s="304">
        <v>225.97799999999998</v>
      </c>
      <c r="CF33" s="304">
        <v>376.464</v>
      </c>
      <c r="CG33" s="304">
        <v>313.55399999999997</v>
      </c>
      <c r="CH33" s="304">
        <v>260.93399999999997</v>
      </c>
      <c r="CI33" s="304">
        <v>309.25200000000001</v>
      </c>
      <c r="CJ33" s="304">
        <v>330.54599999999999</v>
      </c>
      <c r="CK33" s="304">
        <v>258.69600000000003</v>
      </c>
      <c r="CL33" s="304">
        <v>274.87800000000004</v>
      </c>
      <c r="CM33" s="304">
        <v>329.64600000000002</v>
      </c>
      <c r="CN33" s="304">
        <v>246.55199999999999</v>
      </c>
      <c r="CO33" s="304">
        <v>246.89400000000001</v>
      </c>
      <c r="CP33" s="304">
        <v>292.17599999999999</v>
      </c>
      <c r="CQ33" s="304">
        <v>258.14400000000001</v>
      </c>
      <c r="CR33" s="304">
        <v>274.40999999999997</v>
      </c>
      <c r="CS33" s="304">
        <v>258.61799999999999</v>
      </c>
      <c r="CT33" s="304">
        <v>107.08200000000001</v>
      </c>
      <c r="CU33" s="304">
        <v>88.158000000000001</v>
      </c>
      <c r="CV33" s="304">
        <v>126.37200000000001</v>
      </c>
      <c r="CW33" s="304">
        <v>106.518</v>
      </c>
      <c r="CX33" s="304">
        <v>105.756</v>
      </c>
      <c r="CY33" s="304">
        <v>123.648</v>
      </c>
      <c r="CZ33" s="304">
        <v>100.38600000000001</v>
      </c>
      <c r="DA33" s="304">
        <v>106.866</v>
      </c>
      <c r="DB33" s="304">
        <v>123.366</v>
      </c>
      <c r="DC33" s="304">
        <v>101.62200000000001</v>
      </c>
      <c r="DD33" s="304">
        <v>125.09399999999999</v>
      </c>
      <c r="DE33" s="304">
        <v>156.49799999999999</v>
      </c>
      <c r="DF33" s="304">
        <v>180.31800000000001</v>
      </c>
      <c r="DG33" s="304">
        <v>210.87</v>
      </c>
      <c r="DH33" s="304">
        <v>280.23599999999999</v>
      </c>
      <c r="DI33" s="304">
        <v>306.59399999999999</v>
      </c>
      <c r="DJ33" s="304">
        <v>308.358</v>
      </c>
      <c r="DK33" s="304">
        <v>386.65199999999993</v>
      </c>
      <c r="DL33" s="304">
        <v>415.87800000000004</v>
      </c>
      <c r="DM33" s="304">
        <v>458.80200000000002</v>
      </c>
      <c r="DN33" s="304">
        <v>388.13399999999996</v>
      </c>
      <c r="DO33" s="304">
        <v>280.66800000000001</v>
      </c>
      <c r="DP33" s="304">
        <v>274.02</v>
      </c>
      <c r="DQ33" s="304">
        <v>264.87599999999998</v>
      </c>
      <c r="DR33" s="304">
        <v>221.25</v>
      </c>
      <c r="DS33" s="304">
        <v>240.51599999999999</v>
      </c>
      <c r="DT33" s="304">
        <v>328.13400000000001</v>
      </c>
      <c r="DU33" s="304">
        <v>322.77</v>
      </c>
      <c r="DV33" s="304">
        <v>340.07400000000001</v>
      </c>
      <c r="DW33" s="304">
        <v>460.29</v>
      </c>
      <c r="DX33" s="304">
        <v>414.03</v>
      </c>
      <c r="DY33" s="304">
        <v>416.64</v>
      </c>
      <c r="DZ33" s="304">
        <v>451.476</v>
      </c>
      <c r="EA33" s="304">
        <v>435.73199999999997</v>
      </c>
      <c r="EB33" s="304">
        <v>449.84999999999997</v>
      </c>
      <c r="EC33" s="304">
        <v>471.108</v>
      </c>
      <c r="ED33" s="304">
        <v>489.58199999999999</v>
      </c>
      <c r="EE33" s="304">
        <v>435.60599999999999</v>
      </c>
      <c r="EF33" s="304">
        <v>473.976</v>
      </c>
      <c r="EG33" s="304">
        <v>461.964</v>
      </c>
      <c r="EH33" s="304">
        <v>537.73800000000006</v>
      </c>
      <c r="EI33" s="304">
        <v>482.54999999999995</v>
      </c>
      <c r="EJ33" s="304">
        <v>354.52800000000002</v>
      </c>
      <c r="EK33" s="304">
        <v>207.732</v>
      </c>
      <c r="EL33" s="304">
        <v>204.642</v>
      </c>
      <c r="EM33" s="304">
        <v>164.25</v>
      </c>
      <c r="EN33" s="304">
        <v>150.66</v>
      </c>
      <c r="EO33" s="304">
        <v>169.63800000000001</v>
      </c>
      <c r="EP33" s="304">
        <v>148.20600000000002</v>
      </c>
      <c r="EQ33" s="304">
        <v>159.34199999999998</v>
      </c>
      <c r="ER33" s="304">
        <v>176.922</v>
      </c>
      <c r="ES33" s="304">
        <v>168.35999999999999</v>
      </c>
      <c r="ET33" s="304">
        <v>156.36599999999999</v>
      </c>
      <c r="EU33" s="304">
        <v>176.65199999999999</v>
      </c>
      <c r="EV33" s="304">
        <v>151.608</v>
      </c>
      <c r="EW33" s="304">
        <v>163.62</v>
      </c>
      <c r="EX33" s="304">
        <v>196.512</v>
      </c>
      <c r="EY33" s="304">
        <v>184.94400000000002</v>
      </c>
      <c r="EZ33" s="304">
        <v>187.84800000000001</v>
      </c>
      <c r="FA33" s="304">
        <v>175.61399999999998</v>
      </c>
      <c r="FB33" s="304">
        <v>172.446</v>
      </c>
      <c r="FC33" s="304">
        <v>173.79</v>
      </c>
      <c r="FD33" s="304">
        <v>175.15199999999999</v>
      </c>
      <c r="FE33" s="304">
        <v>192.28199999999998</v>
      </c>
      <c r="FF33" s="304">
        <v>191.86199999999999</v>
      </c>
      <c r="FG33" s="304">
        <v>173.02199999999999</v>
      </c>
      <c r="FH33" s="304">
        <v>182.60400000000001</v>
      </c>
      <c r="FI33" s="304">
        <v>163.392</v>
      </c>
      <c r="FJ33" s="304">
        <v>153.53399999999999</v>
      </c>
      <c r="FK33" s="304">
        <v>175.22399999999999</v>
      </c>
      <c r="FL33" s="304">
        <v>188.85599999999999</v>
      </c>
      <c r="FM33" s="304">
        <v>166.33799999999999</v>
      </c>
      <c r="FN33" s="304">
        <v>157.93199999999999</v>
      </c>
      <c r="FO33" s="304">
        <v>182.22</v>
      </c>
      <c r="FP33" s="304">
        <v>196.11</v>
      </c>
      <c r="FQ33" s="304">
        <v>170.40600000000001</v>
      </c>
      <c r="FR33" s="304">
        <v>151.25399999999999</v>
      </c>
      <c r="FS33" s="304">
        <v>147.56400000000002</v>
      </c>
      <c r="FT33" s="304">
        <v>156.19800000000001</v>
      </c>
      <c r="FU33" s="304">
        <v>145.554</v>
      </c>
      <c r="FV33" s="304">
        <v>155.71799999999999</v>
      </c>
      <c r="FW33" s="304">
        <v>176.79</v>
      </c>
      <c r="FX33" s="304">
        <v>231.23400000000001</v>
      </c>
      <c r="FY33" s="304">
        <v>142.14000000000001</v>
      </c>
      <c r="FZ33" s="304">
        <v>133.35000000000002</v>
      </c>
      <c r="GA33" s="304">
        <v>167.74200000000002</v>
      </c>
      <c r="GB33" s="304">
        <v>199.89600000000002</v>
      </c>
      <c r="GC33" s="304">
        <v>202.78800000000001</v>
      </c>
      <c r="GD33" s="304">
        <v>243.97199999999998</v>
      </c>
      <c r="GE33" s="304">
        <v>268.06799999999998</v>
      </c>
      <c r="GF33" s="304">
        <v>491.73</v>
      </c>
      <c r="GG33" s="304">
        <v>578.81999999999994</v>
      </c>
      <c r="GH33" s="304">
        <v>541.87199999999996</v>
      </c>
      <c r="GI33" s="304">
        <v>544.524</v>
      </c>
      <c r="GJ33" s="304">
        <v>449.70000000000005</v>
      </c>
      <c r="GK33" s="304">
        <v>439.56000000000006</v>
      </c>
      <c r="GL33" s="304">
        <v>456.726</v>
      </c>
      <c r="GM33" s="304">
        <v>515.5440000000001</v>
      </c>
      <c r="GN33" s="304">
        <v>716.74199999999996</v>
      </c>
      <c r="GO33" s="304">
        <v>879.24</v>
      </c>
      <c r="GP33" s="304">
        <v>930.14400000000001</v>
      </c>
      <c r="GQ33" s="304">
        <v>907.37999999999988</v>
      </c>
      <c r="GR33" s="304">
        <v>1019.7359999999999</v>
      </c>
      <c r="GS33" s="304">
        <v>1168.5120000000002</v>
      </c>
      <c r="GT33" s="304">
        <v>1257.3779999999999</v>
      </c>
      <c r="GU33" s="304">
        <v>1397.46</v>
      </c>
      <c r="GV33" s="304">
        <v>1561.098</v>
      </c>
      <c r="GW33" s="304">
        <v>1557.87</v>
      </c>
      <c r="GX33" s="304">
        <v>2009.9640000000002</v>
      </c>
      <c r="GY33" s="304">
        <v>2604.96</v>
      </c>
      <c r="GZ33" s="304">
        <v>3517.038</v>
      </c>
      <c r="HA33" s="304">
        <v>3407.652</v>
      </c>
      <c r="HB33" s="304">
        <v>3672.57</v>
      </c>
      <c r="HC33" s="304">
        <v>3432.8459999999995</v>
      </c>
      <c r="HD33" s="304">
        <v>3186.93</v>
      </c>
      <c r="HE33" s="304">
        <v>2701.9740000000002</v>
      </c>
      <c r="HF33" s="304">
        <v>2602.3319999999999</v>
      </c>
      <c r="HG33" s="304">
        <v>3224.3040000000001</v>
      </c>
      <c r="HH33" s="304">
        <v>3095.7779999999998</v>
      </c>
      <c r="HI33" s="304">
        <v>2744.1179999999999</v>
      </c>
      <c r="HJ33" s="304">
        <v>2768.826</v>
      </c>
      <c r="HK33" s="304">
        <v>2868.0540000000001</v>
      </c>
      <c r="HL33" s="304">
        <v>3074.5680000000002</v>
      </c>
      <c r="HM33" s="304">
        <v>2973.0540000000001</v>
      </c>
      <c r="HN33" s="304">
        <v>3267.3239999999996</v>
      </c>
      <c r="HO33" s="304">
        <v>3001.41</v>
      </c>
      <c r="HP33" s="304">
        <v>2569.788</v>
      </c>
      <c r="HQ33" s="304">
        <v>2179.5839999999998</v>
      </c>
      <c r="HR33" s="304">
        <v>1554.9180000000001</v>
      </c>
      <c r="HS33" s="304">
        <v>1338.864</v>
      </c>
      <c r="HT33" s="304">
        <v>1293.72</v>
      </c>
      <c r="HU33" s="304">
        <v>988.28399999999999</v>
      </c>
      <c r="HV33" s="304">
        <v>892.17</v>
      </c>
      <c r="HW33" s="304">
        <v>873.18000000000006</v>
      </c>
      <c r="HX33" s="304">
        <v>1099.4159999999999</v>
      </c>
      <c r="HY33" s="304">
        <v>1120.6500000000001</v>
      </c>
      <c r="HZ33" s="304">
        <v>1096.3799999999999</v>
      </c>
      <c r="IA33" s="304">
        <v>1023.6960000000001</v>
      </c>
      <c r="IB33" s="304">
        <v>1035.252</v>
      </c>
      <c r="IC33" s="304">
        <v>1020.078</v>
      </c>
      <c r="ID33" s="304">
        <v>1057.518</v>
      </c>
      <c r="IE33" s="304">
        <v>1121.922</v>
      </c>
      <c r="IF33" s="304">
        <v>874.73399999999992</v>
      </c>
      <c r="IG33" s="304">
        <v>896.66399999999999</v>
      </c>
      <c r="IH33" s="304">
        <v>884.55000000000007</v>
      </c>
      <c r="II33" s="304">
        <v>954.56399999999996</v>
      </c>
      <c r="IJ33" s="304">
        <v>1203.018</v>
      </c>
      <c r="IK33" s="304">
        <v>1239.6779999999999</v>
      </c>
      <c r="IL33" s="304">
        <v>1388.424</v>
      </c>
      <c r="IM33" s="304">
        <v>1601.8679999999999</v>
      </c>
      <c r="IN33" s="12">
        <v>1763.6100000000001</v>
      </c>
      <c r="IO33" s="12">
        <v>2006.8980000000001</v>
      </c>
      <c r="IP33" s="12">
        <v>2039.616</v>
      </c>
      <c r="IQ33" s="12">
        <v>2280.21</v>
      </c>
      <c r="IR33" s="12">
        <v>2282.0639999999999</v>
      </c>
      <c r="IS33" s="12">
        <v>2118.1619999999998</v>
      </c>
      <c r="IT33" s="12">
        <v>2379.63</v>
      </c>
      <c r="IU33" s="12">
        <v>2734.7219999999998</v>
      </c>
      <c r="IV33" s="12">
        <v>3074.2259999999997</v>
      </c>
      <c r="IW33" s="12">
        <v>3698.16</v>
      </c>
      <c r="IX33" s="12">
        <v>4388.9939999999997</v>
      </c>
      <c r="IY33" s="12">
        <v>5465.9859999999999</v>
      </c>
      <c r="IZ33" s="12">
        <v>6099.3959999999997</v>
      </c>
      <c r="JA33" s="12">
        <v>6903.558</v>
      </c>
      <c r="JB33" s="12">
        <v>7581.0079999999998</v>
      </c>
      <c r="JC33" s="12">
        <v>7363.1940000000004</v>
      </c>
      <c r="JD33" s="12">
        <v>7482.2359999999999</v>
      </c>
      <c r="JE33" s="12">
        <v>7936.576</v>
      </c>
      <c r="JF33" s="12">
        <v>7875.68</v>
      </c>
      <c r="JG33" s="12">
        <v>6177.8459999999995</v>
      </c>
      <c r="JH33" s="12">
        <v>4727.7879999999996</v>
      </c>
      <c r="JI33" s="12">
        <v>4493.0479999999998</v>
      </c>
      <c r="JJ33" s="12">
        <v>4182.8320000000003</v>
      </c>
      <c r="JK33" s="336">
        <v>3796.2179999999998</v>
      </c>
    </row>
    <row r="34" spans="1:271" x14ac:dyDescent="0.25">
      <c r="A34" s="303" t="s">
        <v>71</v>
      </c>
      <c r="B34" s="301">
        <v>778.98</v>
      </c>
      <c r="C34" s="301">
        <v>780.43200000000002</v>
      </c>
      <c r="D34" s="301">
        <v>773.55599999999993</v>
      </c>
      <c r="E34" s="301">
        <v>800.97600000000011</v>
      </c>
      <c r="F34" s="301">
        <v>819.48599999999988</v>
      </c>
      <c r="G34" s="301">
        <v>1046.2439999999999</v>
      </c>
      <c r="H34" s="301">
        <v>869.22</v>
      </c>
      <c r="I34" s="301">
        <v>826.74</v>
      </c>
      <c r="J34" s="301">
        <v>610.524</v>
      </c>
      <c r="K34" s="301">
        <v>816.71399999999994</v>
      </c>
      <c r="L34" s="301">
        <v>846.30599999999993</v>
      </c>
      <c r="M34" s="301">
        <v>1019.328</v>
      </c>
      <c r="N34" s="301">
        <v>838.87200000000007</v>
      </c>
      <c r="O34" s="301">
        <v>943.0440000000001</v>
      </c>
      <c r="P34" s="301">
        <v>1470.9119999999998</v>
      </c>
      <c r="Q34" s="301">
        <v>1618.02</v>
      </c>
      <c r="R34" s="301">
        <v>1063.1759999999999</v>
      </c>
      <c r="S34" s="301">
        <v>927.3119999999999</v>
      </c>
      <c r="T34" s="301">
        <v>746.73599999999999</v>
      </c>
      <c r="U34" s="301">
        <v>742.77600000000007</v>
      </c>
      <c r="V34" s="301">
        <v>859.44600000000014</v>
      </c>
      <c r="W34" s="301">
        <v>758.43000000000006</v>
      </c>
      <c r="X34" s="301">
        <v>803.19</v>
      </c>
      <c r="Y34" s="301">
        <v>789.83999999999992</v>
      </c>
      <c r="Z34" s="301">
        <v>784.19400000000007</v>
      </c>
      <c r="AA34" s="301">
        <v>919.68600000000004</v>
      </c>
      <c r="AB34" s="301">
        <v>1228.7460000000001</v>
      </c>
      <c r="AC34" s="301">
        <v>970.80599999999993</v>
      </c>
      <c r="AD34" s="301">
        <v>956.61</v>
      </c>
      <c r="AE34" s="301">
        <v>897.81600000000003</v>
      </c>
      <c r="AF34" s="301">
        <v>1048.056</v>
      </c>
      <c r="AG34" s="301">
        <v>1214.7719999999999</v>
      </c>
      <c r="AH34" s="301">
        <v>998.76600000000008</v>
      </c>
      <c r="AI34" s="301">
        <v>1308.972</v>
      </c>
      <c r="AJ34" s="301">
        <v>1072.3020000000001</v>
      </c>
      <c r="AK34" s="301">
        <v>963.03600000000006</v>
      </c>
      <c r="AL34" s="301">
        <v>1355.46</v>
      </c>
      <c r="AM34" s="301">
        <v>1486.0619999999999</v>
      </c>
      <c r="AN34" s="301">
        <v>1431.402</v>
      </c>
      <c r="AO34" s="301">
        <v>1253.3700000000001</v>
      </c>
      <c r="AP34" s="301">
        <v>1241.9279999999999</v>
      </c>
      <c r="AQ34" s="301">
        <v>848.84399999999994</v>
      </c>
      <c r="AR34" s="301">
        <v>1480.7339999999999</v>
      </c>
      <c r="AS34" s="301">
        <v>1366.4939999999999</v>
      </c>
      <c r="AT34" s="301">
        <v>1102.3799999999999</v>
      </c>
      <c r="AU34" s="301">
        <v>1320.8340000000001</v>
      </c>
      <c r="AV34" s="301">
        <v>1093.164</v>
      </c>
      <c r="AW34" s="301">
        <v>1120.0740000000001</v>
      </c>
      <c r="AX34" s="301">
        <v>866.62200000000007</v>
      </c>
      <c r="AY34" s="301">
        <v>1021.716</v>
      </c>
      <c r="AZ34" s="301">
        <v>1095.2159999999999</v>
      </c>
      <c r="BA34" s="301">
        <v>1143.732</v>
      </c>
      <c r="BB34" s="301">
        <v>1022.4119999999999</v>
      </c>
      <c r="BC34" s="301">
        <v>1078.0319999999999</v>
      </c>
      <c r="BD34" s="301">
        <v>1138.3380000000002</v>
      </c>
      <c r="BE34" s="301">
        <v>1356.492</v>
      </c>
      <c r="BF34" s="301">
        <v>972.26400000000012</v>
      </c>
      <c r="BG34" s="301">
        <v>1072.2719999999999</v>
      </c>
      <c r="BH34" s="301">
        <v>1194.3240000000001</v>
      </c>
      <c r="BI34" s="301">
        <v>1101.48</v>
      </c>
      <c r="BJ34" s="301">
        <v>1250.5740000000001</v>
      </c>
      <c r="BK34" s="301">
        <v>1301.904</v>
      </c>
      <c r="BL34" s="301">
        <v>1286.0880000000002</v>
      </c>
      <c r="BM34" s="301">
        <v>1531.356</v>
      </c>
      <c r="BN34" s="301">
        <v>1454.922</v>
      </c>
      <c r="BO34" s="301">
        <v>1162.518</v>
      </c>
      <c r="BP34" s="301">
        <v>1122.48</v>
      </c>
      <c r="BQ34" s="301">
        <v>1228.92</v>
      </c>
      <c r="BR34" s="301">
        <v>1079.904</v>
      </c>
      <c r="BS34" s="301">
        <v>1015.9259999999999</v>
      </c>
      <c r="BT34" s="301">
        <v>1074.5340000000001</v>
      </c>
      <c r="BU34" s="301">
        <v>941.92200000000003</v>
      </c>
      <c r="BV34" s="301">
        <v>1327.4760000000001</v>
      </c>
      <c r="BW34" s="301">
        <v>1095.8879999999999</v>
      </c>
      <c r="BX34" s="301">
        <v>1212.96</v>
      </c>
      <c r="BY34" s="301">
        <v>1140.8579999999999</v>
      </c>
      <c r="BZ34" s="301">
        <v>1072.9259999999999</v>
      </c>
      <c r="CA34" s="301">
        <v>1393.086</v>
      </c>
      <c r="CB34" s="301">
        <v>1253.1120000000001</v>
      </c>
      <c r="CC34" s="301">
        <v>830.33999999999992</v>
      </c>
      <c r="CD34" s="301">
        <v>953.38799999999992</v>
      </c>
      <c r="CE34" s="301">
        <v>1021.002</v>
      </c>
      <c r="CF34" s="301">
        <v>1213.9559999999999</v>
      </c>
      <c r="CG34" s="301">
        <v>998.37000000000012</v>
      </c>
      <c r="CH34" s="301">
        <v>1219.6379999999999</v>
      </c>
      <c r="CI34" s="301">
        <v>1470.2940000000001</v>
      </c>
      <c r="CJ34" s="301">
        <v>1076.6100000000001</v>
      </c>
      <c r="CK34" s="301">
        <v>1118.712</v>
      </c>
      <c r="CL34" s="301">
        <v>1031.8499999999999</v>
      </c>
      <c r="CM34" s="301">
        <v>956.89200000000005</v>
      </c>
      <c r="CN34" s="301">
        <v>1050.5639999999999</v>
      </c>
      <c r="CO34" s="301">
        <v>842.65200000000004</v>
      </c>
      <c r="CP34" s="301">
        <v>868.47</v>
      </c>
      <c r="CQ34" s="301">
        <v>993.30000000000007</v>
      </c>
      <c r="CR34" s="301">
        <v>1066.4279999999999</v>
      </c>
      <c r="CS34" s="301">
        <v>1185.318</v>
      </c>
      <c r="CT34" s="301">
        <v>1000.1940000000001</v>
      </c>
      <c r="CU34" s="301">
        <v>944.37000000000012</v>
      </c>
      <c r="CV34" s="301">
        <v>1063.6979999999999</v>
      </c>
      <c r="CW34" s="301">
        <v>1143</v>
      </c>
      <c r="CX34" s="301">
        <v>997.29</v>
      </c>
      <c r="CY34" s="301">
        <v>896.5440000000001</v>
      </c>
      <c r="CZ34" s="301">
        <v>891.93000000000006</v>
      </c>
      <c r="DA34" s="301">
        <v>657</v>
      </c>
      <c r="DB34" s="301">
        <v>669.05399999999997</v>
      </c>
      <c r="DC34" s="301">
        <v>774.34799999999996</v>
      </c>
      <c r="DD34" s="301">
        <v>636.49800000000005</v>
      </c>
      <c r="DE34" s="301">
        <v>704.06999999999994</v>
      </c>
      <c r="DF34" s="301">
        <v>672.94200000000001</v>
      </c>
      <c r="DG34" s="301">
        <v>685.36200000000008</v>
      </c>
      <c r="DH34" s="301">
        <v>751.50600000000009</v>
      </c>
      <c r="DI34" s="301">
        <v>667.88400000000001</v>
      </c>
      <c r="DJ34" s="301">
        <v>674.57400000000007</v>
      </c>
      <c r="DK34" s="301">
        <v>603.36</v>
      </c>
      <c r="DL34" s="301">
        <v>475.33799999999997</v>
      </c>
      <c r="DM34" s="301">
        <v>429.76800000000003</v>
      </c>
      <c r="DN34" s="301">
        <v>432.01199999999994</v>
      </c>
      <c r="DO34" s="301">
        <v>493.72200000000004</v>
      </c>
      <c r="DP34" s="301">
        <v>956.84999999999991</v>
      </c>
      <c r="DQ34" s="301">
        <v>463.95599999999996</v>
      </c>
      <c r="DR34" s="301">
        <v>490.428</v>
      </c>
      <c r="DS34" s="301">
        <v>588.048</v>
      </c>
      <c r="DT34" s="301">
        <v>650.06399999999996</v>
      </c>
      <c r="DU34" s="301">
        <v>598.16399999999999</v>
      </c>
      <c r="DV34" s="301">
        <v>826.21800000000007</v>
      </c>
      <c r="DW34" s="301">
        <v>654.68399999999997</v>
      </c>
      <c r="DX34" s="301">
        <v>701.24399999999991</v>
      </c>
      <c r="DY34" s="301">
        <v>783.94200000000001</v>
      </c>
      <c r="DZ34" s="301">
        <v>939.42</v>
      </c>
      <c r="EA34" s="301">
        <v>939.88799999999992</v>
      </c>
      <c r="EB34" s="301">
        <v>965.31600000000003</v>
      </c>
      <c r="EC34" s="301">
        <v>847.404</v>
      </c>
      <c r="ED34" s="301">
        <v>859.80599999999993</v>
      </c>
      <c r="EE34" s="301">
        <v>1439.154</v>
      </c>
      <c r="EF34" s="301">
        <v>1297.836</v>
      </c>
      <c r="EG34" s="301">
        <v>908.74800000000005</v>
      </c>
      <c r="EH34" s="301">
        <v>1287.7560000000001</v>
      </c>
      <c r="EI34" s="301">
        <v>908.04600000000005</v>
      </c>
      <c r="EJ34" s="301">
        <v>861.12599999999998</v>
      </c>
      <c r="EK34" s="301">
        <v>932.41199999999992</v>
      </c>
      <c r="EL34" s="301">
        <v>728.78399999999999</v>
      </c>
      <c r="EM34" s="301">
        <v>865.26600000000008</v>
      </c>
      <c r="EN34" s="301">
        <v>811.22400000000005</v>
      </c>
      <c r="EO34" s="301">
        <v>771.50400000000002</v>
      </c>
      <c r="EP34" s="301">
        <v>812.23799999999994</v>
      </c>
      <c r="EQ34" s="301">
        <v>846.85199999999998</v>
      </c>
      <c r="ER34" s="301">
        <v>788.178</v>
      </c>
      <c r="ES34" s="301">
        <v>813.72</v>
      </c>
      <c r="ET34" s="301">
        <v>693.59999999999991</v>
      </c>
      <c r="EU34" s="301">
        <v>533.16600000000005</v>
      </c>
      <c r="EV34" s="301">
        <v>575.69399999999996</v>
      </c>
      <c r="EW34" s="301">
        <v>518.57400000000007</v>
      </c>
      <c r="EX34" s="301">
        <v>550.54200000000003</v>
      </c>
      <c r="EY34" s="301">
        <v>565.51800000000003</v>
      </c>
      <c r="EZ34" s="301">
        <v>733.06200000000001</v>
      </c>
      <c r="FA34" s="301">
        <v>656.36400000000003</v>
      </c>
      <c r="FB34" s="301">
        <v>672.73199999999997</v>
      </c>
      <c r="FC34" s="301">
        <v>747.24599999999998</v>
      </c>
      <c r="FD34" s="301">
        <v>1233.9119999999998</v>
      </c>
      <c r="FE34" s="301">
        <v>672.28800000000001</v>
      </c>
      <c r="FF34" s="301">
        <v>610.33799999999997</v>
      </c>
      <c r="FG34" s="301">
        <v>419.68200000000002</v>
      </c>
      <c r="FH34" s="301">
        <v>473.25</v>
      </c>
      <c r="FI34" s="301">
        <v>510.76199999999994</v>
      </c>
      <c r="FJ34" s="301">
        <v>514.05600000000004</v>
      </c>
      <c r="FK34" s="301">
        <v>572.25600000000009</v>
      </c>
      <c r="FL34" s="301">
        <v>587.59800000000007</v>
      </c>
      <c r="FM34" s="301">
        <v>565.03800000000001</v>
      </c>
      <c r="FN34" s="301">
        <v>690.13200000000006</v>
      </c>
      <c r="FO34" s="301">
        <v>643.16999999999996</v>
      </c>
      <c r="FP34" s="301">
        <v>778.23</v>
      </c>
      <c r="FQ34" s="301">
        <v>681.60599999999999</v>
      </c>
      <c r="FR34" s="301">
        <v>725.49</v>
      </c>
      <c r="FS34" s="301">
        <v>691.07400000000007</v>
      </c>
      <c r="FT34" s="301">
        <v>712.87800000000004</v>
      </c>
      <c r="FU34" s="301">
        <v>696.76800000000003</v>
      </c>
      <c r="FV34" s="301">
        <v>711.87</v>
      </c>
      <c r="FW34" s="301">
        <v>670.48199999999997</v>
      </c>
      <c r="FX34" s="301">
        <v>648.34199999999998</v>
      </c>
      <c r="FY34" s="301">
        <v>474.63</v>
      </c>
      <c r="FZ34" s="301">
        <v>461.25600000000003</v>
      </c>
      <c r="GA34" s="301">
        <v>661.31399999999996</v>
      </c>
      <c r="GB34" s="301">
        <v>672.25199999999995</v>
      </c>
      <c r="GC34" s="301">
        <v>541.53600000000006</v>
      </c>
      <c r="GD34" s="301">
        <v>536.03399999999999</v>
      </c>
      <c r="GE34" s="301">
        <v>548.13599999999997</v>
      </c>
      <c r="GF34" s="301">
        <v>518.68200000000002</v>
      </c>
      <c r="GG34" s="301">
        <v>459.60599999999999</v>
      </c>
      <c r="GH34" s="301">
        <v>472.71</v>
      </c>
      <c r="GI34" s="301">
        <v>485.34000000000003</v>
      </c>
      <c r="GJ34" s="301">
        <v>545.60400000000004</v>
      </c>
      <c r="GK34" s="301">
        <v>463.20000000000005</v>
      </c>
      <c r="GL34" s="301">
        <v>519.49800000000005</v>
      </c>
      <c r="GM34" s="301">
        <v>565.08000000000004</v>
      </c>
      <c r="GN34" s="301">
        <v>674.16600000000005</v>
      </c>
      <c r="GO34" s="301">
        <v>556.31399999999996</v>
      </c>
      <c r="GP34" s="301">
        <v>564.06600000000003</v>
      </c>
      <c r="GQ34" s="301">
        <v>489.60599999999999</v>
      </c>
      <c r="GR34" s="301">
        <v>470.43600000000004</v>
      </c>
      <c r="GS34" s="301">
        <v>484.15199999999993</v>
      </c>
      <c r="GT34" s="301">
        <v>523.26599999999996</v>
      </c>
      <c r="GU34" s="301">
        <v>526.16999999999996</v>
      </c>
      <c r="GV34" s="301">
        <v>569.40000000000009</v>
      </c>
      <c r="GW34" s="301">
        <v>490.572</v>
      </c>
      <c r="GX34" s="301">
        <v>576.11400000000003</v>
      </c>
      <c r="GY34" s="301">
        <v>564.4559999999999</v>
      </c>
      <c r="GZ34" s="301">
        <v>863.14800000000002</v>
      </c>
      <c r="HA34" s="301">
        <v>964.75800000000004</v>
      </c>
      <c r="HB34" s="301">
        <v>937.87799999999993</v>
      </c>
      <c r="HC34" s="301">
        <v>975.19799999999987</v>
      </c>
      <c r="HD34" s="301">
        <v>993.18600000000004</v>
      </c>
      <c r="HE34" s="301">
        <v>987.58200000000011</v>
      </c>
      <c r="HF34" s="301">
        <v>1004.682</v>
      </c>
      <c r="HG34" s="301">
        <v>1263.576</v>
      </c>
      <c r="HH34" s="301">
        <v>1295.3879999999999</v>
      </c>
      <c r="HI34" s="301">
        <v>1090.1759999999999</v>
      </c>
      <c r="HJ34" s="301">
        <v>1210.5720000000001</v>
      </c>
      <c r="HK34" s="301">
        <v>1443.4559999999999</v>
      </c>
      <c r="HL34" s="301">
        <v>1380.498</v>
      </c>
      <c r="HM34" s="301">
        <v>975.72</v>
      </c>
      <c r="HN34" s="301">
        <v>1044.252</v>
      </c>
      <c r="HO34" s="301">
        <v>864.79200000000003</v>
      </c>
      <c r="HP34" s="333">
        <v>947.43000000000006</v>
      </c>
      <c r="HQ34" s="333">
        <v>878.79</v>
      </c>
      <c r="HR34" s="333">
        <v>864.26400000000012</v>
      </c>
      <c r="HS34" s="333">
        <v>1007.3579999999999</v>
      </c>
      <c r="HT34" s="333">
        <v>1072.098</v>
      </c>
      <c r="HU34" s="333">
        <v>940.19400000000007</v>
      </c>
      <c r="HV34" s="301">
        <v>1029.8220000000001</v>
      </c>
      <c r="HW34" s="301">
        <v>1121.4839999999999</v>
      </c>
      <c r="HX34" s="301">
        <v>1202.3519999999999</v>
      </c>
      <c r="HY34" s="301">
        <v>1064.076</v>
      </c>
      <c r="HZ34" s="301">
        <v>1128.558</v>
      </c>
      <c r="IA34" s="301">
        <v>1055.6999999999998</v>
      </c>
      <c r="IB34" s="301">
        <v>987.42</v>
      </c>
      <c r="IC34" s="301">
        <v>883.94999999999993</v>
      </c>
      <c r="ID34" s="301">
        <v>920.76600000000008</v>
      </c>
      <c r="IE34" s="301">
        <v>942.03600000000006</v>
      </c>
      <c r="IF34" s="301">
        <v>895.58400000000006</v>
      </c>
      <c r="IG34" s="301">
        <v>893.07600000000002</v>
      </c>
      <c r="IH34" s="301">
        <v>859.77</v>
      </c>
      <c r="II34" s="301">
        <v>855.4559999999999</v>
      </c>
      <c r="IJ34" s="301">
        <v>1017.5520000000001</v>
      </c>
      <c r="IK34" s="301">
        <v>1199.904</v>
      </c>
      <c r="IL34" s="301">
        <v>1067.79</v>
      </c>
      <c r="IM34" s="301">
        <v>975.04200000000003</v>
      </c>
      <c r="IN34" s="333">
        <v>953.23200000000008</v>
      </c>
      <c r="IO34" s="333">
        <v>1060.92</v>
      </c>
      <c r="IP34" s="333">
        <v>1100.22</v>
      </c>
      <c r="IQ34" s="333">
        <v>1268.232</v>
      </c>
      <c r="IR34" s="333">
        <v>1412.91</v>
      </c>
      <c r="IS34" s="333">
        <v>1249.146</v>
      </c>
      <c r="IT34" s="333">
        <v>1460.106</v>
      </c>
      <c r="IU34" s="333">
        <v>1502.6279999999999</v>
      </c>
      <c r="IV34" s="333">
        <v>1771.9679999999998</v>
      </c>
      <c r="IW34" s="334">
        <v>1750.182</v>
      </c>
      <c r="IX34" s="334">
        <v>1874.326</v>
      </c>
      <c r="IY34" s="334">
        <v>1850.9</v>
      </c>
      <c r="IZ34" s="334">
        <v>1464.338</v>
      </c>
      <c r="JA34" s="334">
        <v>1667.856</v>
      </c>
      <c r="JB34" s="334">
        <v>1642.114</v>
      </c>
      <c r="JC34" s="334">
        <v>1903.0719999999999</v>
      </c>
      <c r="JD34" s="334">
        <v>1482.2919999999999</v>
      </c>
      <c r="JE34" s="334">
        <v>1458.0840000000001</v>
      </c>
      <c r="JF34" s="334">
        <v>1573.116</v>
      </c>
      <c r="JG34" s="334">
        <v>1513.58</v>
      </c>
      <c r="JH34" s="334">
        <v>1682.7560000000001</v>
      </c>
      <c r="JI34" s="334">
        <v>1878.76</v>
      </c>
      <c r="JJ34" s="334">
        <v>1390.6379999999999</v>
      </c>
      <c r="JK34" s="540">
        <v>1557.086</v>
      </c>
    </row>
    <row r="35" spans="1:271" x14ac:dyDescent="0.25">
      <c r="A35" s="303" t="s">
        <v>72</v>
      </c>
      <c r="B35" s="304">
        <v>2894.7</v>
      </c>
      <c r="C35" s="304">
        <v>2932.056</v>
      </c>
      <c r="D35" s="304">
        <v>4343.6819999999998</v>
      </c>
      <c r="E35" s="304">
        <v>2991.4740000000002</v>
      </c>
      <c r="F35" s="304">
        <v>3240.6540000000005</v>
      </c>
      <c r="G35" s="304">
        <v>3067.866</v>
      </c>
      <c r="H35" s="304">
        <v>3270.2999999999997</v>
      </c>
      <c r="I35" s="304">
        <v>3482.1179999999995</v>
      </c>
      <c r="J35" s="304">
        <v>3574.6859999999997</v>
      </c>
      <c r="K35" s="304">
        <v>3615.24</v>
      </c>
      <c r="L35" s="304">
        <v>3364.7820000000002</v>
      </c>
      <c r="M35" s="304">
        <v>2864.616</v>
      </c>
      <c r="N35" s="304">
        <v>2821.95</v>
      </c>
      <c r="O35" s="304">
        <v>2806.6499999999996</v>
      </c>
      <c r="P35" s="304">
        <v>3091.1760000000004</v>
      </c>
      <c r="Q35" s="304">
        <v>3492.8879999999999</v>
      </c>
      <c r="R35" s="304">
        <v>3389.7179999999998</v>
      </c>
      <c r="S35" s="304">
        <v>2814.8339999999998</v>
      </c>
      <c r="T35" s="304">
        <v>3415.4759999999997</v>
      </c>
      <c r="U35" s="304">
        <v>3562.8239999999996</v>
      </c>
      <c r="V35" s="304">
        <v>3330.6780000000003</v>
      </c>
      <c r="W35" s="304">
        <v>3256.8900000000003</v>
      </c>
      <c r="X35" s="304">
        <v>3501.57</v>
      </c>
      <c r="Y35" s="304">
        <v>3238.08</v>
      </c>
      <c r="Z35" s="304">
        <v>3197.4659999999994</v>
      </c>
      <c r="AA35" s="304">
        <v>3275.442</v>
      </c>
      <c r="AB35" s="304">
        <v>3609.2820000000002</v>
      </c>
      <c r="AC35" s="304">
        <v>3798.5219999999999</v>
      </c>
      <c r="AD35" s="304">
        <v>4403.5739999999996</v>
      </c>
      <c r="AE35" s="304">
        <v>3664.17</v>
      </c>
      <c r="AF35" s="304">
        <v>3562.902</v>
      </c>
      <c r="AG35" s="304">
        <v>3584.808</v>
      </c>
      <c r="AH35" s="304">
        <v>3474.8459999999995</v>
      </c>
      <c r="AI35" s="304">
        <v>3365.886</v>
      </c>
      <c r="AJ35" s="304">
        <v>3337.8420000000001</v>
      </c>
      <c r="AK35" s="304">
        <v>3106.9260000000004</v>
      </c>
      <c r="AL35" s="304">
        <v>3180.2339999999999</v>
      </c>
      <c r="AM35" s="304">
        <v>3360.3599999999997</v>
      </c>
      <c r="AN35" s="304">
        <v>4321.9380000000001</v>
      </c>
      <c r="AO35" s="304">
        <v>3985.692</v>
      </c>
      <c r="AP35" s="304">
        <v>4219.08</v>
      </c>
      <c r="AQ35" s="304">
        <v>4583.6639999999998</v>
      </c>
      <c r="AR35" s="304">
        <v>4307.5079999999998</v>
      </c>
      <c r="AS35" s="304">
        <v>4387.5659999999998</v>
      </c>
      <c r="AT35" s="304">
        <v>4512.09</v>
      </c>
      <c r="AU35" s="304">
        <v>4754.826</v>
      </c>
      <c r="AV35" s="304">
        <v>4837.8900000000003</v>
      </c>
      <c r="AW35" s="304">
        <v>4575.87</v>
      </c>
      <c r="AX35" s="304">
        <v>4783.5959999999995</v>
      </c>
      <c r="AY35" s="304">
        <v>4837.9859999999999</v>
      </c>
      <c r="AZ35" s="304">
        <v>5399.1779999999999</v>
      </c>
      <c r="BA35" s="304">
        <v>5620.41</v>
      </c>
      <c r="BB35" s="304">
        <v>5724.3539999999994</v>
      </c>
      <c r="BC35" s="304">
        <v>5365.0199999999995</v>
      </c>
      <c r="BD35" s="304">
        <v>6202.6620000000003</v>
      </c>
      <c r="BE35" s="304">
        <v>5560.6980000000003</v>
      </c>
      <c r="BF35" s="304">
        <v>5293.5959999999995</v>
      </c>
      <c r="BG35" s="304">
        <v>5561.28</v>
      </c>
      <c r="BH35" s="304">
        <v>5767.2420000000002</v>
      </c>
      <c r="BI35" s="304">
        <v>5088.6900000000005</v>
      </c>
      <c r="BJ35" s="304">
        <v>5449.6260000000002</v>
      </c>
      <c r="BK35" s="304">
        <v>5652.1320000000005</v>
      </c>
      <c r="BL35" s="304">
        <v>6725.5019999999995</v>
      </c>
      <c r="BM35" s="304">
        <v>6299.7540000000008</v>
      </c>
      <c r="BN35" s="304">
        <v>7107.4920000000002</v>
      </c>
      <c r="BO35" s="304">
        <v>7733.2380000000003</v>
      </c>
      <c r="BP35" s="304">
        <v>7306.6319999999996</v>
      </c>
      <c r="BQ35" s="304">
        <v>8020.7820000000002</v>
      </c>
      <c r="BR35" s="304">
        <v>8277.4920000000002</v>
      </c>
      <c r="BS35" s="304">
        <v>7901.2079999999996</v>
      </c>
      <c r="BT35" s="304">
        <v>8158.1460000000006</v>
      </c>
      <c r="BU35" s="304">
        <v>8066.91</v>
      </c>
      <c r="BV35" s="304">
        <v>7166.3159999999998</v>
      </c>
      <c r="BW35" s="304">
        <v>8126.7719999999999</v>
      </c>
      <c r="BX35" s="304">
        <v>9961.098</v>
      </c>
      <c r="BY35" s="304">
        <v>8460.5459999999985</v>
      </c>
      <c r="BZ35" s="304">
        <v>8874.7920000000013</v>
      </c>
      <c r="CA35" s="304">
        <v>8847.99</v>
      </c>
      <c r="CB35" s="304">
        <v>8411.5680000000011</v>
      </c>
      <c r="CC35" s="304">
        <v>10048.68</v>
      </c>
      <c r="CD35" s="304">
        <v>9985.2000000000007</v>
      </c>
      <c r="CE35" s="304">
        <v>8033.5619999999999</v>
      </c>
      <c r="CF35" s="304">
        <v>8183.7179999999998</v>
      </c>
      <c r="CG35" s="304">
        <v>6609.6720000000005</v>
      </c>
      <c r="CH35" s="304">
        <v>6662.2800000000007</v>
      </c>
      <c r="CI35" s="304">
        <v>6999.4380000000001</v>
      </c>
      <c r="CJ35" s="304">
        <v>7341.264000000001</v>
      </c>
      <c r="CK35" s="304">
        <v>7493.67</v>
      </c>
      <c r="CL35" s="304">
        <v>7836.3960000000006</v>
      </c>
      <c r="CM35" s="304">
        <v>7947.7920000000004</v>
      </c>
      <c r="CN35" s="304">
        <v>9298.9140000000007</v>
      </c>
      <c r="CO35" s="304">
        <v>10327.428</v>
      </c>
      <c r="CP35" s="304">
        <v>8376.1919999999991</v>
      </c>
      <c r="CQ35" s="304">
        <v>7824.0720000000001</v>
      </c>
      <c r="CR35" s="304">
        <v>6493.6679999999997</v>
      </c>
      <c r="CS35" s="304">
        <v>5587.2659999999996</v>
      </c>
      <c r="CT35" s="304">
        <v>4511.2559999999994</v>
      </c>
      <c r="CU35" s="304">
        <v>3773.7840000000006</v>
      </c>
      <c r="CV35" s="304">
        <v>3889.4280000000003</v>
      </c>
      <c r="CW35" s="304">
        <v>3454.152</v>
      </c>
      <c r="CX35" s="304">
        <v>3407.8559999999998</v>
      </c>
      <c r="CY35" s="304">
        <v>3391.4340000000002</v>
      </c>
      <c r="CZ35" s="304">
        <v>3032.7240000000002</v>
      </c>
      <c r="DA35" s="304">
        <v>3832.788</v>
      </c>
      <c r="DB35" s="304">
        <v>2835.096</v>
      </c>
      <c r="DC35" s="304">
        <v>3176.6099999999997</v>
      </c>
      <c r="DD35" s="304">
        <v>2959.3440000000001</v>
      </c>
      <c r="DE35" s="304">
        <v>2896.962</v>
      </c>
      <c r="DF35" s="304">
        <v>3026.8620000000001</v>
      </c>
      <c r="DG35" s="304">
        <v>3495.0119999999997</v>
      </c>
      <c r="DH35" s="304">
        <v>3622.83</v>
      </c>
      <c r="DI35" s="304">
        <v>3447.9539999999997</v>
      </c>
      <c r="DJ35" s="304">
        <v>3911.4839999999999</v>
      </c>
      <c r="DK35" s="304">
        <v>4241.2440000000006</v>
      </c>
      <c r="DL35" s="304">
        <v>4215.6840000000002</v>
      </c>
      <c r="DM35" s="304">
        <v>4444.92</v>
      </c>
      <c r="DN35" s="304">
        <v>4570.9800000000005</v>
      </c>
      <c r="DO35" s="304">
        <v>5494.4759999999997</v>
      </c>
      <c r="DP35" s="304">
        <v>5143.32</v>
      </c>
      <c r="DQ35" s="304">
        <v>4891.2420000000002</v>
      </c>
      <c r="DR35" s="304">
        <v>4629</v>
      </c>
      <c r="DS35" s="304">
        <v>5107.9139999999998</v>
      </c>
      <c r="DT35" s="304">
        <v>5406.4260000000004</v>
      </c>
      <c r="DU35" s="304">
        <v>5240.7719999999999</v>
      </c>
      <c r="DV35" s="304">
        <v>5760.2340000000004</v>
      </c>
      <c r="DW35" s="304">
        <v>5576.1419999999998</v>
      </c>
      <c r="DX35" s="304">
        <v>5250.6959999999999</v>
      </c>
      <c r="DY35" s="304">
        <v>5554.1039999999994</v>
      </c>
      <c r="DZ35" s="304">
        <v>4853.1120000000001</v>
      </c>
      <c r="EA35" s="304">
        <v>5103.732</v>
      </c>
      <c r="EB35" s="304">
        <v>4887.8820000000005</v>
      </c>
      <c r="EC35" s="304">
        <v>4010.7000000000003</v>
      </c>
      <c r="ED35" s="304">
        <v>4012.3500000000004</v>
      </c>
      <c r="EE35" s="304">
        <v>4338.33</v>
      </c>
      <c r="EF35" s="304">
        <v>4048.71</v>
      </c>
      <c r="EG35" s="304">
        <v>3650.7060000000001</v>
      </c>
      <c r="EH35" s="304">
        <v>3848.49</v>
      </c>
      <c r="EI35" s="304">
        <v>3842.7000000000003</v>
      </c>
      <c r="EJ35" s="304">
        <v>3798.5219999999999</v>
      </c>
      <c r="EK35" s="304">
        <v>3806.2980000000002</v>
      </c>
      <c r="EL35" s="304">
        <v>3404.5619999999999</v>
      </c>
      <c r="EM35" s="304">
        <v>4614.3420000000006</v>
      </c>
      <c r="EN35" s="304">
        <v>3784.6080000000002</v>
      </c>
      <c r="EO35" s="304">
        <v>2812.83</v>
      </c>
      <c r="EP35" s="304">
        <v>2851.6379999999999</v>
      </c>
      <c r="EQ35" s="304">
        <v>2803.3139999999999</v>
      </c>
      <c r="ER35" s="304">
        <v>3002.6760000000004</v>
      </c>
      <c r="ES35" s="304">
        <v>3031.29</v>
      </c>
      <c r="ET35" s="304">
        <v>2766.3359999999998</v>
      </c>
      <c r="EU35" s="304">
        <v>2786.076</v>
      </c>
      <c r="EV35" s="304">
        <v>2729.5259999999998</v>
      </c>
      <c r="EW35" s="304">
        <v>2631.87</v>
      </c>
      <c r="EX35" s="304">
        <v>2527.62</v>
      </c>
      <c r="EY35" s="304">
        <v>3003.6120000000001</v>
      </c>
      <c r="EZ35" s="304">
        <v>2655</v>
      </c>
      <c r="FA35" s="304">
        <v>2119.7820000000002</v>
      </c>
      <c r="FB35" s="304">
        <v>2235.4319999999998</v>
      </c>
      <c r="FC35" s="304">
        <v>2230.674</v>
      </c>
      <c r="FD35" s="304">
        <v>2482.7280000000001</v>
      </c>
      <c r="FE35" s="304">
        <v>2081.2919999999999</v>
      </c>
      <c r="FF35" s="304">
        <v>2760.42</v>
      </c>
      <c r="FG35" s="304">
        <v>2378.6760000000004</v>
      </c>
      <c r="FH35" s="304">
        <v>2611.6440000000002</v>
      </c>
      <c r="FI35" s="304">
        <v>2512.2060000000001</v>
      </c>
      <c r="FJ35" s="304">
        <v>2324.1000000000004</v>
      </c>
      <c r="FK35" s="304">
        <v>2583.498</v>
      </c>
      <c r="FL35" s="304">
        <v>2636.7660000000001</v>
      </c>
      <c r="FM35" s="304">
        <v>2227.116</v>
      </c>
      <c r="FN35" s="304">
        <v>2284.482</v>
      </c>
      <c r="FO35" s="304">
        <v>2492.4360000000001</v>
      </c>
      <c r="FP35" s="304">
        <v>2816.0519999999997</v>
      </c>
      <c r="FQ35" s="304">
        <v>2580.8579999999997</v>
      </c>
      <c r="FR35" s="304">
        <v>2865.288</v>
      </c>
      <c r="FS35" s="304">
        <v>2939.364</v>
      </c>
      <c r="FT35" s="304">
        <v>2850.942</v>
      </c>
      <c r="FU35" s="304">
        <v>2826.36</v>
      </c>
      <c r="FV35" s="304">
        <v>2934.732</v>
      </c>
      <c r="FW35" s="304">
        <v>4090.8239999999996</v>
      </c>
      <c r="FX35" s="304">
        <v>2807.6760000000004</v>
      </c>
      <c r="FY35" s="304">
        <v>2476.14</v>
      </c>
      <c r="FZ35" s="304">
        <v>2519.8139999999999</v>
      </c>
      <c r="GA35" s="304">
        <v>2573.2379999999998</v>
      </c>
      <c r="GB35" s="304">
        <v>2822.268</v>
      </c>
      <c r="GC35" s="304">
        <v>2626.116</v>
      </c>
      <c r="GD35" s="304">
        <v>3008.8620000000001</v>
      </c>
      <c r="GE35" s="304">
        <v>2852.8019999999997</v>
      </c>
      <c r="GF35" s="304">
        <v>3021.4319999999998</v>
      </c>
      <c r="GG35" s="304">
        <v>2817.2280000000001</v>
      </c>
      <c r="GH35" s="304">
        <v>2855.3220000000001</v>
      </c>
      <c r="GI35" s="304">
        <v>3098.8379999999997</v>
      </c>
      <c r="GJ35" s="304">
        <v>3108.4319999999998</v>
      </c>
      <c r="GK35" s="304">
        <v>2820.18</v>
      </c>
      <c r="GL35" s="304">
        <v>2966.4659999999999</v>
      </c>
      <c r="GM35" s="304">
        <v>2978.0280000000002</v>
      </c>
      <c r="GN35" s="304">
        <v>4413.8099999999995</v>
      </c>
      <c r="GO35" s="304">
        <v>3219.6540000000005</v>
      </c>
      <c r="GP35" s="304">
        <v>3136.5839999999998</v>
      </c>
      <c r="GQ35" s="304">
        <v>3186.9359999999997</v>
      </c>
      <c r="GR35" s="304">
        <v>3383.9580000000005</v>
      </c>
      <c r="GS35" s="304">
        <v>3226.4940000000001</v>
      </c>
      <c r="GT35" s="304">
        <v>2963.8559999999998</v>
      </c>
      <c r="GU35" s="304">
        <v>3434.268</v>
      </c>
      <c r="GV35" s="304">
        <v>3579.0119999999997</v>
      </c>
      <c r="GW35" s="304">
        <v>2853.4560000000001</v>
      </c>
      <c r="GX35" s="304">
        <v>2894.6819999999998</v>
      </c>
      <c r="GY35" s="304">
        <v>2796.8160000000003</v>
      </c>
      <c r="GZ35" s="304">
        <v>3169.134</v>
      </c>
      <c r="HA35" s="304">
        <v>2958.0299999999997</v>
      </c>
      <c r="HB35" s="304">
        <v>3566.6760000000004</v>
      </c>
      <c r="HC35" s="304">
        <v>3079.2840000000006</v>
      </c>
      <c r="HD35" s="304">
        <v>3420.636</v>
      </c>
      <c r="HE35" s="304">
        <v>3536.3999999999996</v>
      </c>
      <c r="HF35" s="304">
        <v>3463.134</v>
      </c>
      <c r="HG35" s="304">
        <v>4186.9979999999996</v>
      </c>
      <c r="HH35" s="304">
        <v>3841.3559999999998</v>
      </c>
      <c r="HI35" s="304">
        <v>3155.2799999999997</v>
      </c>
      <c r="HJ35" s="304">
        <v>3410.6760000000004</v>
      </c>
      <c r="HK35" s="304">
        <v>3792.942</v>
      </c>
      <c r="HL35" s="304">
        <v>3962.0519999999997</v>
      </c>
      <c r="HM35" s="304">
        <v>3670.2660000000001</v>
      </c>
      <c r="HN35" s="304">
        <v>4075.866</v>
      </c>
      <c r="HO35" s="304">
        <v>3795.8820000000005</v>
      </c>
      <c r="HP35" s="304">
        <v>4083.0419999999995</v>
      </c>
      <c r="HQ35" s="304">
        <v>3902.7539999999999</v>
      </c>
      <c r="HR35" s="304">
        <v>4100.04</v>
      </c>
      <c r="HS35" s="304">
        <v>5455.674</v>
      </c>
      <c r="HT35" s="304">
        <v>6301.5720000000001</v>
      </c>
      <c r="HU35" s="304">
        <v>4301.0460000000003</v>
      </c>
      <c r="HV35" s="304">
        <v>4632.2820000000002</v>
      </c>
      <c r="HW35" s="304">
        <v>4117.3140000000003</v>
      </c>
      <c r="HX35" s="304">
        <v>4276.3979999999992</v>
      </c>
      <c r="HY35" s="304">
        <v>3448.2060000000001</v>
      </c>
      <c r="HZ35" s="304">
        <v>3479.232</v>
      </c>
      <c r="IA35" s="304">
        <v>3392.0819999999999</v>
      </c>
      <c r="IB35" s="304">
        <v>4182.402</v>
      </c>
      <c r="IC35" s="304">
        <v>3861.192</v>
      </c>
      <c r="ID35" s="304">
        <v>3729.1440000000002</v>
      </c>
      <c r="IE35" s="304">
        <v>3943.6259999999997</v>
      </c>
      <c r="IF35" s="304">
        <v>4172.7240000000002</v>
      </c>
      <c r="IG35" s="304">
        <v>3849.24</v>
      </c>
      <c r="IH35" s="304">
        <v>4007.0160000000001</v>
      </c>
      <c r="II35" s="304">
        <v>4290.6779999999999</v>
      </c>
      <c r="IJ35" s="304">
        <v>4535.8320000000003</v>
      </c>
      <c r="IK35" s="304">
        <v>4347.1320000000005</v>
      </c>
      <c r="IL35" s="304">
        <v>4961.3820000000005</v>
      </c>
      <c r="IM35" s="304">
        <v>5095.3860000000004</v>
      </c>
      <c r="IN35" s="12">
        <v>4663.5959999999995</v>
      </c>
      <c r="IO35" s="12">
        <v>4870.4519999999993</v>
      </c>
      <c r="IP35" s="12">
        <v>4968.2520000000004</v>
      </c>
      <c r="IQ35" s="12">
        <v>4893.9659999999994</v>
      </c>
      <c r="IR35" s="12">
        <v>4955.4840000000004</v>
      </c>
      <c r="IS35" s="12">
        <v>4220.9940000000006</v>
      </c>
      <c r="IT35" s="12">
        <v>4169.4840000000004</v>
      </c>
      <c r="IU35" s="12">
        <v>4237.5119999999997</v>
      </c>
      <c r="IV35" s="12">
        <v>5360.7119999999995</v>
      </c>
      <c r="IW35" s="12">
        <v>4939.84</v>
      </c>
      <c r="IX35" s="12">
        <v>5040.5600000000004</v>
      </c>
      <c r="IY35" s="12">
        <v>5980.16</v>
      </c>
      <c r="IZ35" s="12">
        <v>6149.8559999999998</v>
      </c>
      <c r="JA35" s="12">
        <v>6659.33</v>
      </c>
      <c r="JB35" s="12">
        <v>7025.982</v>
      </c>
      <c r="JC35" s="12">
        <v>7005.308</v>
      </c>
      <c r="JD35" s="12">
        <v>6077.6120000000001</v>
      </c>
      <c r="JE35" s="12">
        <v>5104.5879999999997</v>
      </c>
      <c r="JF35" s="12">
        <v>3905.8980000000001</v>
      </c>
      <c r="JG35" s="12">
        <v>2392.89</v>
      </c>
      <c r="JH35" s="12">
        <v>1879.008</v>
      </c>
      <c r="JI35" s="12">
        <v>2106.252</v>
      </c>
      <c r="JJ35" s="12">
        <v>1922.742</v>
      </c>
      <c r="JK35" s="336">
        <v>1797.6320000000001</v>
      </c>
    </row>
    <row r="36" spans="1:271" x14ac:dyDescent="0.25">
      <c r="A36" s="303" t="s">
        <v>162</v>
      </c>
      <c r="B36" s="301">
        <v>154.19999999999999</v>
      </c>
      <c r="C36" s="301">
        <v>126.40800000000002</v>
      </c>
      <c r="D36" s="301">
        <v>160.07999999999998</v>
      </c>
      <c r="E36" s="301">
        <v>145.38</v>
      </c>
      <c r="F36" s="301">
        <v>199.73400000000001</v>
      </c>
      <c r="G36" s="301">
        <v>165.762</v>
      </c>
      <c r="H36" s="301">
        <v>164.892</v>
      </c>
      <c r="I36" s="301">
        <v>168.28799999999998</v>
      </c>
      <c r="J36" s="301">
        <v>153.16200000000001</v>
      </c>
      <c r="K36" s="301">
        <v>215.13</v>
      </c>
      <c r="L36" s="301">
        <v>198.072</v>
      </c>
      <c r="M36" s="301">
        <v>160.77000000000001</v>
      </c>
      <c r="N36" s="301">
        <v>187.24200000000002</v>
      </c>
      <c r="O36" s="301">
        <v>182.73599999999999</v>
      </c>
      <c r="P36" s="301">
        <v>158.36399999999998</v>
      </c>
      <c r="Q36" s="301">
        <v>126.58799999999999</v>
      </c>
      <c r="R36" s="301">
        <v>136.36799999999999</v>
      </c>
      <c r="S36" s="301">
        <v>158.304</v>
      </c>
      <c r="T36" s="301">
        <v>128.58600000000001</v>
      </c>
      <c r="U36" s="301">
        <v>169.15199999999999</v>
      </c>
      <c r="V36" s="301">
        <v>157.506</v>
      </c>
      <c r="W36" s="301">
        <v>176.50200000000001</v>
      </c>
      <c r="X36" s="301">
        <v>151.86599999999999</v>
      </c>
      <c r="Y36" s="301">
        <v>120.90600000000001</v>
      </c>
      <c r="Z36" s="301">
        <v>150.37799999999999</v>
      </c>
      <c r="AA36" s="301">
        <v>150.56400000000002</v>
      </c>
      <c r="AB36" s="301">
        <v>148.76400000000001</v>
      </c>
      <c r="AC36" s="301">
        <v>158.02199999999999</v>
      </c>
      <c r="AD36" s="301">
        <v>162.88200000000001</v>
      </c>
      <c r="AE36" s="301">
        <v>125.60999999999999</v>
      </c>
      <c r="AF36" s="301">
        <v>164.25</v>
      </c>
      <c r="AG36" s="301">
        <v>164.71799999999999</v>
      </c>
      <c r="AH36" s="301">
        <v>134.178</v>
      </c>
      <c r="AI36" s="301">
        <v>165.51</v>
      </c>
      <c r="AJ36" s="301">
        <v>189.86399999999998</v>
      </c>
      <c r="AK36" s="301">
        <v>151.73400000000001</v>
      </c>
      <c r="AL36" s="301">
        <v>158.61599999999999</v>
      </c>
      <c r="AM36" s="301">
        <v>157.64999999999998</v>
      </c>
      <c r="AN36" s="301">
        <v>142.29</v>
      </c>
      <c r="AO36" s="301">
        <v>129.35999999999999</v>
      </c>
      <c r="AP36" s="301">
        <v>149.292</v>
      </c>
      <c r="AQ36" s="301">
        <v>182.78399999999999</v>
      </c>
      <c r="AR36" s="301">
        <v>192.91200000000001</v>
      </c>
      <c r="AS36" s="301">
        <v>167.66399999999999</v>
      </c>
      <c r="AT36" s="301">
        <v>186.24600000000001</v>
      </c>
      <c r="AU36" s="301">
        <v>171.97800000000001</v>
      </c>
      <c r="AV36" s="301">
        <v>175.34399999999999</v>
      </c>
      <c r="AW36" s="301">
        <v>190.68599999999998</v>
      </c>
      <c r="AX36" s="301">
        <v>182.952</v>
      </c>
      <c r="AY36" s="301">
        <v>327.45600000000002</v>
      </c>
      <c r="AZ36" s="301">
        <v>318.74400000000003</v>
      </c>
      <c r="BA36" s="301">
        <v>238.05600000000001</v>
      </c>
      <c r="BB36" s="301">
        <v>264.03000000000003</v>
      </c>
      <c r="BC36" s="301">
        <v>285.86399999999998</v>
      </c>
      <c r="BD36" s="301">
        <v>265.44</v>
      </c>
      <c r="BE36" s="301">
        <v>252.98400000000001</v>
      </c>
      <c r="BF36" s="301">
        <v>331.524</v>
      </c>
      <c r="BG36" s="301">
        <v>249.75599999999997</v>
      </c>
      <c r="BH36" s="301">
        <v>223.18200000000002</v>
      </c>
      <c r="BI36" s="301">
        <v>206.14799999999997</v>
      </c>
      <c r="BJ36" s="301">
        <v>199.19399999999999</v>
      </c>
      <c r="BK36" s="301">
        <v>187.602</v>
      </c>
      <c r="BL36" s="301">
        <v>245.93399999999997</v>
      </c>
      <c r="BM36" s="301">
        <v>176.36399999999998</v>
      </c>
      <c r="BN36" s="301">
        <v>194.80199999999999</v>
      </c>
      <c r="BO36" s="301">
        <v>215.41200000000001</v>
      </c>
      <c r="BP36" s="301">
        <v>203.11799999999999</v>
      </c>
      <c r="BQ36" s="301">
        <v>208.36199999999997</v>
      </c>
      <c r="BR36" s="301">
        <v>272.05799999999999</v>
      </c>
      <c r="BS36" s="301">
        <v>270.38400000000001</v>
      </c>
      <c r="BT36" s="301">
        <v>260.11199999999997</v>
      </c>
      <c r="BU36" s="301">
        <v>158.55000000000001</v>
      </c>
      <c r="BV36" s="301">
        <v>206.45400000000001</v>
      </c>
      <c r="BW36" s="301">
        <v>238.70999999999998</v>
      </c>
      <c r="BX36" s="301">
        <v>262.66200000000003</v>
      </c>
      <c r="BY36" s="301">
        <v>195.46199999999999</v>
      </c>
      <c r="BZ36" s="301">
        <v>261.108</v>
      </c>
      <c r="CA36" s="301">
        <v>222.85200000000003</v>
      </c>
      <c r="CB36" s="301">
        <v>228.90600000000001</v>
      </c>
      <c r="CC36" s="301">
        <v>250.77600000000001</v>
      </c>
      <c r="CD36" s="301">
        <v>226.78199999999998</v>
      </c>
      <c r="CE36" s="301">
        <v>283.25400000000002</v>
      </c>
      <c r="CF36" s="301">
        <v>278.61</v>
      </c>
      <c r="CG36" s="301">
        <v>231.822</v>
      </c>
      <c r="CH36" s="301">
        <v>219.27600000000001</v>
      </c>
      <c r="CI36" s="301">
        <v>176.274</v>
      </c>
      <c r="CJ36" s="301">
        <v>170.46600000000001</v>
      </c>
      <c r="CK36" s="301">
        <v>312.69</v>
      </c>
      <c r="CL36" s="301">
        <v>240.36</v>
      </c>
      <c r="CM36" s="301">
        <v>272.358</v>
      </c>
      <c r="CN36" s="301">
        <v>350.39400000000001</v>
      </c>
      <c r="CO36" s="301">
        <v>316.35000000000002</v>
      </c>
      <c r="CP36" s="301">
        <v>320.44799999999998</v>
      </c>
      <c r="CQ36" s="301">
        <v>279.834</v>
      </c>
      <c r="CR36" s="301">
        <v>187.26599999999999</v>
      </c>
      <c r="CS36" s="301">
        <v>198.13200000000001</v>
      </c>
      <c r="CT36" s="301">
        <v>156.81</v>
      </c>
      <c r="CU36" s="301">
        <v>169.29599999999999</v>
      </c>
      <c r="CV36" s="301">
        <v>184.446</v>
      </c>
      <c r="CW36" s="301">
        <v>215.83799999999999</v>
      </c>
      <c r="CX36" s="301">
        <v>327.96</v>
      </c>
      <c r="CY36" s="301">
        <v>302.32799999999997</v>
      </c>
      <c r="CZ36" s="301">
        <v>376.08600000000001</v>
      </c>
      <c r="DA36" s="301">
        <v>364.66200000000003</v>
      </c>
      <c r="DB36" s="301">
        <v>363.65999999999997</v>
      </c>
      <c r="DC36" s="301">
        <v>372.44399999999996</v>
      </c>
      <c r="DD36" s="301">
        <v>258.60000000000002</v>
      </c>
      <c r="DE36" s="301">
        <v>268.428</v>
      </c>
      <c r="DF36" s="301">
        <v>223.63800000000003</v>
      </c>
      <c r="DG36" s="301">
        <v>227.916</v>
      </c>
      <c r="DH36" s="301">
        <v>307.476</v>
      </c>
      <c r="DI36" s="301">
        <v>286.27200000000005</v>
      </c>
      <c r="DJ36" s="301">
        <v>317.68200000000002</v>
      </c>
      <c r="DK36" s="301">
        <v>320.17200000000003</v>
      </c>
      <c r="DL36" s="301">
        <v>367.98</v>
      </c>
      <c r="DM36" s="301">
        <v>448.18200000000002</v>
      </c>
      <c r="DN36" s="301">
        <v>327.73199999999997</v>
      </c>
      <c r="DO36" s="301">
        <v>298.65600000000001</v>
      </c>
      <c r="DP36" s="301">
        <v>238.70400000000001</v>
      </c>
      <c r="DQ36" s="301">
        <v>166.68599999999998</v>
      </c>
      <c r="DR36" s="301">
        <v>168.75</v>
      </c>
      <c r="DS36" s="301">
        <v>169.554</v>
      </c>
      <c r="DT36" s="301">
        <v>236.02800000000002</v>
      </c>
      <c r="DU36" s="301">
        <v>222.17400000000004</v>
      </c>
      <c r="DV36" s="301">
        <v>275.286</v>
      </c>
      <c r="DW36" s="301">
        <v>279.108</v>
      </c>
      <c r="DX36" s="301">
        <v>384.072</v>
      </c>
      <c r="DY36" s="301">
        <v>563.80200000000002</v>
      </c>
      <c r="DZ36" s="301">
        <v>382.45800000000003</v>
      </c>
      <c r="EA36" s="301">
        <v>350.916</v>
      </c>
      <c r="EB36" s="301">
        <v>288.43799999999999</v>
      </c>
      <c r="EC36" s="301">
        <v>183.26400000000001</v>
      </c>
      <c r="ED36" s="301">
        <v>240.00599999999997</v>
      </c>
      <c r="EE36" s="301">
        <v>275.988</v>
      </c>
      <c r="EF36" s="301">
        <v>277.60200000000003</v>
      </c>
      <c r="EG36" s="301">
        <v>218.99400000000003</v>
      </c>
      <c r="EH36" s="301">
        <v>185.19</v>
      </c>
      <c r="EI36" s="301">
        <v>208.56</v>
      </c>
      <c r="EJ36" s="301">
        <v>220.81200000000001</v>
      </c>
      <c r="EK36" s="301">
        <v>252.34200000000001</v>
      </c>
      <c r="EL36" s="301">
        <v>337.22399999999999</v>
      </c>
      <c r="EM36" s="301">
        <v>354.80399999999997</v>
      </c>
      <c r="EN36" s="301">
        <v>478.01400000000001</v>
      </c>
      <c r="EO36" s="301">
        <v>377.47799999999995</v>
      </c>
      <c r="EP36" s="301">
        <v>344.42400000000004</v>
      </c>
      <c r="EQ36" s="301">
        <v>348.15600000000001</v>
      </c>
      <c r="ER36" s="301">
        <v>332.334</v>
      </c>
      <c r="ES36" s="301">
        <v>300.91200000000003</v>
      </c>
      <c r="ET36" s="301">
        <v>375.28199999999998</v>
      </c>
      <c r="EU36" s="301">
        <v>344.05799999999999</v>
      </c>
      <c r="EV36" s="301">
        <v>393.16200000000003</v>
      </c>
      <c r="EW36" s="301">
        <v>578.96399999999994</v>
      </c>
      <c r="EX36" s="301">
        <v>479.16600000000005</v>
      </c>
      <c r="EY36" s="301">
        <v>488.37</v>
      </c>
      <c r="EZ36" s="301">
        <v>446.85599999999999</v>
      </c>
      <c r="FA36" s="301">
        <v>277.392</v>
      </c>
      <c r="FB36" s="301">
        <v>229.92000000000002</v>
      </c>
      <c r="FC36" s="301">
        <v>229.85399999999998</v>
      </c>
      <c r="FD36" s="301">
        <v>277.57799999999997</v>
      </c>
      <c r="FE36" s="301">
        <v>232.49400000000003</v>
      </c>
      <c r="FF36" s="301">
        <v>242.75400000000002</v>
      </c>
      <c r="FG36" s="301">
        <v>229.79999999999998</v>
      </c>
      <c r="FH36" s="301">
        <v>204.28199999999998</v>
      </c>
      <c r="FI36" s="301">
        <v>198.084</v>
      </c>
      <c r="FJ36" s="301">
        <v>139.89000000000001</v>
      </c>
      <c r="FK36" s="301">
        <v>175.93199999999999</v>
      </c>
      <c r="FL36" s="301">
        <v>144.44999999999999</v>
      </c>
      <c r="FM36" s="301">
        <v>105.54600000000001</v>
      </c>
      <c r="FN36" s="301">
        <v>89.771999999999991</v>
      </c>
      <c r="FO36" s="301">
        <v>81.078000000000003</v>
      </c>
      <c r="FP36" s="301">
        <v>101.49600000000001</v>
      </c>
      <c r="FQ36" s="301">
        <v>105.312</v>
      </c>
      <c r="FR36" s="301">
        <v>92.915999999999997</v>
      </c>
      <c r="FS36" s="301">
        <v>125.80199999999999</v>
      </c>
      <c r="FT36" s="301">
        <v>138.762</v>
      </c>
      <c r="FU36" s="301">
        <v>176.72399999999999</v>
      </c>
      <c r="FV36" s="301">
        <v>160.22399999999999</v>
      </c>
      <c r="FW36" s="301">
        <v>123.786</v>
      </c>
      <c r="FX36" s="301">
        <v>128.59800000000001</v>
      </c>
      <c r="FY36" s="301">
        <v>114.63600000000001</v>
      </c>
      <c r="FZ36" s="301">
        <v>73.674000000000007</v>
      </c>
      <c r="GA36" s="301">
        <v>115.206</v>
      </c>
      <c r="GB36" s="301">
        <v>113.634</v>
      </c>
      <c r="GC36" s="301">
        <v>88.451999999999998</v>
      </c>
      <c r="GD36" s="301">
        <v>90.210000000000008</v>
      </c>
      <c r="GE36" s="301">
        <v>80.975999999999999</v>
      </c>
      <c r="GF36" s="301">
        <v>110.46000000000001</v>
      </c>
      <c r="GG36" s="301">
        <v>142.87200000000001</v>
      </c>
      <c r="GH36" s="301">
        <v>110.562</v>
      </c>
      <c r="GI36" s="301">
        <v>179.04</v>
      </c>
      <c r="GJ36" s="301">
        <v>96.27000000000001</v>
      </c>
      <c r="GK36" s="301">
        <v>102.456</v>
      </c>
      <c r="GL36" s="301">
        <v>105.84</v>
      </c>
      <c r="GM36" s="301">
        <v>103.14599999999999</v>
      </c>
      <c r="GN36" s="301">
        <v>111.50399999999999</v>
      </c>
      <c r="GO36" s="301">
        <v>160.68</v>
      </c>
      <c r="GP36" s="301">
        <v>204.858</v>
      </c>
      <c r="GQ36" s="301">
        <v>201.642</v>
      </c>
      <c r="GR36" s="301">
        <v>184.87799999999999</v>
      </c>
      <c r="GS36" s="301">
        <v>248.54999999999998</v>
      </c>
      <c r="GT36" s="301">
        <v>207.51</v>
      </c>
      <c r="GU36" s="301">
        <v>247.50599999999997</v>
      </c>
      <c r="GV36" s="301">
        <v>252.14400000000001</v>
      </c>
      <c r="GW36" s="301">
        <v>179.214</v>
      </c>
      <c r="GX36" s="301">
        <v>220.63200000000001</v>
      </c>
      <c r="GY36" s="301">
        <v>189.822</v>
      </c>
      <c r="GZ36" s="301">
        <v>238.464</v>
      </c>
      <c r="HA36" s="301">
        <v>224.01</v>
      </c>
      <c r="HB36" s="301">
        <v>254.44199999999998</v>
      </c>
      <c r="HC36" s="301">
        <v>320.47199999999998</v>
      </c>
      <c r="HD36" s="301">
        <v>269.47199999999998</v>
      </c>
      <c r="HE36" s="301">
        <v>308.58600000000001</v>
      </c>
      <c r="HF36" s="301">
        <v>300.34800000000001</v>
      </c>
      <c r="HG36" s="301">
        <v>219.59399999999999</v>
      </c>
      <c r="HH36" s="301">
        <v>194.56799999999998</v>
      </c>
      <c r="HI36" s="301">
        <v>183.45</v>
      </c>
      <c r="HJ36" s="301">
        <v>172.93199999999999</v>
      </c>
      <c r="HK36" s="301">
        <v>177.24</v>
      </c>
      <c r="HL36" s="301">
        <v>159.57</v>
      </c>
      <c r="HM36" s="301">
        <v>171.88200000000001</v>
      </c>
      <c r="HN36" s="301">
        <v>283.84800000000001</v>
      </c>
      <c r="HO36" s="301">
        <v>261.42599999999999</v>
      </c>
      <c r="HP36" s="333">
        <v>271.93200000000002</v>
      </c>
      <c r="HQ36" s="333">
        <v>319.85399999999998</v>
      </c>
      <c r="HR36" s="333">
        <v>359.86199999999997</v>
      </c>
      <c r="HS36" s="333">
        <v>244.82999999999998</v>
      </c>
      <c r="HT36" s="333">
        <v>227.76</v>
      </c>
      <c r="HU36" s="333">
        <v>196.14600000000002</v>
      </c>
      <c r="HV36" s="301">
        <v>190.35000000000002</v>
      </c>
      <c r="HW36" s="301">
        <v>219.71999999999997</v>
      </c>
      <c r="HX36" s="301">
        <v>178.33799999999999</v>
      </c>
      <c r="HY36" s="301">
        <v>136.47</v>
      </c>
      <c r="HZ36" s="301">
        <v>159.44400000000002</v>
      </c>
      <c r="IA36" s="301">
        <v>179.64000000000001</v>
      </c>
      <c r="IB36" s="301">
        <v>181.12799999999999</v>
      </c>
      <c r="IC36" s="301">
        <v>277.81200000000001</v>
      </c>
      <c r="ID36" s="301">
        <v>165.096</v>
      </c>
      <c r="IE36" s="301">
        <v>194.62800000000001</v>
      </c>
      <c r="IF36" s="301">
        <v>155.64599999999999</v>
      </c>
      <c r="IG36" s="301">
        <v>141.96</v>
      </c>
      <c r="IH36" s="301">
        <v>165.69</v>
      </c>
      <c r="II36" s="301">
        <v>268.56600000000003</v>
      </c>
      <c r="IJ36" s="301">
        <v>222.084</v>
      </c>
      <c r="IK36" s="301">
        <v>209.61599999999999</v>
      </c>
      <c r="IL36" s="301">
        <v>257.90999999999997</v>
      </c>
      <c r="IM36" s="301">
        <v>253.584</v>
      </c>
      <c r="IN36" s="333">
        <v>274.63200000000001</v>
      </c>
      <c r="IO36" s="333">
        <v>304.72199999999998</v>
      </c>
      <c r="IP36" s="333">
        <v>300.61799999999999</v>
      </c>
      <c r="IQ36" s="333">
        <v>301.76400000000001</v>
      </c>
      <c r="IR36" s="333">
        <v>289.39799999999997</v>
      </c>
      <c r="IS36" s="333">
        <v>246.85200000000003</v>
      </c>
      <c r="IT36" s="333">
        <v>274.66800000000001</v>
      </c>
      <c r="IU36" s="333">
        <v>340.26</v>
      </c>
      <c r="IV36" s="333">
        <v>565.60199999999998</v>
      </c>
      <c r="IW36" s="334">
        <v>464.048</v>
      </c>
      <c r="IX36" s="334">
        <v>633.49599999999998</v>
      </c>
      <c r="IY36" s="334">
        <v>589.68600000000004</v>
      </c>
      <c r="IZ36" s="334">
        <v>487.404</v>
      </c>
      <c r="JA36" s="334">
        <v>552.13400000000001</v>
      </c>
      <c r="JB36" s="334">
        <v>660.51400000000001</v>
      </c>
      <c r="JC36" s="334">
        <v>560.05200000000002</v>
      </c>
      <c r="JD36" s="334">
        <v>606.25800000000004</v>
      </c>
      <c r="JE36" s="334">
        <v>726.63199999999995</v>
      </c>
      <c r="JF36" s="334">
        <v>706.928</v>
      </c>
      <c r="JG36" s="334">
        <v>604.52200000000005</v>
      </c>
      <c r="JH36" s="334">
        <v>594.64200000000005</v>
      </c>
      <c r="JI36" s="334">
        <v>794.43799999999999</v>
      </c>
      <c r="JJ36" s="334">
        <v>705.50400000000002</v>
      </c>
      <c r="JK36" s="335">
        <v>482.34</v>
      </c>
    </row>
    <row r="37" spans="1:271" x14ac:dyDescent="0.25">
      <c r="A37" s="303" t="s">
        <v>74</v>
      </c>
      <c r="B37" s="304">
        <v>330.68399999999997</v>
      </c>
      <c r="C37" s="304">
        <v>352.56600000000003</v>
      </c>
      <c r="D37" s="304">
        <v>454.90800000000002</v>
      </c>
      <c r="E37" s="304">
        <v>441.79200000000003</v>
      </c>
      <c r="F37" s="304">
        <v>484.72200000000004</v>
      </c>
      <c r="G37" s="304">
        <v>454.96800000000002</v>
      </c>
      <c r="H37" s="304">
        <v>455.58600000000001</v>
      </c>
      <c r="I37" s="304">
        <v>446.63399999999996</v>
      </c>
      <c r="J37" s="304">
        <v>451.44600000000003</v>
      </c>
      <c r="K37" s="304">
        <v>410.02799999999996</v>
      </c>
      <c r="L37" s="304">
        <v>413.62800000000004</v>
      </c>
      <c r="M37" s="304">
        <v>378.12</v>
      </c>
      <c r="N37" s="304">
        <v>439.26</v>
      </c>
      <c r="O37" s="304">
        <v>436.95599999999996</v>
      </c>
      <c r="P37" s="304">
        <v>413.214</v>
      </c>
      <c r="Q37" s="304">
        <v>370.17599999999999</v>
      </c>
      <c r="R37" s="304">
        <v>361.78199999999998</v>
      </c>
      <c r="S37" s="304">
        <v>404.298</v>
      </c>
      <c r="T37" s="304">
        <v>412.63200000000006</v>
      </c>
      <c r="U37" s="304">
        <v>377.952</v>
      </c>
      <c r="V37" s="304">
        <v>367.02</v>
      </c>
      <c r="W37" s="304">
        <v>443.95799999999997</v>
      </c>
      <c r="X37" s="304">
        <v>411.19799999999998</v>
      </c>
      <c r="Y37" s="304">
        <v>344.26800000000003</v>
      </c>
      <c r="Z37" s="304">
        <v>321.47399999999999</v>
      </c>
      <c r="AA37" s="304">
        <v>293.25</v>
      </c>
      <c r="AB37" s="304">
        <v>308.59199999999998</v>
      </c>
      <c r="AC37" s="304">
        <v>338.96999999999997</v>
      </c>
      <c r="AD37" s="304">
        <v>401.53199999999998</v>
      </c>
      <c r="AE37" s="304">
        <v>347.61</v>
      </c>
      <c r="AF37" s="304">
        <v>360.642</v>
      </c>
      <c r="AG37" s="304">
        <v>380.05200000000002</v>
      </c>
      <c r="AH37" s="304">
        <v>386.99399999999997</v>
      </c>
      <c r="AI37" s="304">
        <v>404.34000000000003</v>
      </c>
      <c r="AJ37" s="304">
        <v>405.52799999999996</v>
      </c>
      <c r="AK37" s="304">
        <v>359.63400000000001</v>
      </c>
      <c r="AL37" s="304">
        <v>366.37800000000004</v>
      </c>
      <c r="AM37" s="304">
        <v>402.036</v>
      </c>
      <c r="AN37" s="304">
        <v>445.07400000000001</v>
      </c>
      <c r="AO37" s="304">
        <v>386.49599999999998</v>
      </c>
      <c r="AP37" s="304">
        <v>424.99799999999999</v>
      </c>
      <c r="AQ37" s="304">
        <v>505.09199999999998</v>
      </c>
      <c r="AR37" s="304">
        <v>525.53399999999999</v>
      </c>
      <c r="AS37" s="304">
        <v>597.60599999999999</v>
      </c>
      <c r="AT37" s="304">
        <v>622.15800000000002</v>
      </c>
      <c r="AU37" s="304">
        <v>640.39200000000005</v>
      </c>
      <c r="AV37" s="304">
        <v>617.88599999999997</v>
      </c>
      <c r="AW37" s="304">
        <v>553.14</v>
      </c>
      <c r="AX37" s="304">
        <v>524.04</v>
      </c>
      <c r="AY37" s="304">
        <v>535.25400000000002</v>
      </c>
      <c r="AZ37" s="304">
        <v>576.34199999999998</v>
      </c>
      <c r="BA37" s="304">
        <v>618.63</v>
      </c>
      <c r="BB37" s="304">
        <v>737.16</v>
      </c>
      <c r="BC37" s="304">
        <v>674.84400000000005</v>
      </c>
      <c r="BD37" s="304">
        <v>677.76</v>
      </c>
      <c r="BE37" s="304">
        <v>713.08199999999999</v>
      </c>
      <c r="BF37" s="304">
        <v>702.70799999999997</v>
      </c>
      <c r="BG37" s="304">
        <v>627.822</v>
      </c>
      <c r="BH37" s="304">
        <v>717.58199999999999</v>
      </c>
      <c r="BI37" s="304">
        <v>572.38799999999992</v>
      </c>
      <c r="BJ37" s="304">
        <v>467.274</v>
      </c>
      <c r="BK37" s="304">
        <v>486.57600000000002</v>
      </c>
      <c r="BL37" s="304">
        <v>591.46199999999999</v>
      </c>
      <c r="BM37" s="304">
        <v>524.61</v>
      </c>
      <c r="BN37" s="304">
        <v>496.00800000000004</v>
      </c>
      <c r="BO37" s="304">
        <v>511.21199999999999</v>
      </c>
      <c r="BP37" s="304">
        <v>506.67599999999999</v>
      </c>
      <c r="BQ37" s="304">
        <v>490.89</v>
      </c>
      <c r="BR37" s="304">
        <v>482.226</v>
      </c>
      <c r="BS37" s="304">
        <v>486.08399999999995</v>
      </c>
      <c r="BT37" s="304">
        <v>568.95000000000005</v>
      </c>
      <c r="BU37" s="304">
        <v>431.92199999999997</v>
      </c>
      <c r="BV37" s="304">
        <v>426.98400000000004</v>
      </c>
      <c r="BW37" s="304">
        <v>468.83399999999995</v>
      </c>
      <c r="BX37" s="304">
        <v>476.74799999999999</v>
      </c>
      <c r="BY37" s="304">
        <v>484.15199999999993</v>
      </c>
      <c r="BZ37" s="304">
        <v>575.36400000000003</v>
      </c>
      <c r="CA37" s="304">
        <v>553.68600000000004</v>
      </c>
      <c r="CB37" s="304">
        <v>584.28600000000006</v>
      </c>
      <c r="CC37" s="304">
        <v>578.64</v>
      </c>
      <c r="CD37" s="304">
        <v>773.04600000000005</v>
      </c>
      <c r="CE37" s="304">
        <v>486.47399999999993</v>
      </c>
      <c r="CF37" s="304">
        <v>640.00800000000004</v>
      </c>
      <c r="CG37" s="304">
        <v>581.5440000000001</v>
      </c>
      <c r="CH37" s="304">
        <v>561.49800000000005</v>
      </c>
      <c r="CI37" s="304">
        <v>591.74399999999991</v>
      </c>
      <c r="CJ37" s="304">
        <v>591.19799999999998</v>
      </c>
      <c r="CK37" s="304">
        <v>596.77800000000002</v>
      </c>
      <c r="CL37" s="304">
        <v>723.96</v>
      </c>
      <c r="CM37" s="304">
        <v>619.572</v>
      </c>
      <c r="CN37" s="304">
        <v>640.97399999999993</v>
      </c>
      <c r="CO37" s="304">
        <v>718.16399999999999</v>
      </c>
      <c r="CP37" s="304">
        <v>747.25199999999995</v>
      </c>
      <c r="CQ37" s="304">
        <v>842.44200000000001</v>
      </c>
      <c r="CR37" s="304">
        <v>791.31</v>
      </c>
      <c r="CS37" s="304">
        <v>890.33400000000006</v>
      </c>
      <c r="CT37" s="304">
        <v>1219.3799999999999</v>
      </c>
      <c r="CU37" s="304">
        <v>1115.646</v>
      </c>
      <c r="CV37" s="304">
        <v>740.24399999999991</v>
      </c>
      <c r="CW37" s="304">
        <v>660.25800000000004</v>
      </c>
      <c r="CX37" s="304">
        <v>798.64200000000005</v>
      </c>
      <c r="CY37" s="304">
        <v>697.97399999999993</v>
      </c>
      <c r="CZ37" s="304">
        <v>664.9559999999999</v>
      </c>
      <c r="DA37" s="304">
        <v>698.50199999999995</v>
      </c>
      <c r="DB37" s="304">
        <v>687.096</v>
      </c>
      <c r="DC37" s="304">
        <v>680.64</v>
      </c>
      <c r="DD37" s="304">
        <v>675.16800000000001</v>
      </c>
      <c r="DE37" s="304">
        <v>641.43600000000004</v>
      </c>
      <c r="DF37" s="304">
        <v>650.07600000000002</v>
      </c>
      <c r="DG37" s="304">
        <v>671.26800000000003</v>
      </c>
      <c r="DH37" s="304">
        <v>775.58999999999992</v>
      </c>
      <c r="DI37" s="304">
        <v>828.654</v>
      </c>
      <c r="DJ37" s="304">
        <v>953.26200000000006</v>
      </c>
      <c r="DK37" s="304">
        <v>997.83</v>
      </c>
      <c r="DL37" s="304">
        <v>1083.348</v>
      </c>
      <c r="DM37" s="304">
        <v>1243.77</v>
      </c>
      <c r="DN37" s="304">
        <v>1286.394</v>
      </c>
      <c r="DO37" s="304">
        <v>1456.6860000000001</v>
      </c>
      <c r="DP37" s="304">
        <v>1397.5740000000001</v>
      </c>
      <c r="DQ37" s="304">
        <v>1260.7919999999999</v>
      </c>
      <c r="DR37" s="304">
        <v>1302.7620000000002</v>
      </c>
      <c r="DS37" s="304">
        <v>1360.2719999999999</v>
      </c>
      <c r="DT37" s="304">
        <v>1617.9780000000001</v>
      </c>
      <c r="DU37" s="304">
        <v>1641.3600000000001</v>
      </c>
      <c r="DV37" s="304">
        <v>1805.9940000000001</v>
      </c>
      <c r="DW37" s="304">
        <v>1696.5840000000001</v>
      </c>
      <c r="DX37" s="304">
        <v>1792.3319999999999</v>
      </c>
      <c r="DY37" s="304">
        <v>1897.2660000000001</v>
      </c>
      <c r="DZ37" s="304">
        <v>1651.0859999999998</v>
      </c>
      <c r="EA37" s="304">
        <v>1775.94</v>
      </c>
      <c r="EB37" s="304">
        <v>1585.116</v>
      </c>
      <c r="EC37" s="304">
        <v>1281.732</v>
      </c>
      <c r="ED37" s="304">
        <v>1246.914</v>
      </c>
      <c r="EE37" s="304">
        <v>1274.4360000000001</v>
      </c>
      <c r="EF37" s="304">
        <v>1416.1320000000001</v>
      </c>
      <c r="EG37" s="304">
        <v>1217.748</v>
      </c>
      <c r="EH37" s="304">
        <v>1338.5039999999999</v>
      </c>
      <c r="EI37" s="304">
        <v>1172.0160000000001</v>
      </c>
      <c r="EJ37" s="304">
        <v>1164.51</v>
      </c>
      <c r="EK37" s="304">
        <v>1021.6619999999999</v>
      </c>
      <c r="EL37" s="304">
        <v>971.06399999999996</v>
      </c>
      <c r="EM37" s="304">
        <v>1037.0820000000001</v>
      </c>
      <c r="EN37" s="304">
        <v>947.08200000000011</v>
      </c>
      <c r="EO37" s="304">
        <v>884.66399999999999</v>
      </c>
      <c r="EP37" s="304">
        <v>886.80599999999993</v>
      </c>
      <c r="EQ37" s="304">
        <v>888.87599999999998</v>
      </c>
      <c r="ER37" s="304">
        <v>1003.7640000000001</v>
      </c>
      <c r="ES37" s="304">
        <v>955.17599999999993</v>
      </c>
      <c r="ET37" s="304">
        <v>1136.394</v>
      </c>
      <c r="EU37" s="304">
        <v>993.76799999999992</v>
      </c>
      <c r="EV37" s="304">
        <v>1006.4100000000001</v>
      </c>
      <c r="EW37" s="304">
        <v>951.25199999999995</v>
      </c>
      <c r="EX37" s="304">
        <v>939.38400000000001</v>
      </c>
      <c r="EY37" s="304">
        <v>1034.3700000000001</v>
      </c>
      <c r="EZ37" s="304">
        <v>1010.856</v>
      </c>
      <c r="FA37" s="304">
        <v>907.29600000000005</v>
      </c>
      <c r="FB37" s="304">
        <v>920.178</v>
      </c>
      <c r="FC37" s="304">
        <v>836.31</v>
      </c>
      <c r="FD37" s="304">
        <v>909.40200000000004</v>
      </c>
      <c r="FE37" s="304">
        <v>802.32600000000002</v>
      </c>
      <c r="FF37" s="304">
        <v>929.91599999999994</v>
      </c>
      <c r="FG37" s="304">
        <v>886.33800000000008</v>
      </c>
      <c r="FH37" s="304">
        <v>890.346</v>
      </c>
      <c r="FI37" s="304">
        <v>764.58</v>
      </c>
      <c r="FJ37" s="304">
        <v>802.58400000000006</v>
      </c>
      <c r="FK37" s="304">
        <v>809.928</v>
      </c>
      <c r="FL37" s="304">
        <v>824.35799999999995</v>
      </c>
      <c r="FM37" s="304">
        <v>769.84199999999987</v>
      </c>
      <c r="FN37" s="304">
        <v>743.56799999999998</v>
      </c>
      <c r="FO37" s="304">
        <v>683.53800000000001</v>
      </c>
      <c r="FP37" s="304">
        <v>669.55200000000002</v>
      </c>
      <c r="FQ37" s="304">
        <v>609.22799999999995</v>
      </c>
      <c r="FR37" s="304">
        <v>548.83799999999997</v>
      </c>
      <c r="FS37" s="304">
        <v>433.78800000000001</v>
      </c>
      <c r="FT37" s="304">
        <v>544.18799999999999</v>
      </c>
      <c r="FU37" s="304">
        <v>711.35400000000004</v>
      </c>
      <c r="FV37" s="304">
        <v>672.28800000000001</v>
      </c>
      <c r="FW37" s="304">
        <v>747.846</v>
      </c>
      <c r="FX37" s="304">
        <v>763.22399999999993</v>
      </c>
      <c r="FY37" s="304">
        <v>801.35400000000004</v>
      </c>
      <c r="FZ37" s="304">
        <v>715.49399999999991</v>
      </c>
      <c r="GA37" s="304">
        <v>640.25400000000002</v>
      </c>
      <c r="GB37" s="304">
        <v>628.21199999999999</v>
      </c>
      <c r="GC37" s="304">
        <v>559.80600000000004</v>
      </c>
      <c r="GD37" s="304">
        <v>635.65199999999993</v>
      </c>
      <c r="GE37" s="304">
        <v>635.08799999999997</v>
      </c>
      <c r="GF37" s="304">
        <v>620.05200000000002</v>
      </c>
      <c r="GG37" s="304">
        <v>664.35599999999999</v>
      </c>
      <c r="GH37" s="304">
        <v>658.11</v>
      </c>
      <c r="GI37" s="304">
        <v>571.87199999999996</v>
      </c>
      <c r="GJ37" s="304">
        <v>581.69399999999996</v>
      </c>
      <c r="GK37" s="304">
        <v>570.25199999999995</v>
      </c>
      <c r="GL37" s="304">
        <v>589.91999999999996</v>
      </c>
      <c r="GM37" s="304">
        <v>632.47199999999998</v>
      </c>
      <c r="GN37" s="304">
        <v>765.33</v>
      </c>
      <c r="GO37" s="304">
        <v>732.70799999999997</v>
      </c>
      <c r="GP37" s="304">
        <v>761.01599999999996</v>
      </c>
      <c r="GQ37" s="304">
        <v>823.48799999999994</v>
      </c>
      <c r="GR37" s="304">
        <v>622.69799999999998</v>
      </c>
      <c r="GS37" s="304">
        <v>779.56799999999998</v>
      </c>
      <c r="GT37" s="304">
        <v>918.88799999999992</v>
      </c>
      <c r="GU37" s="304">
        <v>927.06</v>
      </c>
      <c r="GV37" s="304">
        <v>939.40200000000004</v>
      </c>
      <c r="GW37" s="304">
        <v>855.13199999999995</v>
      </c>
      <c r="GX37" s="304">
        <v>833.02199999999993</v>
      </c>
      <c r="GY37" s="304">
        <v>802.98599999999988</v>
      </c>
      <c r="GZ37" s="304">
        <v>828.58200000000011</v>
      </c>
      <c r="HA37" s="304">
        <v>835.78800000000001</v>
      </c>
      <c r="HB37" s="304">
        <v>819.91199999999992</v>
      </c>
      <c r="HC37" s="304">
        <v>824.05200000000013</v>
      </c>
      <c r="HD37" s="304">
        <v>992.48399999999992</v>
      </c>
      <c r="HE37" s="304">
        <v>913.99199999999996</v>
      </c>
      <c r="HF37" s="304">
        <v>716.14200000000005</v>
      </c>
      <c r="HG37" s="304">
        <v>811.31999999999994</v>
      </c>
      <c r="HH37" s="304">
        <v>829.19400000000007</v>
      </c>
      <c r="HI37" s="304">
        <v>754.81799999999998</v>
      </c>
      <c r="HJ37" s="304">
        <v>881.61599999999999</v>
      </c>
      <c r="HK37" s="304">
        <v>875.58</v>
      </c>
      <c r="HL37" s="304">
        <v>784.75199999999995</v>
      </c>
      <c r="HM37" s="304">
        <v>847.2059999999999</v>
      </c>
      <c r="HN37" s="304">
        <v>901.48799999999994</v>
      </c>
      <c r="HO37" s="304">
        <v>764.71199999999999</v>
      </c>
      <c r="HP37" s="304">
        <v>818.49</v>
      </c>
      <c r="HQ37" s="304">
        <v>782.55599999999993</v>
      </c>
      <c r="HR37" s="304">
        <v>788.88599999999997</v>
      </c>
      <c r="HS37" s="304">
        <v>726.70799999999997</v>
      </c>
      <c r="HT37" s="304">
        <v>916.21199999999999</v>
      </c>
      <c r="HU37" s="304">
        <v>983.6880000000001</v>
      </c>
      <c r="HV37" s="304">
        <v>894.97800000000007</v>
      </c>
      <c r="HW37" s="304">
        <v>925.65000000000009</v>
      </c>
      <c r="HX37" s="304">
        <v>800.66399999999999</v>
      </c>
      <c r="HY37" s="304">
        <v>794.73</v>
      </c>
      <c r="HZ37" s="304">
        <v>803.75400000000002</v>
      </c>
      <c r="IA37" s="304">
        <v>847.62000000000012</v>
      </c>
      <c r="IB37" s="304">
        <v>954.54600000000005</v>
      </c>
      <c r="IC37" s="304">
        <v>1224.318</v>
      </c>
      <c r="ID37" s="304">
        <v>1112.04</v>
      </c>
      <c r="IE37" s="304">
        <v>1150.1279999999999</v>
      </c>
      <c r="IF37" s="304">
        <v>1207.134</v>
      </c>
      <c r="IG37" s="304">
        <v>1303.56</v>
      </c>
      <c r="IH37" s="304">
        <v>1475.8020000000001</v>
      </c>
      <c r="II37" s="304">
        <v>1349.2080000000001</v>
      </c>
      <c r="IJ37" s="304">
        <v>1485.5880000000002</v>
      </c>
      <c r="IK37" s="304">
        <v>1403.9760000000001</v>
      </c>
      <c r="IL37" s="304">
        <v>1475.6100000000001</v>
      </c>
      <c r="IM37" s="304">
        <v>1467.924</v>
      </c>
      <c r="IN37" s="12">
        <v>1394.1480000000001</v>
      </c>
      <c r="IO37" s="12">
        <v>1422.3720000000001</v>
      </c>
      <c r="IP37" s="12">
        <v>1278.5039999999999</v>
      </c>
      <c r="IQ37" s="12">
        <v>1307.6759999999999</v>
      </c>
      <c r="IR37" s="12">
        <v>1198.086</v>
      </c>
      <c r="IS37" s="12">
        <v>1047.99</v>
      </c>
      <c r="IT37" s="12">
        <v>1059.18</v>
      </c>
      <c r="IU37" s="12">
        <v>1051.788</v>
      </c>
      <c r="IV37" s="12">
        <v>1061.2739999999999</v>
      </c>
      <c r="IW37" s="12">
        <v>885.66</v>
      </c>
      <c r="IX37" s="12">
        <v>1177.5940000000001</v>
      </c>
      <c r="IY37" s="12">
        <v>1301.078</v>
      </c>
      <c r="IZ37" s="12">
        <v>1947.298</v>
      </c>
      <c r="JA37" s="12">
        <v>2433.5839999999998</v>
      </c>
      <c r="JB37" s="12">
        <v>1957.6759999999999</v>
      </c>
      <c r="JC37" s="12">
        <v>1768.836</v>
      </c>
      <c r="JD37" s="12">
        <v>1658.144</v>
      </c>
      <c r="JE37" s="12">
        <v>1736.05</v>
      </c>
      <c r="JF37" s="12">
        <v>1461.1179999999999</v>
      </c>
      <c r="JG37" s="12">
        <v>1403.5719999999999</v>
      </c>
      <c r="JH37" s="12">
        <v>2112.3159999999998</v>
      </c>
      <c r="JI37" s="12">
        <v>2416.4479999999999</v>
      </c>
      <c r="JJ37" s="12">
        <v>2410.0320000000002</v>
      </c>
      <c r="JK37" s="336">
        <v>1866.52</v>
      </c>
    </row>
    <row r="38" spans="1:271" ht="15.75" thickBot="1" x14ac:dyDescent="0.3">
      <c r="A38" s="337" t="s">
        <v>163</v>
      </c>
      <c r="B38" s="338">
        <v>17462.466</v>
      </c>
      <c r="C38" s="338">
        <v>17702.400000000001</v>
      </c>
      <c r="D38" s="338">
        <v>21075.78</v>
      </c>
      <c r="E38" s="338">
        <v>19150.23</v>
      </c>
      <c r="F38" s="338">
        <v>19788.216</v>
      </c>
      <c r="G38" s="338">
        <v>19680.167999999998</v>
      </c>
      <c r="H38" s="338">
        <v>19423.452000000001</v>
      </c>
      <c r="I38" s="338">
        <v>20383.067999999999</v>
      </c>
      <c r="J38" s="338">
        <v>19865.928</v>
      </c>
      <c r="K38" s="338">
        <v>20545.692000000003</v>
      </c>
      <c r="L38" s="338">
        <v>20982.329999999998</v>
      </c>
      <c r="M38" s="338">
        <v>19663.71</v>
      </c>
      <c r="N38" s="338">
        <v>20097.702000000001</v>
      </c>
      <c r="O38" s="338">
        <v>18306.126</v>
      </c>
      <c r="P38" s="338">
        <v>19761.239999999998</v>
      </c>
      <c r="Q38" s="338">
        <v>18956.112000000001</v>
      </c>
      <c r="R38" s="338">
        <v>18938.292000000001</v>
      </c>
      <c r="S38" s="338">
        <v>17214.036</v>
      </c>
      <c r="T38" s="338">
        <v>19678.883999999998</v>
      </c>
      <c r="U38" s="338">
        <v>19228.698</v>
      </c>
      <c r="V38" s="338">
        <v>20141.946</v>
      </c>
      <c r="W38" s="338">
        <v>20571.186000000002</v>
      </c>
      <c r="X38" s="338">
        <v>21355.56</v>
      </c>
      <c r="Y38" s="338">
        <v>19617.03</v>
      </c>
      <c r="Z38" s="338">
        <v>19699.991999999998</v>
      </c>
      <c r="AA38" s="338">
        <v>19463.682000000001</v>
      </c>
      <c r="AB38" s="338">
        <v>21910.056</v>
      </c>
      <c r="AC38" s="338">
        <v>20225.705999999998</v>
      </c>
      <c r="AD38" s="338">
        <v>22539.917999999998</v>
      </c>
      <c r="AE38" s="338">
        <v>20795.633999999998</v>
      </c>
      <c r="AF38" s="338">
        <v>21148.23</v>
      </c>
      <c r="AG38" s="338">
        <v>21764.417999999998</v>
      </c>
      <c r="AH38" s="338">
        <v>21286.41</v>
      </c>
      <c r="AI38" s="338">
        <v>22075.56</v>
      </c>
      <c r="AJ38" s="338">
        <v>22243.187999999998</v>
      </c>
      <c r="AK38" s="338">
        <v>20586.665999999997</v>
      </c>
      <c r="AL38" s="338">
        <v>21831.87</v>
      </c>
      <c r="AM38" s="338">
        <v>23100.263999999999</v>
      </c>
      <c r="AN38" s="338">
        <v>25045.277999999998</v>
      </c>
      <c r="AO38" s="338">
        <v>23909.964</v>
      </c>
      <c r="AP38" s="338">
        <v>25523.766000000003</v>
      </c>
      <c r="AQ38" s="338">
        <v>24555.06</v>
      </c>
      <c r="AR38" s="338">
        <v>25522.655999999999</v>
      </c>
      <c r="AS38" s="338">
        <v>25215.120000000003</v>
      </c>
      <c r="AT38" s="338">
        <v>25979.904000000002</v>
      </c>
      <c r="AU38" s="338">
        <v>26241.797999999999</v>
      </c>
      <c r="AV38" s="338">
        <v>26032.554</v>
      </c>
      <c r="AW38" s="338">
        <v>24548.760000000002</v>
      </c>
      <c r="AX38" s="338">
        <v>24063.371999999999</v>
      </c>
      <c r="AY38" s="338">
        <v>24350.844000000001</v>
      </c>
      <c r="AZ38" s="338">
        <v>26811.281999999999</v>
      </c>
      <c r="BA38" s="338">
        <v>27046.428</v>
      </c>
      <c r="BB38" s="338">
        <v>28466.868000000002</v>
      </c>
      <c r="BC38" s="338">
        <v>27142.590000000004</v>
      </c>
      <c r="BD38" s="338">
        <v>29021.088</v>
      </c>
      <c r="BE38" s="338">
        <v>28866.198000000004</v>
      </c>
      <c r="BF38" s="338">
        <v>28882.164000000004</v>
      </c>
      <c r="BG38" s="338">
        <v>28812.606</v>
      </c>
      <c r="BH38" s="338">
        <v>30451.08</v>
      </c>
      <c r="BI38" s="338">
        <v>27349.260000000002</v>
      </c>
      <c r="BJ38" s="338">
        <v>26271.858</v>
      </c>
      <c r="BK38" s="338">
        <v>28879.614000000001</v>
      </c>
      <c r="BL38" s="338">
        <v>31655.364000000001</v>
      </c>
      <c r="BM38" s="338">
        <v>29871.276000000002</v>
      </c>
      <c r="BN38" s="338">
        <v>33996.516000000003</v>
      </c>
      <c r="BO38" s="338">
        <v>33618.372000000003</v>
      </c>
      <c r="BP38" s="338">
        <v>33673.943999999996</v>
      </c>
      <c r="BQ38" s="338">
        <v>33321.606</v>
      </c>
      <c r="BR38" s="338">
        <v>34405.061999999998</v>
      </c>
      <c r="BS38" s="338">
        <v>34717.962</v>
      </c>
      <c r="BT38" s="338">
        <v>35181.012000000002</v>
      </c>
      <c r="BU38" s="338">
        <v>32501.135999999999</v>
      </c>
      <c r="BV38" s="338">
        <v>31944.786</v>
      </c>
      <c r="BW38" s="338">
        <v>34426.637999999999</v>
      </c>
      <c r="BX38" s="338">
        <v>36962.112000000001</v>
      </c>
      <c r="BY38" s="338">
        <v>33856.692000000003</v>
      </c>
      <c r="BZ38" s="338">
        <v>36772.338000000003</v>
      </c>
      <c r="CA38" s="338">
        <v>35861.933999999994</v>
      </c>
      <c r="CB38" s="338">
        <v>36387.402000000002</v>
      </c>
      <c r="CC38" s="338">
        <v>38092.637999999999</v>
      </c>
      <c r="CD38" s="338">
        <v>36694.631999999998</v>
      </c>
      <c r="CE38" s="338">
        <v>34631.046000000002</v>
      </c>
      <c r="CF38" s="338">
        <v>35750.022000000004</v>
      </c>
      <c r="CG38" s="338">
        <v>30838.517999999996</v>
      </c>
      <c r="CH38" s="338">
        <v>31377.678</v>
      </c>
      <c r="CI38" s="338">
        <v>33744.425999999999</v>
      </c>
      <c r="CJ38" s="338">
        <v>34429.331999999995</v>
      </c>
      <c r="CK38" s="338">
        <v>35228.724000000002</v>
      </c>
      <c r="CL38" s="338">
        <v>37526.520000000004</v>
      </c>
      <c r="CM38" s="338">
        <v>37949.165999999997</v>
      </c>
      <c r="CN38" s="338">
        <v>40102.368000000002</v>
      </c>
      <c r="CO38" s="338">
        <v>42670.512000000002</v>
      </c>
      <c r="CP38" s="338">
        <v>41268.353999999999</v>
      </c>
      <c r="CQ38" s="338">
        <v>42641.046000000002</v>
      </c>
      <c r="CR38" s="338">
        <v>39661.914000000004</v>
      </c>
      <c r="CS38" s="338">
        <v>35950.644</v>
      </c>
      <c r="CT38" s="338">
        <v>34041.408000000003</v>
      </c>
      <c r="CU38" s="338">
        <v>34087.074000000001</v>
      </c>
      <c r="CV38" s="338">
        <v>36361.067999999999</v>
      </c>
      <c r="CW38" s="338">
        <v>35136.425999999999</v>
      </c>
      <c r="CX38" s="338">
        <v>36014.843999999997</v>
      </c>
      <c r="CY38" s="338">
        <v>33914.675999999999</v>
      </c>
      <c r="CZ38" s="338">
        <v>33481.745999999999</v>
      </c>
      <c r="DA38" s="338">
        <v>32664.665999999997</v>
      </c>
      <c r="DB38" s="338">
        <v>30996.834000000003</v>
      </c>
      <c r="DC38" s="338">
        <v>32434.313999999998</v>
      </c>
      <c r="DD38" s="338">
        <v>31260.696</v>
      </c>
      <c r="DE38" s="338">
        <v>29385.642</v>
      </c>
      <c r="DF38" s="338">
        <v>28431.563999999998</v>
      </c>
      <c r="DG38" s="338">
        <v>31166.807999999997</v>
      </c>
      <c r="DH38" s="338">
        <v>33991.83</v>
      </c>
      <c r="DI38" s="338">
        <v>32895.588000000003</v>
      </c>
      <c r="DJ38" s="338">
        <v>35387.286</v>
      </c>
      <c r="DK38" s="338">
        <v>35458.415999999997</v>
      </c>
      <c r="DL38" s="338">
        <v>37123.649999999994</v>
      </c>
      <c r="DM38" s="338">
        <v>38226.101999999999</v>
      </c>
      <c r="DN38" s="338">
        <v>37767.767999999996</v>
      </c>
      <c r="DO38" s="338">
        <v>40105.974000000002</v>
      </c>
      <c r="DP38" s="338">
        <v>41030.567999999999</v>
      </c>
      <c r="DQ38" s="338">
        <v>36963.816000000006</v>
      </c>
      <c r="DR38" s="338">
        <v>37961.316000000006</v>
      </c>
      <c r="DS38" s="338">
        <v>38723.508000000002</v>
      </c>
      <c r="DT38" s="338">
        <v>42836.19</v>
      </c>
      <c r="DU38" s="338">
        <v>41802.767999999996</v>
      </c>
      <c r="DV38" s="338">
        <v>48160.296000000002</v>
      </c>
      <c r="DW38" s="338">
        <v>46814.627999999997</v>
      </c>
      <c r="DX38" s="338">
        <v>47618.748</v>
      </c>
      <c r="DY38" s="338">
        <v>48974.124000000003</v>
      </c>
      <c r="DZ38" s="338">
        <v>48826.193999999996</v>
      </c>
      <c r="EA38" s="338">
        <v>50131.326000000001</v>
      </c>
      <c r="EB38" s="338">
        <v>50598.432000000001</v>
      </c>
      <c r="EC38" s="338">
        <v>44413.637999999999</v>
      </c>
      <c r="ED38" s="338">
        <v>50191.452000000005</v>
      </c>
      <c r="EE38" s="338">
        <v>54281.729999999996</v>
      </c>
      <c r="EF38" s="338">
        <v>58510.955999999991</v>
      </c>
      <c r="EG38" s="338">
        <v>56377.842000000004</v>
      </c>
      <c r="EH38" s="338">
        <v>59855.748000000007</v>
      </c>
      <c r="EI38" s="338">
        <v>57135.617999999995</v>
      </c>
      <c r="EJ38" s="338">
        <v>60024.173999999999</v>
      </c>
      <c r="EK38" s="338">
        <v>61134.078000000009</v>
      </c>
      <c r="EL38" s="338">
        <v>57355.308000000005</v>
      </c>
      <c r="EM38" s="338">
        <v>58924.008000000002</v>
      </c>
      <c r="EN38" s="338">
        <v>55920</v>
      </c>
      <c r="EO38" s="338">
        <v>51985.049999999996</v>
      </c>
      <c r="EP38" s="338">
        <v>55086.425999999999</v>
      </c>
      <c r="EQ38" s="338">
        <v>58267.583999999995</v>
      </c>
      <c r="ER38" s="338">
        <v>58132.62</v>
      </c>
      <c r="ES38" s="338">
        <v>59910.432000000001</v>
      </c>
      <c r="ET38" s="338">
        <v>58827.006000000001</v>
      </c>
      <c r="EU38" s="338">
        <v>56917.991999999998</v>
      </c>
      <c r="EV38" s="338">
        <v>59291.627999999997</v>
      </c>
      <c r="EW38" s="338">
        <v>60892.836000000003</v>
      </c>
      <c r="EX38" s="338">
        <v>55521.978000000003</v>
      </c>
      <c r="EY38" s="338">
        <v>55922.904000000002</v>
      </c>
      <c r="EZ38" s="338">
        <v>54639.966</v>
      </c>
      <c r="FA38" s="338">
        <v>46332.767999999996</v>
      </c>
      <c r="FB38" s="338">
        <v>46802.375999999997</v>
      </c>
      <c r="FC38" s="338">
        <v>48098.585999999996</v>
      </c>
      <c r="FD38" s="338">
        <v>54025.134000000005</v>
      </c>
      <c r="FE38" s="338">
        <v>51370.751999999993</v>
      </c>
      <c r="FF38" s="338">
        <v>54330.509999999995</v>
      </c>
      <c r="FG38" s="338">
        <v>50561.34</v>
      </c>
      <c r="FH38" s="338">
        <v>50809.53</v>
      </c>
      <c r="FI38" s="338">
        <v>51374.322</v>
      </c>
      <c r="FJ38" s="338">
        <v>50385.455999999991</v>
      </c>
      <c r="FK38" s="338">
        <v>54170.478000000003</v>
      </c>
      <c r="FL38" s="338">
        <v>52716.203999999998</v>
      </c>
      <c r="FM38" s="338">
        <v>46418.256000000001</v>
      </c>
      <c r="FN38" s="338">
        <v>45847.331999999995</v>
      </c>
      <c r="FO38" s="338">
        <v>46432.056000000004</v>
      </c>
      <c r="FP38" s="338">
        <v>49424.28</v>
      </c>
      <c r="FQ38" s="338">
        <v>46675.445999999996</v>
      </c>
      <c r="FR38" s="338">
        <v>46656.942000000003</v>
      </c>
      <c r="FS38" s="338">
        <v>45945.324000000001</v>
      </c>
      <c r="FT38" s="338">
        <v>47273.64</v>
      </c>
      <c r="FU38" s="338">
        <v>47275.884000000005</v>
      </c>
      <c r="FV38" s="338">
        <v>47240.94</v>
      </c>
      <c r="FW38" s="338">
        <v>48971.093999999997</v>
      </c>
      <c r="FX38" s="338">
        <v>46119.084000000003</v>
      </c>
      <c r="FY38" s="338">
        <v>42654.036</v>
      </c>
      <c r="FZ38" s="338">
        <v>41631.192000000003</v>
      </c>
      <c r="GA38" s="338">
        <v>42148.398000000001</v>
      </c>
      <c r="GB38" s="338">
        <v>41697.144</v>
      </c>
      <c r="GC38" s="338">
        <v>41573.915999999997</v>
      </c>
      <c r="GD38" s="338">
        <v>43471.938000000002</v>
      </c>
      <c r="GE38" s="338">
        <v>41108.100000000006</v>
      </c>
      <c r="GF38" s="338">
        <v>44404.955999999998</v>
      </c>
      <c r="GG38" s="338">
        <v>43801.122000000003</v>
      </c>
      <c r="GH38" s="338">
        <v>41290.865999999995</v>
      </c>
      <c r="GI38" s="338">
        <v>43926.966</v>
      </c>
      <c r="GJ38" s="338">
        <v>44870.796000000002</v>
      </c>
      <c r="GK38" s="338">
        <v>40754.207999999999</v>
      </c>
      <c r="GL38" s="338">
        <v>42112.17</v>
      </c>
      <c r="GM38" s="338">
        <v>42792.384000000005</v>
      </c>
      <c r="GN38" s="338">
        <v>45326.226000000002</v>
      </c>
      <c r="GO38" s="338">
        <v>44432.442000000003</v>
      </c>
      <c r="GP38" s="338">
        <v>47220.144</v>
      </c>
      <c r="GQ38" s="338">
        <v>44723.868000000002</v>
      </c>
      <c r="GR38" s="338">
        <v>46492.86</v>
      </c>
      <c r="GS38" s="338">
        <v>46270.301999999996</v>
      </c>
      <c r="GT38" s="338">
        <v>45198.714</v>
      </c>
      <c r="GU38" s="338">
        <v>48824.358</v>
      </c>
      <c r="GV38" s="338">
        <v>48678.149999999994</v>
      </c>
      <c r="GW38" s="338">
        <v>43807.17</v>
      </c>
      <c r="GX38" s="338">
        <v>44309.55</v>
      </c>
      <c r="GY38" s="338">
        <v>46305.425999999999</v>
      </c>
      <c r="GZ38" s="338">
        <v>51229.008000000002</v>
      </c>
      <c r="HA38" s="338">
        <v>49304.015999999996</v>
      </c>
      <c r="HB38" s="338">
        <v>51955.313999999998</v>
      </c>
      <c r="HC38" s="338">
        <v>49420.200000000004</v>
      </c>
      <c r="HD38" s="338">
        <v>53507.19</v>
      </c>
      <c r="HE38" s="338">
        <v>52677.833999999995</v>
      </c>
      <c r="HF38" s="338">
        <v>50594.520000000004</v>
      </c>
      <c r="HG38" s="338">
        <v>55594.998000000007</v>
      </c>
      <c r="HH38" s="338">
        <v>55764.515999999996</v>
      </c>
      <c r="HI38" s="338">
        <v>49171.745999999999</v>
      </c>
      <c r="HJ38" s="338">
        <v>52361.04</v>
      </c>
      <c r="HK38" s="338">
        <v>52654.29</v>
      </c>
      <c r="HL38" s="338">
        <v>55513.788</v>
      </c>
      <c r="HM38" s="338">
        <v>55691.622000000003</v>
      </c>
      <c r="HN38" s="338">
        <v>58742.838000000003</v>
      </c>
      <c r="HO38" s="338">
        <v>54246.384000000005</v>
      </c>
      <c r="HP38" s="338">
        <v>60241.265999999996</v>
      </c>
      <c r="HQ38" s="338">
        <v>56964.941999999995</v>
      </c>
      <c r="HR38" s="338">
        <v>55196.076000000001</v>
      </c>
      <c r="HS38" s="338">
        <v>59773.583999999995</v>
      </c>
      <c r="HT38" s="338">
        <v>61129.853999999992</v>
      </c>
      <c r="HU38" s="338">
        <v>52228.763999999996</v>
      </c>
      <c r="HV38" s="338">
        <v>55403.076000000001</v>
      </c>
      <c r="HW38" s="338">
        <v>58200.384000000005</v>
      </c>
      <c r="HX38" s="338">
        <v>61221.042000000001</v>
      </c>
      <c r="HY38" s="338">
        <v>56971.686000000002</v>
      </c>
      <c r="HZ38" s="338">
        <v>60206.256000000001</v>
      </c>
      <c r="IA38" s="338">
        <v>60924.78</v>
      </c>
      <c r="IB38" s="338">
        <v>64218.69</v>
      </c>
      <c r="IC38" s="338">
        <v>64578.762000000002</v>
      </c>
      <c r="ID38" s="338">
        <v>63691.044000000009</v>
      </c>
      <c r="IE38" s="338">
        <v>65418.156000000003</v>
      </c>
      <c r="IF38" s="338">
        <v>66931.259999999995</v>
      </c>
      <c r="IG38" s="338">
        <v>58858.493999999999</v>
      </c>
      <c r="IH38" s="338">
        <v>62503.637999999992</v>
      </c>
      <c r="II38" s="338">
        <v>62870.598000000005</v>
      </c>
      <c r="IJ38" s="338">
        <v>71805.432000000001</v>
      </c>
      <c r="IK38" s="338">
        <v>68155.319999999992</v>
      </c>
      <c r="IL38" s="338">
        <v>70918.83600000001</v>
      </c>
      <c r="IM38" s="338">
        <v>69914.34599999999</v>
      </c>
      <c r="IN38" s="339">
        <v>68543.13</v>
      </c>
      <c r="IO38" s="339">
        <v>72351.785999999993</v>
      </c>
      <c r="IP38" s="339">
        <v>70333.872000000003</v>
      </c>
      <c r="IQ38" s="339">
        <v>70672.728000000003</v>
      </c>
      <c r="IR38" s="339">
        <v>72382.343999999997</v>
      </c>
      <c r="IS38" s="339">
        <v>62761.703999999998</v>
      </c>
      <c r="IT38" s="339">
        <v>64331.784</v>
      </c>
      <c r="IU38" s="339">
        <v>66241.812000000005</v>
      </c>
      <c r="IV38" s="339">
        <v>71999.843999999997</v>
      </c>
      <c r="IW38" s="340">
        <v>72160.262000000002</v>
      </c>
      <c r="IX38" s="340">
        <v>73606.054000000004</v>
      </c>
      <c r="IY38" s="340">
        <v>72969.94</v>
      </c>
      <c r="IZ38" s="340">
        <v>72308.615999999995</v>
      </c>
      <c r="JA38" s="340">
        <v>73959.217999999993</v>
      </c>
      <c r="JB38" s="340">
        <v>76200.479999999996</v>
      </c>
      <c r="JC38" s="340">
        <v>73762.214000000007</v>
      </c>
      <c r="JD38" s="340">
        <v>74377.411999999997</v>
      </c>
      <c r="JE38" s="340">
        <v>77093.532000000007</v>
      </c>
      <c r="JF38" s="340">
        <v>77766.94</v>
      </c>
      <c r="JG38" s="340">
        <v>73145.932000000001</v>
      </c>
      <c r="JH38" s="340">
        <v>72193.486000000004</v>
      </c>
      <c r="JI38" s="340">
        <v>77207.59</v>
      </c>
      <c r="JJ38" s="340">
        <v>78214.398000000001</v>
      </c>
      <c r="JK38" s="341">
        <v>77680.179999999993</v>
      </c>
    </row>
    <row r="39" spans="1:271" s="3" customFormat="1" x14ac:dyDescent="0.25"/>
    <row r="40" spans="1:271" s="3" customFormat="1" x14ac:dyDescent="0.25"/>
    <row r="41" spans="1:271" ht="15.75" thickBot="1" x14ac:dyDescent="0.3">
      <c r="A41" s="4" t="s">
        <v>174</v>
      </c>
      <c r="D41" s="342"/>
      <c r="G41" s="342"/>
      <c r="J41" s="342"/>
      <c r="M41" s="342"/>
      <c r="P41" s="342"/>
      <c r="S41" s="342"/>
      <c r="V41" s="342"/>
      <c r="Y41" s="342"/>
      <c r="AB41" s="342"/>
      <c r="AE41" s="342"/>
      <c r="AH41" s="342"/>
      <c r="AK41" s="342"/>
      <c r="AN41" s="342"/>
      <c r="AQ41" s="342"/>
      <c r="AT41" s="342"/>
      <c r="AW41" s="342"/>
      <c r="AZ41" s="342"/>
      <c r="BC41" s="342"/>
      <c r="BF41" s="342"/>
      <c r="BI41" s="342"/>
      <c r="BL41" s="342"/>
      <c r="BO41" s="342"/>
      <c r="BR41" s="342"/>
      <c r="BU41" s="342"/>
      <c r="BX41" s="342"/>
      <c r="CA41" s="342"/>
      <c r="CD41" s="342"/>
      <c r="CG41" s="342"/>
      <c r="CJ41" s="342"/>
      <c r="CM41" s="342"/>
      <c r="CP41" s="342"/>
      <c r="CS41" s="342"/>
      <c r="CV41" s="342"/>
      <c r="CY41" s="342"/>
      <c r="DB41" s="342"/>
      <c r="DE41" s="342"/>
      <c r="DH41" s="342"/>
      <c r="DK41" s="342"/>
      <c r="DN41" s="342"/>
      <c r="DQ41" s="342"/>
      <c r="DT41" s="342"/>
      <c r="DW41" s="342"/>
      <c r="DZ41" s="342"/>
      <c r="EC41" s="342"/>
      <c r="EF41" s="342"/>
      <c r="EI41" s="342"/>
      <c r="EL41" s="342"/>
      <c r="EO41" s="342"/>
      <c r="ER41" s="342"/>
      <c r="EU41" s="342"/>
      <c r="EX41" s="342"/>
      <c r="FA41" s="342"/>
      <c r="FD41" s="342"/>
      <c r="FG41" s="342"/>
      <c r="FJ41" s="342"/>
      <c r="FM41" s="342"/>
      <c r="FP41" s="342"/>
      <c r="FS41" s="342"/>
      <c r="FV41" s="342"/>
      <c r="FY41" s="342"/>
      <c r="GB41" s="342"/>
      <c r="GE41" s="342"/>
      <c r="GH41" s="342"/>
      <c r="GK41" s="342"/>
      <c r="GN41" s="342"/>
      <c r="GQ41" s="342"/>
      <c r="GT41" s="342"/>
      <c r="GW41" s="342"/>
      <c r="GZ41" s="342"/>
      <c r="HC41" s="342"/>
      <c r="HF41" s="342"/>
      <c r="HI41" s="342"/>
      <c r="IA41" s="322"/>
      <c r="IB41" s="322"/>
      <c r="IC41" s="322"/>
      <c r="ID41" s="322"/>
      <c r="IE41" s="322"/>
      <c r="IF41" s="322"/>
      <c r="IG41" s="322"/>
      <c r="IH41" s="322"/>
      <c r="II41" s="322"/>
      <c r="IJ41" s="322"/>
      <c r="IK41" s="322"/>
      <c r="IL41" s="322"/>
      <c r="IM41" s="322"/>
      <c r="IN41" s="3"/>
    </row>
    <row r="42" spans="1:271" x14ac:dyDescent="0.25">
      <c r="A42" s="297" t="s">
        <v>63</v>
      </c>
      <c r="B42" s="329">
        <v>36922</v>
      </c>
      <c r="C42" s="329">
        <v>36950</v>
      </c>
      <c r="D42" s="329">
        <v>36981</v>
      </c>
      <c r="E42" s="329">
        <v>37011</v>
      </c>
      <c r="F42" s="329">
        <v>37042</v>
      </c>
      <c r="G42" s="329">
        <v>37072</v>
      </c>
      <c r="H42" s="329">
        <v>37103</v>
      </c>
      <c r="I42" s="329">
        <v>37134</v>
      </c>
      <c r="J42" s="329">
        <v>37164</v>
      </c>
      <c r="K42" s="329">
        <v>37195</v>
      </c>
      <c r="L42" s="329">
        <v>37225</v>
      </c>
      <c r="M42" s="329">
        <v>37256</v>
      </c>
      <c r="N42" s="329">
        <v>37287</v>
      </c>
      <c r="O42" s="329">
        <v>37315</v>
      </c>
      <c r="P42" s="329">
        <v>37346</v>
      </c>
      <c r="Q42" s="329">
        <v>37376</v>
      </c>
      <c r="R42" s="329">
        <v>37407</v>
      </c>
      <c r="S42" s="329">
        <v>37437</v>
      </c>
      <c r="T42" s="329">
        <v>37468</v>
      </c>
      <c r="U42" s="329">
        <v>37499</v>
      </c>
      <c r="V42" s="329">
        <v>37529</v>
      </c>
      <c r="W42" s="329">
        <v>37560</v>
      </c>
      <c r="X42" s="329">
        <v>37590</v>
      </c>
      <c r="Y42" s="329">
        <v>37621</v>
      </c>
      <c r="Z42" s="329">
        <v>37652</v>
      </c>
      <c r="AA42" s="329">
        <v>37680</v>
      </c>
      <c r="AB42" s="329">
        <v>37711</v>
      </c>
      <c r="AC42" s="329">
        <v>37741</v>
      </c>
      <c r="AD42" s="329">
        <v>37772</v>
      </c>
      <c r="AE42" s="329">
        <v>37802</v>
      </c>
      <c r="AF42" s="329">
        <v>37833</v>
      </c>
      <c r="AG42" s="329">
        <v>37864</v>
      </c>
      <c r="AH42" s="329">
        <v>37894</v>
      </c>
      <c r="AI42" s="329">
        <v>37925</v>
      </c>
      <c r="AJ42" s="329">
        <v>37955</v>
      </c>
      <c r="AK42" s="329">
        <v>37986</v>
      </c>
      <c r="AL42" s="329">
        <v>38017</v>
      </c>
      <c r="AM42" s="329">
        <v>38046</v>
      </c>
      <c r="AN42" s="329">
        <v>38077</v>
      </c>
      <c r="AO42" s="329">
        <v>38107</v>
      </c>
      <c r="AP42" s="329">
        <v>38138</v>
      </c>
      <c r="AQ42" s="329">
        <v>38168</v>
      </c>
      <c r="AR42" s="329">
        <v>38199</v>
      </c>
      <c r="AS42" s="329">
        <v>38230</v>
      </c>
      <c r="AT42" s="329">
        <v>38260</v>
      </c>
      <c r="AU42" s="329">
        <v>38291</v>
      </c>
      <c r="AV42" s="329">
        <v>38321</v>
      </c>
      <c r="AW42" s="329">
        <v>38352</v>
      </c>
      <c r="AX42" s="329">
        <v>38383</v>
      </c>
      <c r="AY42" s="329">
        <v>38411</v>
      </c>
      <c r="AZ42" s="329">
        <v>38442</v>
      </c>
      <c r="BA42" s="329">
        <v>38472</v>
      </c>
      <c r="BB42" s="329">
        <v>38503</v>
      </c>
      <c r="BC42" s="329">
        <v>38533</v>
      </c>
      <c r="BD42" s="329">
        <v>38564</v>
      </c>
      <c r="BE42" s="329">
        <v>38595</v>
      </c>
      <c r="BF42" s="329">
        <v>38625</v>
      </c>
      <c r="BG42" s="329">
        <v>38656</v>
      </c>
      <c r="BH42" s="329">
        <v>38686</v>
      </c>
      <c r="BI42" s="329">
        <v>38717</v>
      </c>
      <c r="BJ42" s="329">
        <v>38748</v>
      </c>
      <c r="BK42" s="329">
        <v>38776</v>
      </c>
      <c r="BL42" s="329">
        <v>38807</v>
      </c>
      <c r="BM42" s="329">
        <v>38837</v>
      </c>
      <c r="BN42" s="329">
        <v>38868</v>
      </c>
      <c r="BO42" s="329">
        <v>38898</v>
      </c>
      <c r="BP42" s="329">
        <v>38929</v>
      </c>
      <c r="BQ42" s="329">
        <v>38960</v>
      </c>
      <c r="BR42" s="329">
        <v>38990</v>
      </c>
      <c r="BS42" s="329">
        <v>39021</v>
      </c>
      <c r="BT42" s="329">
        <v>39051</v>
      </c>
      <c r="BU42" s="329">
        <v>39082</v>
      </c>
      <c r="BV42" s="329">
        <v>39113</v>
      </c>
      <c r="BW42" s="329">
        <v>39141</v>
      </c>
      <c r="BX42" s="329">
        <v>39172</v>
      </c>
      <c r="BY42" s="329">
        <v>39202</v>
      </c>
      <c r="BZ42" s="329">
        <v>39233</v>
      </c>
      <c r="CA42" s="329">
        <v>39263</v>
      </c>
      <c r="CB42" s="329">
        <v>39294</v>
      </c>
      <c r="CC42" s="329">
        <v>39325</v>
      </c>
      <c r="CD42" s="329">
        <v>39355</v>
      </c>
      <c r="CE42" s="329">
        <v>39386</v>
      </c>
      <c r="CF42" s="330">
        <v>39416</v>
      </c>
      <c r="CG42" s="330">
        <v>39447</v>
      </c>
      <c r="CH42" s="330">
        <v>39478</v>
      </c>
      <c r="CI42" s="330">
        <v>39507</v>
      </c>
      <c r="CJ42" s="330">
        <v>39538</v>
      </c>
      <c r="CK42" s="330">
        <v>39568</v>
      </c>
      <c r="CL42" s="330">
        <v>39599</v>
      </c>
      <c r="CM42" s="330">
        <v>39629</v>
      </c>
      <c r="CN42" s="330">
        <v>39660</v>
      </c>
      <c r="CO42" s="330">
        <v>39691</v>
      </c>
      <c r="CP42" s="330">
        <v>39721</v>
      </c>
      <c r="CQ42" s="330">
        <v>39752</v>
      </c>
      <c r="CR42" s="330">
        <v>39782</v>
      </c>
      <c r="CS42" s="330">
        <v>39813</v>
      </c>
      <c r="CT42" s="330">
        <v>39844</v>
      </c>
      <c r="CU42" s="330">
        <v>39872</v>
      </c>
      <c r="CV42" s="330">
        <v>39903</v>
      </c>
      <c r="CW42" s="330">
        <v>39933</v>
      </c>
      <c r="CX42" s="330">
        <v>39964</v>
      </c>
      <c r="CY42" s="330">
        <v>39994</v>
      </c>
      <c r="CZ42" s="330">
        <v>40025</v>
      </c>
      <c r="DA42" s="330">
        <v>40056</v>
      </c>
      <c r="DB42" s="330">
        <v>40086</v>
      </c>
      <c r="DC42" s="330">
        <v>40117</v>
      </c>
      <c r="DD42" s="330">
        <v>40147</v>
      </c>
      <c r="DE42" s="330">
        <v>40178</v>
      </c>
      <c r="DF42" s="330">
        <v>40209</v>
      </c>
      <c r="DG42" s="330">
        <v>40237</v>
      </c>
      <c r="DH42" s="330">
        <v>40268</v>
      </c>
      <c r="DI42" s="330">
        <v>40298</v>
      </c>
      <c r="DJ42" s="330">
        <v>40329</v>
      </c>
      <c r="DK42" s="330">
        <v>40359</v>
      </c>
      <c r="DL42" s="330">
        <v>40390</v>
      </c>
      <c r="DM42" s="330">
        <v>40421</v>
      </c>
      <c r="DN42" s="330">
        <v>40451</v>
      </c>
      <c r="DO42" s="330">
        <v>40482</v>
      </c>
      <c r="DP42" s="330">
        <v>40512</v>
      </c>
      <c r="DQ42" s="330">
        <v>40543</v>
      </c>
      <c r="DR42" s="330">
        <v>40574</v>
      </c>
      <c r="DS42" s="330">
        <v>40602</v>
      </c>
      <c r="DT42" s="330">
        <v>40633</v>
      </c>
      <c r="DU42" s="330">
        <v>40663</v>
      </c>
      <c r="DV42" s="330">
        <v>40694</v>
      </c>
      <c r="DW42" s="330">
        <v>40724</v>
      </c>
      <c r="DX42" s="330">
        <v>40755</v>
      </c>
      <c r="DY42" s="330">
        <v>40786</v>
      </c>
      <c r="DZ42" s="330">
        <v>40816</v>
      </c>
      <c r="EA42" s="330">
        <v>40847</v>
      </c>
      <c r="EB42" s="330">
        <v>40877</v>
      </c>
      <c r="EC42" s="330">
        <v>40908</v>
      </c>
      <c r="ED42" s="330">
        <v>40939</v>
      </c>
      <c r="EE42" s="330">
        <v>40968</v>
      </c>
      <c r="EF42" s="330">
        <v>40999</v>
      </c>
      <c r="EG42" s="330">
        <v>41029</v>
      </c>
      <c r="EH42" s="330">
        <v>41060</v>
      </c>
      <c r="EI42" s="330">
        <v>41090</v>
      </c>
      <c r="EJ42" s="330">
        <v>41121</v>
      </c>
      <c r="EK42" s="330">
        <v>41152</v>
      </c>
      <c r="EL42" s="330">
        <v>41182</v>
      </c>
      <c r="EM42" s="330">
        <v>41213</v>
      </c>
      <c r="EN42" s="330">
        <v>41243</v>
      </c>
      <c r="EO42" s="330">
        <v>41274</v>
      </c>
      <c r="EP42" s="330">
        <v>41305</v>
      </c>
      <c r="EQ42" s="330">
        <v>41333</v>
      </c>
      <c r="ER42" s="330">
        <v>41364</v>
      </c>
      <c r="ES42" s="330">
        <v>41394</v>
      </c>
      <c r="ET42" s="330">
        <v>41425</v>
      </c>
      <c r="EU42" s="330">
        <v>41455</v>
      </c>
      <c r="EV42" s="330">
        <v>41486</v>
      </c>
      <c r="EW42" s="330">
        <v>41517</v>
      </c>
      <c r="EX42" s="330">
        <v>41547</v>
      </c>
      <c r="EY42" s="330">
        <v>41578</v>
      </c>
      <c r="EZ42" s="330">
        <v>41608</v>
      </c>
      <c r="FA42" s="330">
        <v>41639</v>
      </c>
      <c r="FB42" s="330">
        <v>41670</v>
      </c>
      <c r="FC42" s="330">
        <v>41698</v>
      </c>
      <c r="FD42" s="330">
        <v>41729</v>
      </c>
      <c r="FE42" s="330">
        <v>41759</v>
      </c>
      <c r="FF42" s="330">
        <v>41790</v>
      </c>
      <c r="FG42" s="330">
        <v>41820</v>
      </c>
      <c r="FH42" s="330">
        <v>41851</v>
      </c>
      <c r="FI42" s="330">
        <v>41882</v>
      </c>
      <c r="FJ42" s="330">
        <v>41912</v>
      </c>
      <c r="FK42" s="330">
        <v>41943</v>
      </c>
      <c r="FL42" s="330">
        <v>41973</v>
      </c>
      <c r="FM42" s="330">
        <v>42004</v>
      </c>
      <c r="FN42" s="330">
        <v>42035</v>
      </c>
      <c r="FO42" s="330">
        <v>42063</v>
      </c>
      <c r="FP42" s="330">
        <v>42094</v>
      </c>
      <c r="FQ42" s="330">
        <v>42124</v>
      </c>
      <c r="FR42" s="330">
        <v>42155</v>
      </c>
      <c r="FS42" s="330">
        <v>42185</v>
      </c>
      <c r="FT42" s="330">
        <v>42216</v>
      </c>
      <c r="FU42" s="330">
        <v>42247</v>
      </c>
      <c r="FV42" s="330">
        <v>42277</v>
      </c>
      <c r="FW42" s="330">
        <v>42308</v>
      </c>
      <c r="FX42" s="330">
        <v>42338</v>
      </c>
      <c r="FY42" s="330">
        <v>42369</v>
      </c>
      <c r="FZ42" s="330">
        <v>42400</v>
      </c>
      <c r="GA42" s="330">
        <v>42429</v>
      </c>
      <c r="GB42" s="330">
        <v>42460</v>
      </c>
      <c r="GC42" s="330">
        <v>42490</v>
      </c>
      <c r="GD42" s="330">
        <v>42521</v>
      </c>
      <c r="GE42" s="330">
        <v>42551</v>
      </c>
      <c r="GF42" s="330">
        <v>42582</v>
      </c>
      <c r="GG42" s="330">
        <v>42613</v>
      </c>
      <c r="GH42" s="330">
        <v>42643</v>
      </c>
      <c r="GI42" s="330">
        <v>42674</v>
      </c>
      <c r="GJ42" s="330">
        <v>42704</v>
      </c>
      <c r="GK42" s="330">
        <v>42735</v>
      </c>
      <c r="GL42" s="330">
        <v>42766</v>
      </c>
      <c r="GM42" s="330">
        <v>42794</v>
      </c>
      <c r="GN42" s="330">
        <v>42825</v>
      </c>
      <c r="GO42" s="330">
        <v>42855</v>
      </c>
      <c r="GP42" s="330">
        <v>42886</v>
      </c>
      <c r="GQ42" s="330">
        <v>42916</v>
      </c>
      <c r="GR42" s="330">
        <v>42947</v>
      </c>
      <c r="GS42" s="330">
        <v>42978</v>
      </c>
      <c r="GT42" s="330">
        <v>43008</v>
      </c>
      <c r="GU42" s="330">
        <v>43039</v>
      </c>
      <c r="GV42" s="330">
        <v>43069</v>
      </c>
      <c r="GW42" s="330">
        <v>43100</v>
      </c>
      <c r="GX42" s="330">
        <v>43131</v>
      </c>
      <c r="GY42" s="330">
        <v>43159</v>
      </c>
      <c r="GZ42" s="330">
        <v>43190</v>
      </c>
      <c r="HA42" s="330">
        <v>43220</v>
      </c>
      <c r="HB42" s="330">
        <v>43251</v>
      </c>
      <c r="HC42" s="330">
        <v>43281</v>
      </c>
      <c r="HD42" s="330">
        <v>43312</v>
      </c>
      <c r="HE42" s="330">
        <v>43343</v>
      </c>
      <c r="HF42" s="330">
        <v>43373</v>
      </c>
      <c r="HG42" s="330">
        <v>43404</v>
      </c>
      <c r="HH42" s="330">
        <v>43434</v>
      </c>
      <c r="HI42" s="330">
        <v>43465</v>
      </c>
      <c r="HJ42" s="330">
        <v>43496</v>
      </c>
      <c r="HK42" s="330">
        <v>43524</v>
      </c>
      <c r="HL42" s="330">
        <v>43555</v>
      </c>
      <c r="HM42" s="330">
        <v>43585</v>
      </c>
      <c r="HN42" s="330">
        <v>43616</v>
      </c>
      <c r="HO42" s="330">
        <v>43646</v>
      </c>
      <c r="HP42" s="330">
        <v>43677</v>
      </c>
      <c r="HQ42" s="330">
        <v>43708</v>
      </c>
      <c r="HR42" s="330">
        <v>43738</v>
      </c>
      <c r="HS42" s="330">
        <v>43769</v>
      </c>
      <c r="HT42" s="330">
        <v>43799</v>
      </c>
      <c r="HU42" s="330">
        <v>43830</v>
      </c>
      <c r="HV42" s="330">
        <v>43861</v>
      </c>
      <c r="HW42" s="330">
        <v>43890</v>
      </c>
      <c r="HX42" s="330">
        <v>43921</v>
      </c>
      <c r="HY42" s="330">
        <v>43951</v>
      </c>
      <c r="HZ42" s="330">
        <v>43982</v>
      </c>
      <c r="IA42" s="330">
        <v>44012</v>
      </c>
      <c r="IB42" s="330">
        <v>44043</v>
      </c>
      <c r="IC42" s="330">
        <v>44074</v>
      </c>
      <c r="ID42" s="330">
        <v>44104</v>
      </c>
      <c r="IE42" s="330">
        <v>44135</v>
      </c>
      <c r="IF42" s="330">
        <v>44165</v>
      </c>
      <c r="IG42" s="330">
        <v>44196</v>
      </c>
      <c r="IH42" s="330">
        <v>44227</v>
      </c>
      <c r="II42" s="330">
        <v>44255</v>
      </c>
      <c r="IJ42" s="330">
        <v>44286</v>
      </c>
      <c r="IK42" s="330">
        <v>44316</v>
      </c>
      <c r="IL42" s="330">
        <v>44347</v>
      </c>
      <c r="IM42" s="330">
        <v>44377</v>
      </c>
      <c r="IN42" s="330">
        <v>44408</v>
      </c>
      <c r="IO42" s="330">
        <v>44439</v>
      </c>
      <c r="IP42" s="330">
        <v>44469</v>
      </c>
      <c r="IQ42" s="330">
        <v>44500</v>
      </c>
      <c r="IR42" s="330">
        <v>44530</v>
      </c>
      <c r="IS42" s="330">
        <v>44561</v>
      </c>
      <c r="IT42" s="330">
        <v>44592</v>
      </c>
      <c r="IU42" s="330">
        <v>44620</v>
      </c>
      <c r="IV42" s="330">
        <v>44651</v>
      </c>
      <c r="IW42" s="331">
        <v>44742</v>
      </c>
      <c r="IX42" s="331">
        <v>44834</v>
      </c>
      <c r="IY42" s="331">
        <v>44926</v>
      </c>
      <c r="IZ42" s="331">
        <v>45016</v>
      </c>
      <c r="JA42" s="331">
        <v>45107</v>
      </c>
      <c r="JB42" s="331">
        <v>45199</v>
      </c>
      <c r="JC42" s="331">
        <v>45291</v>
      </c>
      <c r="JD42" s="331">
        <v>45382</v>
      </c>
      <c r="JE42" s="331">
        <v>45473</v>
      </c>
      <c r="JF42" s="331">
        <v>45565</v>
      </c>
      <c r="JG42" s="331">
        <v>45657</v>
      </c>
      <c r="JH42" s="331">
        <v>45747</v>
      </c>
      <c r="JI42" s="331">
        <v>45838</v>
      </c>
      <c r="JJ42" s="331">
        <v>45930</v>
      </c>
      <c r="JK42" s="332">
        <v>46022</v>
      </c>
    </row>
    <row r="43" spans="1:271" x14ac:dyDescent="0.25">
      <c r="A43" s="303" t="s">
        <v>66</v>
      </c>
      <c r="B43" s="301">
        <v>5733.942</v>
      </c>
      <c r="C43" s="301">
        <v>5712.2039999999997</v>
      </c>
      <c r="D43" s="301">
        <v>5808.0480000000007</v>
      </c>
      <c r="E43" s="301">
        <v>5807.4659999999994</v>
      </c>
      <c r="F43" s="301">
        <v>5963.0879999999997</v>
      </c>
      <c r="G43" s="301">
        <v>5959.8779999999997</v>
      </c>
      <c r="H43" s="301">
        <v>5962.2780000000002</v>
      </c>
      <c r="I43" s="301">
        <v>6158.91</v>
      </c>
      <c r="J43" s="301">
        <v>5878.47</v>
      </c>
      <c r="K43" s="301">
        <v>6062.25</v>
      </c>
      <c r="L43" s="301">
        <v>6001.1279999999997</v>
      </c>
      <c r="M43" s="301">
        <v>6971.634</v>
      </c>
      <c r="N43" s="301">
        <v>6519.6419999999998</v>
      </c>
      <c r="O43" s="301">
        <v>6032.9219999999996</v>
      </c>
      <c r="P43" s="301">
        <v>6217.3560000000007</v>
      </c>
      <c r="Q43" s="301">
        <v>6068.9160000000002</v>
      </c>
      <c r="R43" s="301">
        <v>6226.0439999999999</v>
      </c>
      <c r="S43" s="301">
        <v>6085.2000000000007</v>
      </c>
      <c r="T43" s="301">
        <v>6237.3059999999996</v>
      </c>
      <c r="U43" s="301">
        <v>6089.3040000000001</v>
      </c>
      <c r="V43" s="301">
        <v>6195.9060000000009</v>
      </c>
      <c r="W43" s="301">
        <v>6436.62</v>
      </c>
      <c r="X43" s="301">
        <v>6852.4440000000004</v>
      </c>
      <c r="Y43" s="301">
        <v>6150.4980000000005</v>
      </c>
      <c r="Z43" s="301">
        <v>6276.6900000000005</v>
      </c>
      <c r="AA43" s="301">
        <v>6090.5820000000003</v>
      </c>
      <c r="AB43" s="301">
        <v>6226.0860000000002</v>
      </c>
      <c r="AC43" s="301">
        <v>6176.2079999999996</v>
      </c>
      <c r="AD43" s="301">
        <v>6519.6779999999999</v>
      </c>
      <c r="AE43" s="301">
        <v>6339.924</v>
      </c>
      <c r="AF43" s="301">
        <v>6419.3040000000001</v>
      </c>
      <c r="AG43" s="301">
        <v>6612.6900000000005</v>
      </c>
      <c r="AH43" s="301">
        <v>6116.3639999999996</v>
      </c>
      <c r="AI43" s="301">
        <v>6559.0920000000006</v>
      </c>
      <c r="AJ43" s="301">
        <v>6471.7920000000004</v>
      </c>
      <c r="AK43" s="301">
        <v>6113.1900000000005</v>
      </c>
      <c r="AL43" s="301">
        <v>6165.4380000000001</v>
      </c>
      <c r="AM43" s="301">
        <v>6309.09</v>
      </c>
      <c r="AN43" s="301">
        <v>6671.9039999999995</v>
      </c>
      <c r="AO43" s="301">
        <v>6564.7800000000007</v>
      </c>
      <c r="AP43" s="301">
        <v>6667.4579999999996</v>
      </c>
      <c r="AQ43" s="301">
        <v>6535.92</v>
      </c>
      <c r="AR43" s="301">
        <v>6987.0599999999995</v>
      </c>
      <c r="AS43" s="301">
        <v>6946.116</v>
      </c>
      <c r="AT43" s="301">
        <v>7113.3360000000002</v>
      </c>
      <c r="AU43" s="301">
        <v>7042.1940000000004</v>
      </c>
      <c r="AV43" s="301">
        <v>7524.8220000000001</v>
      </c>
      <c r="AW43" s="301">
        <v>8330.0820000000003</v>
      </c>
      <c r="AX43" s="301">
        <v>7625.6280000000006</v>
      </c>
      <c r="AY43" s="301">
        <v>7664.4600000000009</v>
      </c>
      <c r="AZ43" s="301">
        <v>8069.982</v>
      </c>
      <c r="BA43" s="301">
        <v>8497.4279999999999</v>
      </c>
      <c r="BB43" s="301">
        <v>9141.2459999999992</v>
      </c>
      <c r="BC43" s="301">
        <v>8833.6080000000002</v>
      </c>
      <c r="BD43" s="301">
        <v>9001.2659999999996</v>
      </c>
      <c r="BE43" s="301">
        <v>9329.5259999999998</v>
      </c>
      <c r="BF43" s="301">
        <v>9253.9979999999996</v>
      </c>
      <c r="BG43" s="301">
        <v>8434.6020000000008</v>
      </c>
      <c r="BH43" s="301">
        <v>9632.61</v>
      </c>
      <c r="BI43" s="301">
        <v>9340.23</v>
      </c>
      <c r="BJ43" s="301">
        <v>8784.5339999999997</v>
      </c>
      <c r="BK43" s="301">
        <v>9271.1460000000006</v>
      </c>
      <c r="BL43" s="301">
        <v>9599.0640000000003</v>
      </c>
      <c r="BM43" s="301">
        <v>7786.5480000000007</v>
      </c>
      <c r="BN43" s="301">
        <v>10177.896000000001</v>
      </c>
      <c r="BO43" s="301">
        <v>9655.5059999999994</v>
      </c>
      <c r="BP43" s="301">
        <v>9365.4000000000015</v>
      </c>
      <c r="BQ43" s="301">
        <v>8254.0920000000006</v>
      </c>
      <c r="BR43" s="301">
        <v>7571.7240000000002</v>
      </c>
      <c r="BS43" s="301">
        <v>7868.2980000000007</v>
      </c>
      <c r="BT43" s="301">
        <v>8130.402</v>
      </c>
      <c r="BU43" s="301">
        <v>7821.24</v>
      </c>
      <c r="BV43" s="301">
        <v>7667.01</v>
      </c>
      <c r="BW43" s="301">
        <v>7939.4639999999999</v>
      </c>
      <c r="BX43" s="301">
        <v>8402.8080000000009</v>
      </c>
      <c r="BY43" s="301">
        <v>7463.9579999999996</v>
      </c>
      <c r="BZ43" s="301">
        <v>8362.7520000000004</v>
      </c>
      <c r="CA43" s="301">
        <v>8021.8919999999998</v>
      </c>
      <c r="CB43" s="301">
        <v>8216.6759999999995</v>
      </c>
      <c r="CC43" s="301">
        <v>8269.2240000000002</v>
      </c>
      <c r="CD43" s="301">
        <v>7924.235999999999</v>
      </c>
      <c r="CE43" s="301">
        <v>8074.4459999999999</v>
      </c>
      <c r="CF43" s="301">
        <v>8049.12</v>
      </c>
      <c r="CG43" s="301">
        <v>7765.3680000000004</v>
      </c>
      <c r="CH43" s="301">
        <v>7588.5059999999994</v>
      </c>
      <c r="CI43" s="301">
        <v>8163.27</v>
      </c>
      <c r="CJ43" s="301">
        <v>7570.1639999999998</v>
      </c>
      <c r="CK43" s="301">
        <v>7770.4679999999998</v>
      </c>
      <c r="CL43" s="301">
        <v>7794.5879999999997</v>
      </c>
      <c r="CM43" s="301">
        <v>7789.9319999999989</v>
      </c>
      <c r="CN43" s="301">
        <v>7989.09</v>
      </c>
      <c r="CO43" s="301">
        <v>7899.2280000000001</v>
      </c>
      <c r="CP43" s="301">
        <v>7863.2160000000003</v>
      </c>
      <c r="CQ43" s="301">
        <v>8164.2899999999991</v>
      </c>
      <c r="CR43" s="301">
        <v>8046.7619999999997</v>
      </c>
      <c r="CS43" s="301">
        <v>7764.2519999999995</v>
      </c>
      <c r="CT43" s="301">
        <v>7686.5879999999997</v>
      </c>
      <c r="CU43" s="301">
        <v>8258.2619999999988</v>
      </c>
      <c r="CV43" s="301">
        <v>8118.2999999999993</v>
      </c>
      <c r="CW43" s="301">
        <v>7822.5</v>
      </c>
      <c r="CX43" s="301">
        <v>7951.0740000000005</v>
      </c>
      <c r="CY43" s="301">
        <v>7873.1579999999994</v>
      </c>
      <c r="CZ43" s="301">
        <v>8142.8819999999996</v>
      </c>
      <c r="DA43" s="301">
        <v>7992.924</v>
      </c>
      <c r="DB43" s="301">
        <v>8325.8520000000008</v>
      </c>
      <c r="DC43" s="301">
        <v>8311.6319999999996</v>
      </c>
      <c r="DD43" s="301">
        <v>8771.5319999999992</v>
      </c>
      <c r="DE43" s="301">
        <v>8452.3979999999992</v>
      </c>
      <c r="DF43" s="301">
        <v>8387.8860000000004</v>
      </c>
      <c r="DG43" s="301">
        <v>8926.2659999999996</v>
      </c>
      <c r="DH43" s="301">
        <v>9400.5360000000001</v>
      </c>
      <c r="DI43" s="301">
        <v>8865.1620000000003</v>
      </c>
      <c r="DJ43" s="301">
        <v>9424.1939999999995</v>
      </c>
      <c r="DK43" s="301">
        <v>9472.014000000001</v>
      </c>
      <c r="DL43" s="301">
        <v>9977.64</v>
      </c>
      <c r="DM43" s="301">
        <v>10017.06</v>
      </c>
      <c r="DN43" s="301">
        <v>10157.034</v>
      </c>
      <c r="DO43" s="301">
        <v>10788.324000000001</v>
      </c>
      <c r="DP43" s="301">
        <v>11289.078</v>
      </c>
      <c r="DQ43" s="301">
        <v>10349.477999999999</v>
      </c>
      <c r="DR43" s="301">
        <v>10335.57</v>
      </c>
      <c r="DS43" s="301">
        <v>11762.856</v>
      </c>
      <c r="DT43" s="301">
        <v>12401.214</v>
      </c>
      <c r="DU43" s="301">
        <v>11060.039999999999</v>
      </c>
      <c r="DV43" s="301">
        <v>12692.376</v>
      </c>
      <c r="DW43" s="301">
        <v>12298.560000000001</v>
      </c>
      <c r="DX43" s="301">
        <v>12244.116</v>
      </c>
      <c r="DY43" s="301">
        <v>12270.09</v>
      </c>
      <c r="DZ43" s="301">
        <v>11406.792000000001</v>
      </c>
      <c r="EA43" s="301">
        <v>11607.438</v>
      </c>
      <c r="EB43" s="301">
        <v>11524.962</v>
      </c>
      <c r="EC43" s="301">
        <v>10321.254000000001</v>
      </c>
      <c r="ED43" s="301">
        <v>9362.652</v>
      </c>
      <c r="EE43" s="301">
        <v>9926.8019999999997</v>
      </c>
      <c r="EF43" s="301">
        <v>10026.102000000001</v>
      </c>
      <c r="EG43" s="301">
        <v>9574.1819999999989</v>
      </c>
      <c r="EH43" s="301">
        <v>8705.9880000000012</v>
      </c>
      <c r="EI43" s="301">
        <v>7482.5939999999991</v>
      </c>
      <c r="EJ43" s="301">
        <v>7573.5720000000001</v>
      </c>
      <c r="EK43" s="301">
        <v>7568.8680000000004</v>
      </c>
      <c r="EL43" s="301">
        <v>6930.8639999999996</v>
      </c>
      <c r="EM43" s="301">
        <v>7108.985999999999</v>
      </c>
      <c r="EN43" s="301">
        <v>7456.7579999999998</v>
      </c>
      <c r="EO43" s="301">
        <v>6839.9220000000005</v>
      </c>
      <c r="EP43" s="301">
        <v>6844.848</v>
      </c>
      <c r="EQ43" s="301">
        <v>7609.0920000000006</v>
      </c>
      <c r="ER43" s="301">
        <v>7173.0599999999995</v>
      </c>
      <c r="ES43" s="301">
        <v>7314.2999999999993</v>
      </c>
      <c r="ET43" s="301">
        <v>7473.9719999999998</v>
      </c>
      <c r="EU43" s="301">
        <v>7104.7139999999999</v>
      </c>
      <c r="EV43" s="301">
        <v>7434.8279999999995</v>
      </c>
      <c r="EW43" s="301">
        <v>7081.4459999999999</v>
      </c>
      <c r="EX43" s="301">
        <v>6839.2739999999994</v>
      </c>
      <c r="EY43" s="301">
        <v>7418.37</v>
      </c>
      <c r="EZ43" s="301">
        <v>7380.84</v>
      </c>
      <c r="FA43" s="301">
        <v>6865.2899999999991</v>
      </c>
      <c r="FB43" s="301">
        <v>6946.4160000000011</v>
      </c>
      <c r="FC43" s="301">
        <v>7569.75</v>
      </c>
      <c r="FD43" s="301">
        <v>7579.134</v>
      </c>
      <c r="FE43" s="301">
        <v>7011.18</v>
      </c>
      <c r="FF43" s="301">
        <v>7205.9279999999999</v>
      </c>
      <c r="FG43" s="301">
        <v>6989.5740000000005</v>
      </c>
      <c r="FH43" s="301">
        <v>7001.2800000000007</v>
      </c>
      <c r="FI43" s="301">
        <v>6820.14</v>
      </c>
      <c r="FJ43" s="301">
        <v>6876.0059999999994</v>
      </c>
      <c r="FK43" s="301">
        <v>7240.098</v>
      </c>
      <c r="FL43" s="301">
        <v>7276.6500000000005</v>
      </c>
      <c r="FM43" s="301">
        <v>6775.8240000000005</v>
      </c>
      <c r="FN43" s="301">
        <v>6688.518</v>
      </c>
      <c r="FO43" s="301">
        <v>7238.7240000000002</v>
      </c>
      <c r="FP43" s="301">
        <v>7195.59</v>
      </c>
      <c r="FQ43" s="301">
        <v>6822.924</v>
      </c>
      <c r="FR43" s="301">
        <v>7125.18</v>
      </c>
      <c r="FS43" s="301">
        <v>7137.2519999999995</v>
      </c>
      <c r="FT43" s="301">
        <v>7373.4540000000006</v>
      </c>
      <c r="FU43" s="301">
        <v>7046.1479999999992</v>
      </c>
      <c r="FV43" s="301">
        <v>6816.7739999999994</v>
      </c>
      <c r="FW43" s="301">
        <v>7030.3680000000004</v>
      </c>
      <c r="FX43" s="301">
        <v>7511.0159999999996</v>
      </c>
      <c r="FY43" s="301">
        <v>6468.7559999999994</v>
      </c>
      <c r="FZ43" s="301">
        <v>6270.4560000000001</v>
      </c>
      <c r="GA43" s="301">
        <v>6680.9160000000011</v>
      </c>
      <c r="GB43" s="301">
        <v>6102.4139999999998</v>
      </c>
      <c r="GC43" s="301">
        <v>5916.2520000000004</v>
      </c>
      <c r="GD43" s="301">
        <v>6232.6500000000005</v>
      </c>
      <c r="GE43" s="301">
        <v>5979.54</v>
      </c>
      <c r="GF43" s="301">
        <v>5969.7539999999999</v>
      </c>
      <c r="GG43" s="301">
        <v>6279.4980000000005</v>
      </c>
      <c r="GH43" s="301">
        <v>5654.79</v>
      </c>
      <c r="GI43" s="301">
        <v>6409.6620000000003</v>
      </c>
      <c r="GJ43" s="301">
        <v>6114.12</v>
      </c>
      <c r="GK43" s="301">
        <v>6219.768</v>
      </c>
      <c r="GL43" s="301">
        <v>5786.598</v>
      </c>
      <c r="GM43" s="301">
        <v>6233.3040000000001</v>
      </c>
      <c r="GN43" s="301">
        <v>6363.8819999999996</v>
      </c>
      <c r="GO43" s="301">
        <v>5689.9679999999998</v>
      </c>
      <c r="GP43" s="301">
        <v>6619.8420000000006</v>
      </c>
      <c r="GQ43" s="301">
        <v>6399.5280000000002</v>
      </c>
      <c r="GR43" s="301">
        <v>6159.6660000000011</v>
      </c>
      <c r="GS43" s="301">
        <v>6338.2619999999997</v>
      </c>
      <c r="GT43" s="301">
        <v>6348.7860000000001</v>
      </c>
      <c r="GU43" s="301">
        <v>6410.9220000000005</v>
      </c>
      <c r="GV43" s="301">
        <v>6819.7199999999993</v>
      </c>
      <c r="GW43" s="301">
        <v>6053.1059999999998</v>
      </c>
      <c r="GX43" s="301">
        <v>7065.576</v>
      </c>
      <c r="GY43" s="301">
        <v>6644.7240000000002</v>
      </c>
      <c r="GZ43" s="301">
        <v>6320.1539999999995</v>
      </c>
      <c r="HA43" s="301">
        <v>6287.9340000000002</v>
      </c>
      <c r="HB43" s="301">
        <v>6670.3560000000007</v>
      </c>
      <c r="HC43" s="301">
        <v>6663.2820000000002</v>
      </c>
      <c r="HD43" s="301">
        <v>6661.6560000000009</v>
      </c>
      <c r="HE43" s="301">
        <v>6270.7079999999996</v>
      </c>
      <c r="HF43" s="301">
        <v>5646.348</v>
      </c>
      <c r="HG43" s="301">
        <v>7061.82</v>
      </c>
      <c r="HH43" s="301">
        <v>6980.9699999999993</v>
      </c>
      <c r="HI43" s="301">
        <v>7216.6260000000002</v>
      </c>
      <c r="HJ43" s="301">
        <v>6697.0380000000005</v>
      </c>
      <c r="HK43" s="301">
        <v>7058.64</v>
      </c>
      <c r="HL43" s="301">
        <v>7351.4340000000002</v>
      </c>
      <c r="HM43" s="301">
        <v>6735.137999999999</v>
      </c>
      <c r="HN43" s="301">
        <v>7343.7719999999999</v>
      </c>
      <c r="HO43" s="301">
        <v>8061.0960000000005</v>
      </c>
      <c r="HP43" s="333">
        <v>7079.9340000000002</v>
      </c>
      <c r="HQ43" s="333">
        <v>6856.7040000000006</v>
      </c>
      <c r="HR43" s="333">
        <v>6872.1959999999999</v>
      </c>
      <c r="HS43" s="333">
        <v>6969.66</v>
      </c>
      <c r="HT43" s="333">
        <v>6711.0839999999989</v>
      </c>
      <c r="HU43" s="333">
        <v>6948.5999999999995</v>
      </c>
      <c r="HV43" s="301">
        <v>6583.235999999999</v>
      </c>
      <c r="HW43" s="301">
        <v>7029.485999999999</v>
      </c>
      <c r="HX43" s="301">
        <v>7089.6840000000002</v>
      </c>
      <c r="HY43" s="301">
        <v>5821.8539999999994</v>
      </c>
      <c r="HZ43" s="301">
        <v>6458.2199999999993</v>
      </c>
      <c r="IA43" s="301">
        <v>6754.9259999999995</v>
      </c>
      <c r="IB43" s="301">
        <v>6957.1500000000005</v>
      </c>
      <c r="IC43" s="301">
        <v>6838.3560000000007</v>
      </c>
      <c r="ID43" s="301">
        <v>7045.8240000000005</v>
      </c>
      <c r="IE43" s="301">
        <v>7204.2119999999995</v>
      </c>
      <c r="IF43" s="301">
        <v>6905.2139999999999</v>
      </c>
      <c r="IG43" s="301">
        <v>6269.3639999999996</v>
      </c>
      <c r="IH43" s="301">
        <v>6292.9920000000002</v>
      </c>
      <c r="II43" s="301">
        <v>6555.5459999999994</v>
      </c>
      <c r="IJ43" s="301">
        <v>7655.67</v>
      </c>
      <c r="IK43" s="301">
        <v>6583.32</v>
      </c>
      <c r="IL43" s="301">
        <v>7085.2860000000001</v>
      </c>
      <c r="IM43" s="301">
        <v>6684.4139999999998</v>
      </c>
      <c r="IN43" s="333">
        <v>6858.6180000000004</v>
      </c>
      <c r="IO43" s="333">
        <v>7142.6940000000004</v>
      </c>
      <c r="IP43" s="333">
        <v>6907.6439999999993</v>
      </c>
      <c r="IQ43" s="333">
        <v>6936.7800000000007</v>
      </c>
      <c r="IR43" s="333">
        <v>7154.07</v>
      </c>
      <c r="IS43" s="333">
        <v>6352.6500000000005</v>
      </c>
      <c r="IT43" s="333">
        <v>6274.902</v>
      </c>
      <c r="IU43" s="333">
        <v>6439.3860000000004</v>
      </c>
      <c r="IV43" s="333">
        <v>6889.0079999999998</v>
      </c>
      <c r="IW43" s="334">
        <v>6614.8440000000001</v>
      </c>
      <c r="IX43" s="334">
        <v>7052.4040000000005</v>
      </c>
      <c r="IY43" s="334">
        <v>7173.9539999999997</v>
      </c>
      <c r="IZ43" s="334">
        <v>7257.7120000000004</v>
      </c>
      <c r="JA43" s="334">
        <v>7323.7640000000001</v>
      </c>
      <c r="JB43" s="334">
        <v>7266.1120000000001</v>
      </c>
      <c r="JC43" s="334">
        <v>7094.2060000000001</v>
      </c>
      <c r="JD43" s="334">
        <v>6918.95</v>
      </c>
      <c r="JE43" s="334">
        <v>6806.2079999999996</v>
      </c>
      <c r="JF43" s="334">
        <v>6656.08</v>
      </c>
      <c r="JG43" s="334">
        <v>6209.42</v>
      </c>
      <c r="JH43" s="334">
        <v>6542.62</v>
      </c>
      <c r="JI43" s="334">
        <v>6792.1440000000002</v>
      </c>
      <c r="JJ43" s="334">
        <v>6703.6419999999998</v>
      </c>
      <c r="JK43" s="335">
        <v>6499.1139999999996</v>
      </c>
    </row>
    <row r="44" spans="1:271" x14ac:dyDescent="0.25">
      <c r="A44" s="303" t="s">
        <v>159</v>
      </c>
      <c r="B44" s="304">
        <v>557.59199999999998</v>
      </c>
      <c r="C44" s="304">
        <v>573.55799999999999</v>
      </c>
      <c r="D44" s="304">
        <v>641.70000000000005</v>
      </c>
      <c r="E44" s="304">
        <v>534.21</v>
      </c>
      <c r="F44" s="304">
        <v>620.09999999999991</v>
      </c>
      <c r="G44" s="304">
        <v>693.93600000000004</v>
      </c>
      <c r="H44" s="304">
        <v>563.74199999999996</v>
      </c>
      <c r="I44" s="304">
        <v>590.07600000000002</v>
      </c>
      <c r="J44" s="304">
        <v>636.072</v>
      </c>
      <c r="K44" s="304">
        <v>553.36799999999994</v>
      </c>
      <c r="L44" s="304">
        <v>570.60599999999999</v>
      </c>
      <c r="M44" s="304">
        <v>587.54999999999995</v>
      </c>
      <c r="N44" s="304">
        <v>492.51599999999996</v>
      </c>
      <c r="O44" s="304">
        <v>543.75600000000009</v>
      </c>
      <c r="P44" s="304">
        <v>625.26599999999996</v>
      </c>
      <c r="Q44" s="304">
        <v>537.96</v>
      </c>
      <c r="R44" s="304">
        <v>568.62</v>
      </c>
      <c r="S44" s="304">
        <v>641.28600000000006</v>
      </c>
      <c r="T44" s="304">
        <v>563.42399999999998</v>
      </c>
      <c r="U44" s="304">
        <v>638.55600000000004</v>
      </c>
      <c r="V44" s="304">
        <v>544.16399999999999</v>
      </c>
      <c r="W44" s="304">
        <v>524.62199999999996</v>
      </c>
      <c r="X44" s="304">
        <v>595.31399999999996</v>
      </c>
      <c r="Y44" s="304">
        <v>478.43999999999994</v>
      </c>
      <c r="Z44" s="304">
        <v>478.75200000000001</v>
      </c>
      <c r="AA44" s="304">
        <v>510.27600000000007</v>
      </c>
      <c r="AB44" s="304">
        <v>595.34400000000005</v>
      </c>
      <c r="AC44" s="304">
        <v>490.60199999999998</v>
      </c>
      <c r="AD44" s="304">
        <v>586.23599999999999</v>
      </c>
      <c r="AE44" s="304">
        <v>562.61400000000003</v>
      </c>
      <c r="AF44" s="304">
        <v>559.68600000000004</v>
      </c>
      <c r="AG44" s="304">
        <v>576.61200000000008</v>
      </c>
      <c r="AH44" s="304">
        <v>544.27800000000002</v>
      </c>
      <c r="AI44" s="304">
        <v>562.66800000000001</v>
      </c>
      <c r="AJ44" s="304">
        <v>535.24800000000005</v>
      </c>
      <c r="AK44" s="304">
        <v>525.68999999999994</v>
      </c>
      <c r="AL44" s="304">
        <v>499.29</v>
      </c>
      <c r="AM44" s="304">
        <v>512.52</v>
      </c>
      <c r="AN44" s="304">
        <v>562.65599999999995</v>
      </c>
      <c r="AO44" s="304">
        <v>469.60199999999998</v>
      </c>
      <c r="AP44" s="304">
        <v>568.94399999999996</v>
      </c>
      <c r="AQ44" s="304">
        <v>549.28199999999993</v>
      </c>
      <c r="AR44" s="304">
        <v>538.476</v>
      </c>
      <c r="AS44" s="304">
        <v>586.77</v>
      </c>
      <c r="AT44" s="304">
        <v>588.56999999999994</v>
      </c>
      <c r="AU44" s="304">
        <v>536.43000000000006</v>
      </c>
      <c r="AV44" s="304">
        <v>566.58600000000001</v>
      </c>
      <c r="AW44" s="304">
        <v>553.70400000000006</v>
      </c>
      <c r="AX44" s="304">
        <v>533.48400000000004</v>
      </c>
      <c r="AY44" s="304">
        <v>563.06999999999994</v>
      </c>
      <c r="AZ44" s="304">
        <v>501.43799999999999</v>
      </c>
      <c r="BA44" s="304">
        <v>463.62599999999998</v>
      </c>
      <c r="BB44" s="304">
        <v>609.33000000000004</v>
      </c>
      <c r="BC44" s="304">
        <v>601.67399999999998</v>
      </c>
      <c r="BD44" s="304">
        <v>591.35400000000004</v>
      </c>
      <c r="BE44" s="304">
        <v>626.88599999999997</v>
      </c>
      <c r="BF44" s="304">
        <v>600.19799999999998</v>
      </c>
      <c r="BG44" s="304">
        <v>617.298</v>
      </c>
      <c r="BH44" s="304">
        <v>629.05200000000002</v>
      </c>
      <c r="BI44" s="304">
        <v>625.51800000000003</v>
      </c>
      <c r="BJ44" s="304">
        <v>637.596</v>
      </c>
      <c r="BK44" s="304">
        <v>647.03399999999999</v>
      </c>
      <c r="BL44" s="304">
        <v>692.01</v>
      </c>
      <c r="BM44" s="304">
        <v>615.95400000000006</v>
      </c>
      <c r="BN44" s="304">
        <v>718.85400000000004</v>
      </c>
      <c r="BO44" s="304">
        <v>646.46399999999994</v>
      </c>
      <c r="BP44" s="304">
        <v>672.97799999999995</v>
      </c>
      <c r="BQ44" s="304">
        <v>680.19600000000003</v>
      </c>
      <c r="BR44" s="304">
        <v>659.38799999999992</v>
      </c>
      <c r="BS44" s="304">
        <v>647.87400000000002</v>
      </c>
      <c r="BT44" s="304">
        <v>677.13</v>
      </c>
      <c r="BU44" s="304">
        <v>583.89</v>
      </c>
      <c r="BV44" s="304">
        <v>612.70799999999997</v>
      </c>
      <c r="BW44" s="304">
        <v>615.76800000000003</v>
      </c>
      <c r="BX44" s="304">
        <v>640.69799999999998</v>
      </c>
      <c r="BY44" s="304">
        <v>547.56000000000006</v>
      </c>
      <c r="BZ44" s="304">
        <v>631.524</v>
      </c>
      <c r="CA44" s="304">
        <v>613.58399999999995</v>
      </c>
      <c r="CB44" s="304">
        <v>632.52600000000007</v>
      </c>
      <c r="CC44" s="304">
        <v>610.34999999999991</v>
      </c>
      <c r="CD44" s="304">
        <v>619.69799999999998</v>
      </c>
      <c r="CE44" s="304">
        <v>601.71</v>
      </c>
      <c r="CF44" s="304">
        <v>646.21800000000007</v>
      </c>
      <c r="CG44" s="304">
        <v>588.67200000000003</v>
      </c>
      <c r="CH44" s="304">
        <v>602.93399999999997</v>
      </c>
      <c r="CI44" s="304">
        <v>657.46199999999999</v>
      </c>
      <c r="CJ44" s="304">
        <v>643.23</v>
      </c>
      <c r="CK44" s="304">
        <v>648.61799999999994</v>
      </c>
      <c r="CL44" s="304">
        <v>710.91600000000005</v>
      </c>
      <c r="CM44" s="304">
        <v>685.87800000000004</v>
      </c>
      <c r="CN44" s="304">
        <v>702.43200000000002</v>
      </c>
      <c r="CO44" s="304">
        <v>695.31600000000003</v>
      </c>
      <c r="CP44" s="304">
        <v>710.53199999999993</v>
      </c>
      <c r="CQ44" s="304">
        <v>763.07400000000007</v>
      </c>
      <c r="CR44" s="304">
        <v>737.13</v>
      </c>
      <c r="CS44" s="304">
        <v>698.94600000000003</v>
      </c>
      <c r="CT44" s="304">
        <v>710.87400000000002</v>
      </c>
      <c r="CU44" s="304">
        <v>708.31200000000001</v>
      </c>
      <c r="CV44" s="304">
        <v>754.12199999999996</v>
      </c>
      <c r="CW44" s="304">
        <v>659.65800000000002</v>
      </c>
      <c r="CX44" s="304">
        <v>735.46199999999999</v>
      </c>
      <c r="CY44" s="304">
        <v>734.22</v>
      </c>
      <c r="CZ44" s="304">
        <v>717.55200000000002</v>
      </c>
      <c r="DA44" s="304">
        <v>709.37400000000002</v>
      </c>
      <c r="DB44" s="304">
        <v>707.322</v>
      </c>
      <c r="DC44" s="304">
        <v>721.86599999999999</v>
      </c>
      <c r="DD44" s="304">
        <v>705.4559999999999</v>
      </c>
      <c r="DE44" s="304">
        <v>834.33600000000001</v>
      </c>
      <c r="DF44" s="304">
        <v>807.56999999999994</v>
      </c>
      <c r="DG44" s="304">
        <v>802.85400000000004</v>
      </c>
      <c r="DH44" s="304">
        <v>763.99800000000005</v>
      </c>
      <c r="DI44" s="304">
        <v>652.89599999999996</v>
      </c>
      <c r="DJ44" s="304">
        <v>725.11200000000008</v>
      </c>
      <c r="DK44" s="304">
        <v>720.45</v>
      </c>
      <c r="DL44" s="304">
        <v>682.524</v>
      </c>
      <c r="DM44" s="304">
        <v>705.96600000000001</v>
      </c>
      <c r="DN44" s="304">
        <v>676.92</v>
      </c>
      <c r="DO44" s="304">
        <v>667.70400000000006</v>
      </c>
      <c r="DP44" s="304">
        <v>692.82600000000002</v>
      </c>
      <c r="DQ44" s="304">
        <v>633.096</v>
      </c>
      <c r="DR44" s="304">
        <v>634.65000000000009</v>
      </c>
      <c r="DS44" s="304">
        <v>624.94799999999998</v>
      </c>
      <c r="DT44" s="304">
        <v>677.04</v>
      </c>
      <c r="DU44" s="304">
        <v>603.47399999999993</v>
      </c>
      <c r="DV44" s="304">
        <v>645.16800000000001</v>
      </c>
      <c r="DW44" s="304">
        <v>641.45400000000006</v>
      </c>
      <c r="DX44" s="304">
        <v>639.13799999999992</v>
      </c>
      <c r="DY44" s="304">
        <v>701.31000000000006</v>
      </c>
      <c r="DZ44" s="304">
        <v>723</v>
      </c>
      <c r="EA44" s="304">
        <v>721.31999999999994</v>
      </c>
      <c r="EB44" s="304">
        <v>714.72</v>
      </c>
      <c r="EC44" s="304">
        <v>695.43600000000004</v>
      </c>
      <c r="ED44" s="304">
        <v>699.78</v>
      </c>
      <c r="EE44" s="304">
        <v>726.62400000000002</v>
      </c>
      <c r="EF44" s="304">
        <v>781.24800000000005</v>
      </c>
      <c r="EG44" s="304">
        <v>689.16</v>
      </c>
      <c r="EH44" s="304">
        <v>771.47400000000005</v>
      </c>
      <c r="EI44" s="304">
        <v>737.49</v>
      </c>
      <c r="EJ44" s="304">
        <v>730.84800000000007</v>
      </c>
      <c r="EK44" s="304">
        <v>756.18600000000004</v>
      </c>
      <c r="EL44" s="304">
        <v>713.7</v>
      </c>
      <c r="EM44" s="304">
        <v>734.38200000000006</v>
      </c>
      <c r="EN44" s="304">
        <v>763.476</v>
      </c>
      <c r="EO44" s="304">
        <v>747.97199999999998</v>
      </c>
      <c r="EP44" s="304">
        <v>761.05200000000002</v>
      </c>
      <c r="EQ44" s="304">
        <v>711.03</v>
      </c>
      <c r="ER44" s="304">
        <v>720.96600000000001</v>
      </c>
      <c r="ES44" s="304">
        <v>667.53600000000006</v>
      </c>
      <c r="ET44" s="304">
        <v>735.94799999999998</v>
      </c>
      <c r="EU44" s="304">
        <v>704.59800000000007</v>
      </c>
      <c r="EV44" s="304">
        <v>715.96800000000007</v>
      </c>
      <c r="EW44" s="304">
        <v>718.00800000000004</v>
      </c>
      <c r="EX44" s="304">
        <v>667.00800000000004</v>
      </c>
      <c r="EY44" s="304">
        <v>682.27800000000002</v>
      </c>
      <c r="EZ44" s="304">
        <v>704.80200000000002</v>
      </c>
      <c r="FA44" s="304">
        <v>652.43399999999997</v>
      </c>
      <c r="FB44" s="304">
        <v>672.82799999999997</v>
      </c>
      <c r="FC44" s="304">
        <v>717.88799999999992</v>
      </c>
      <c r="FD44" s="304">
        <v>778.22400000000005</v>
      </c>
      <c r="FE44" s="304">
        <v>693.93600000000004</v>
      </c>
      <c r="FF44" s="304">
        <v>810.87599999999998</v>
      </c>
      <c r="FG44" s="304">
        <v>761.47799999999995</v>
      </c>
      <c r="FH44" s="304">
        <v>764.68799999999999</v>
      </c>
      <c r="FI44" s="304">
        <v>804.89400000000001</v>
      </c>
      <c r="FJ44" s="304">
        <v>806.86200000000008</v>
      </c>
      <c r="FK44" s="304">
        <v>848.98200000000008</v>
      </c>
      <c r="FL44" s="304">
        <v>795.72</v>
      </c>
      <c r="FM44" s="304">
        <v>787.02599999999995</v>
      </c>
      <c r="FN44" s="304">
        <v>735.36599999999999</v>
      </c>
      <c r="FO44" s="304">
        <v>760.34999999999991</v>
      </c>
      <c r="FP44" s="304">
        <v>826.08600000000001</v>
      </c>
      <c r="FQ44" s="304">
        <v>742.44600000000003</v>
      </c>
      <c r="FR44" s="304">
        <v>903.96600000000001</v>
      </c>
      <c r="FS44" s="304">
        <v>893.76600000000008</v>
      </c>
      <c r="FT44" s="304">
        <v>888.66599999999994</v>
      </c>
      <c r="FU44" s="304">
        <v>863.5440000000001</v>
      </c>
      <c r="FV44" s="304">
        <v>867.69600000000014</v>
      </c>
      <c r="FW44" s="304">
        <v>892.80000000000007</v>
      </c>
      <c r="FX44" s="304">
        <v>900.73799999999994</v>
      </c>
      <c r="FY44" s="304">
        <v>882.71399999999994</v>
      </c>
      <c r="FZ44" s="304">
        <v>821.07600000000002</v>
      </c>
      <c r="GA44" s="304">
        <v>827.26799999999992</v>
      </c>
      <c r="GB44" s="304">
        <v>821.48399999999992</v>
      </c>
      <c r="GC44" s="304">
        <v>810.41399999999999</v>
      </c>
      <c r="GD44" s="304">
        <v>821.58</v>
      </c>
      <c r="GE44" s="304">
        <v>787.43399999999997</v>
      </c>
      <c r="GF44" s="304">
        <v>822.18000000000006</v>
      </c>
      <c r="GG44" s="304">
        <v>795.49800000000005</v>
      </c>
      <c r="GH44" s="304">
        <v>746.976</v>
      </c>
      <c r="GI44" s="304">
        <v>802.93200000000002</v>
      </c>
      <c r="GJ44" s="304">
        <v>794.85599999999999</v>
      </c>
      <c r="GK44" s="304">
        <v>749.87400000000002</v>
      </c>
      <c r="GL44" s="304">
        <v>759.00600000000009</v>
      </c>
      <c r="GM44" s="304">
        <v>753.89400000000001</v>
      </c>
      <c r="GN44" s="304">
        <v>790.58999999999992</v>
      </c>
      <c r="GO44" s="304">
        <v>657.28199999999993</v>
      </c>
      <c r="GP44" s="304">
        <v>783.81600000000003</v>
      </c>
      <c r="GQ44" s="304">
        <v>770.298</v>
      </c>
      <c r="GR44" s="304">
        <v>760.58399999999995</v>
      </c>
      <c r="GS44" s="304">
        <v>766.71</v>
      </c>
      <c r="GT44" s="304">
        <v>711.39599999999996</v>
      </c>
      <c r="GU44" s="304">
        <v>762.58199999999999</v>
      </c>
      <c r="GV44" s="304">
        <v>761.64599999999996</v>
      </c>
      <c r="GW44" s="304">
        <v>733.29599999999994</v>
      </c>
      <c r="GX44" s="304">
        <v>736.99800000000005</v>
      </c>
      <c r="GY44" s="304">
        <v>736.34999999999991</v>
      </c>
      <c r="GZ44" s="304">
        <v>811.30200000000013</v>
      </c>
      <c r="HA44" s="304">
        <v>729.21600000000001</v>
      </c>
      <c r="HB44" s="304">
        <v>785.29200000000003</v>
      </c>
      <c r="HC44" s="304">
        <v>748.404</v>
      </c>
      <c r="HD44" s="304">
        <v>728.10599999999999</v>
      </c>
      <c r="HE44" s="304">
        <v>735.42</v>
      </c>
      <c r="HF44" s="304">
        <v>696.06600000000003</v>
      </c>
      <c r="HG44" s="304">
        <v>781.06799999999998</v>
      </c>
      <c r="HH44" s="304">
        <v>746.35799999999995</v>
      </c>
      <c r="HI44" s="304">
        <v>641.952</v>
      </c>
      <c r="HJ44" s="304">
        <v>706.05600000000004</v>
      </c>
      <c r="HK44" s="304">
        <v>694.0440000000001</v>
      </c>
      <c r="HL44" s="304">
        <v>760.19399999999996</v>
      </c>
      <c r="HM44" s="304">
        <v>684.22199999999998</v>
      </c>
      <c r="HN44" s="304">
        <v>725.14800000000002</v>
      </c>
      <c r="HO44" s="304">
        <v>637.51800000000003</v>
      </c>
      <c r="HP44" s="304">
        <v>673.69200000000001</v>
      </c>
      <c r="HQ44" s="304">
        <v>742.77</v>
      </c>
      <c r="HR44" s="304">
        <v>670.26599999999996</v>
      </c>
      <c r="HS44" s="304">
        <v>744.01199999999994</v>
      </c>
      <c r="HT44" s="304">
        <v>761.31000000000006</v>
      </c>
      <c r="HU44" s="304">
        <v>686.16600000000005</v>
      </c>
      <c r="HV44" s="304">
        <v>656.97</v>
      </c>
      <c r="HW44" s="304">
        <v>657.71399999999994</v>
      </c>
      <c r="HX44" s="304">
        <v>698.50800000000004</v>
      </c>
      <c r="HY44" s="304">
        <v>634.45799999999997</v>
      </c>
      <c r="HZ44" s="304">
        <v>711.73199999999997</v>
      </c>
      <c r="IA44" s="304">
        <v>764.53800000000001</v>
      </c>
      <c r="IB44" s="304">
        <v>680.64599999999996</v>
      </c>
      <c r="IC44" s="304">
        <v>660.18600000000004</v>
      </c>
      <c r="ID44" s="304">
        <v>645.43200000000002</v>
      </c>
      <c r="IE44" s="304">
        <v>668.71800000000007</v>
      </c>
      <c r="IF44" s="304">
        <v>695.89200000000005</v>
      </c>
      <c r="IG44" s="304">
        <v>501.91800000000001</v>
      </c>
      <c r="IH44" s="304">
        <v>669.048</v>
      </c>
      <c r="II44" s="304">
        <v>643.43999999999994</v>
      </c>
      <c r="IJ44" s="304">
        <v>708.82799999999997</v>
      </c>
      <c r="IK44" s="304">
        <v>613.15199999999993</v>
      </c>
      <c r="IL44" s="304">
        <v>637.69799999999998</v>
      </c>
      <c r="IM44" s="304">
        <v>582.42599999999993</v>
      </c>
      <c r="IN44" s="12">
        <v>570.096</v>
      </c>
      <c r="IO44" s="12">
        <v>595.51199999999994</v>
      </c>
      <c r="IP44" s="12">
        <v>628.56000000000006</v>
      </c>
      <c r="IQ44" s="12">
        <v>630.44399999999996</v>
      </c>
      <c r="IR44" s="12">
        <v>647.274</v>
      </c>
      <c r="IS44" s="12">
        <v>621.57600000000002</v>
      </c>
      <c r="IT44" s="12">
        <v>626.76599999999996</v>
      </c>
      <c r="IU44" s="12">
        <v>715.06799999999998</v>
      </c>
      <c r="IV44" s="12">
        <v>718.38</v>
      </c>
      <c r="IW44" s="12">
        <v>782.79600000000005</v>
      </c>
      <c r="IX44" s="12">
        <v>800.61199999999997</v>
      </c>
      <c r="IY44" s="12">
        <v>790.68799999999999</v>
      </c>
      <c r="IZ44" s="12">
        <v>845.29600000000005</v>
      </c>
      <c r="JA44" s="12">
        <v>858.44</v>
      </c>
      <c r="JB44" s="12">
        <v>861.45</v>
      </c>
      <c r="JC44" s="12">
        <v>845.62400000000002</v>
      </c>
      <c r="JD44" s="12">
        <v>898.18399999999997</v>
      </c>
      <c r="JE44" s="12">
        <v>935.36400000000003</v>
      </c>
      <c r="JF44" s="12">
        <v>959.86400000000003</v>
      </c>
      <c r="JG44" s="12">
        <v>1013.248</v>
      </c>
      <c r="JH44" s="12">
        <v>1012.09</v>
      </c>
      <c r="JI44" s="12">
        <v>1023.9160000000001</v>
      </c>
      <c r="JJ44" s="12">
        <v>1008.394</v>
      </c>
      <c r="JK44" s="336">
        <v>987.404</v>
      </c>
    </row>
    <row r="45" spans="1:271" x14ac:dyDescent="0.25">
      <c r="A45" s="303" t="s">
        <v>160</v>
      </c>
      <c r="B45" s="301">
        <v>597.92399999999998</v>
      </c>
      <c r="C45" s="301">
        <v>654.00600000000009</v>
      </c>
      <c r="D45" s="301">
        <v>682.47</v>
      </c>
      <c r="E45" s="301">
        <v>585.89400000000001</v>
      </c>
      <c r="F45" s="301">
        <v>700.19399999999996</v>
      </c>
      <c r="G45" s="301">
        <v>712.36200000000008</v>
      </c>
      <c r="H45" s="301">
        <v>665.24399999999991</v>
      </c>
      <c r="I45" s="301">
        <v>722.53199999999993</v>
      </c>
      <c r="J45" s="301">
        <v>729.27600000000007</v>
      </c>
      <c r="K45" s="301">
        <v>680.03399999999999</v>
      </c>
      <c r="L45" s="301">
        <v>775.51799999999992</v>
      </c>
      <c r="M45" s="301">
        <v>588.13200000000006</v>
      </c>
      <c r="N45" s="301">
        <v>715.72199999999998</v>
      </c>
      <c r="O45" s="301">
        <v>679.68000000000006</v>
      </c>
      <c r="P45" s="301">
        <v>651.91200000000003</v>
      </c>
      <c r="Q45" s="301">
        <v>294.00599999999997</v>
      </c>
      <c r="R45" s="301">
        <v>308.42400000000004</v>
      </c>
      <c r="S45" s="301">
        <v>265.19399999999996</v>
      </c>
      <c r="T45" s="301">
        <v>279.16200000000003</v>
      </c>
      <c r="U45" s="301">
        <v>264.94799999999998</v>
      </c>
      <c r="V45" s="301">
        <v>278.142</v>
      </c>
      <c r="W45" s="301">
        <v>321.20999999999998</v>
      </c>
      <c r="X45" s="301">
        <v>326.10000000000002</v>
      </c>
      <c r="Y45" s="301">
        <v>278.334</v>
      </c>
      <c r="Z45" s="301">
        <v>262.98</v>
      </c>
      <c r="AA45" s="301">
        <v>289.5</v>
      </c>
      <c r="AB45" s="301">
        <v>332.62800000000004</v>
      </c>
      <c r="AC45" s="301">
        <v>287.03399999999999</v>
      </c>
      <c r="AD45" s="301">
        <v>293.07599999999996</v>
      </c>
      <c r="AE45" s="301">
        <v>276.786</v>
      </c>
      <c r="AF45" s="301">
        <v>300.52800000000002</v>
      </c>
      <c r="AG45" s="301">
        <v>294.90600000000001</v>
      </c>
      <c r="AH45" s="301">
        <v>305.65199999999999</v>
      </c>
      <c r="AI45" s="301">
        <v>295.18799999999999</v>
      </c>
      <c r="AJ45" s="301">
        <v>289.78199999999998</v>
      </c>
      <c r="AK45" s="301">
        <v>265.392</v>
      </c>
      <c r="AL45" s="301">
        <v>254.25</v>
      </c>
      <c r="AM45" s="301">
        <v>252.89400000000001</v>
      </c>
      <c r="AN45" s="301">
        <v>283.50599999999997</v>
      </c>
      <c r="AO45" s="301">
        <v>291.048</v>
      </c>
      <c r="AP45" s="301">
        <v>304.51800000000003</v>
      </c>
      <c r="AQ45" s="301">
        <v>322.68</v>
      </c>
      <c r="AR45" s="301">
        <v>341.15999999999997</v>
      </c>
      <c r="AS45" s="301">
        <v>320.166</v>
      </c>
      <c r="AT45" s="301">
        <v>352.76400000000001</v>
      </c>
      <c r="AU45" s="301">
        <v>338.49</v>
      </c>
      <c r="AV45" s="301">
        <v>369.61799999999999</v>
      </c>
      <c r="AW45" s="301">
        <v>337.03199999999998</v>
      </c>
      <c r="AX45" s="301">
        <v>310.76400000000001</v>
      </c>
      <c r="AY45" s="301">
        <v>352.28399999999999</v>
      </c>
      <c r="AZ45" s="301">
        <v>347.56799999999998</v>
      </c>
      <c r="BA45" s="301">
        <v>318.04199999999997</v>
      </c>
      <c r="BB45" s="301">
        <v>364.38</v>
      </c>
      <c r="BC45" s="301">
        <v>373.36199999999997</v>
      </c>
      <c r="BD45" s="301">
        <v>360.19200000000001</v>
      </c>
      <c r="BE45" s="301">
        <v>390.97799999999995</v>
      </c>
      <c r="BF45" s="301">
        <v>394.21199999999999</v>
      </c>
      <c r="BG45" s="301">
        <v>415.04400000000004</v>
      </c>
      <c r="BH45" s="301">
        <v>435.52799999999996</v>
      </c>
      <c r="BI45" s="301">
        <v>337.04399999999998</v>
      </c>
      <c r="BJ45" s="301">
        <v>355.35</v>
      </c>
      <c r="BK45" s="301">
        <v>443.05200000000002</v>
      </c>
      <c r="BL45" s="301">
        <v>440.54400000000004</v>
      </c>
      <c r="BM45" s="301">
        <v>367.608</v>
      </c>
      <c r="BN45" s="301">
        <v>457.96199999999999</v>
      </c>
      <c r="BO45" s="301">
        <v>470.77200000000005</v>
      </c>
      <c r="BP45" s="301">
        <v>488.31000000000006</v>
      </c>
      <c r="BQ45" s="301">
        <v>503.73</v>
      </c>
      <c r="BR45" s="301">
        <v>494.89800000000002</v>
      </c>
      <c r="BS45" s="301">
        <v>544.88400000000001</v>
      </c>
      <c r="BT45" s="301">
        <v>575.226</v>
      </c>
      <c r="BU45" s="301">
        <v>474.08399999999995</v>
      </c>
      <c r="BV45" s="301">
        <v>481.61400000000003</v>
      </c>
      <c r="BW45" s="301">
        <v>495.95400000000006</v>
      </c>
      <c r="BX45" s="301">
        <v>525.88799999999992</v>
      </c>
      <c r="BY45" s="301">
        <v>520.9559999999999</v>
      </c>
      <c r="BZ45" s="301">
        <v>620.35199999999998</v>
      </c>
      <c r="CA45" s="301">
        <v>608.76</v>
      </c>
      <c r="CB45" s="301">
        <v>613.34400000000005</v>
      </c>
      <c r="CC45" s="301">
        <v>597.678</v>
      </c>
      <c r="CD45" s="301">
        <v>602.64599999999996</v>
      </c>
      <c r="CE45" s="301">
        <v>645.74399999999991</v>
      </c>
      <c r="CF45" s="301">
        <v>669.19799999999998</v>
      </c>
      <c r="CG45" s="301">
        <v>537.59400000000005</v>
      </c>
      <c r="CH45" s="301">
        <v>561.64800000000002</v>
      </c>
      <c r="CI45" s="301">
        <v>586.27200000000005</v>
      </c>
      <c r="CJ45" s="301">
        <v>612.43200000000002</v>
      </c>
      <c r="CK45" s="301">
        <v>670.34999999999991</v>
      </c>
      <c r="CL45" s="301">
        <v>679.11</v>
      </c>
      <c r="CM45" s="301">
        <v>668.84400000000005</v>
      </c>
      <c r="CN45" s="301">
        <v>633.12</v>
      </c>
      <c r="CO45" s="301">
        <v>612.024</v>
      </c>
      <c r="CP45" s="301">
        <v>640.06799999999998</v>
      </c>
      <c r="CQ45" s="301">
        <v>678.50400000000002</v>
      </c>
      <c r="CR45" s="301">
        <v>637.51800000000003</v>
      </c>
      <c r="CS45" s="301">
        <v>587.59199999999998</v>
      </c>
      <c r="CT45" s="301">
        <v>606.87</v>
      </c>
      <c r="CU45" s="301">
        <v>600.43200000000002</v>
      </c>
      <c r="CV45" s="301">
        <v>635.91600000000005</v>
      </c>
      <c r="CW45" s="301">
        <v>602.20799999999997</v>
      </c>
      <c r="CX45" s="301">
        <v>649.86599999999999</v>
      </c>
      <c r="CY45" s="301">
        <v>608.82600000000002</v>
      </c>
      <c r="CZ45" s="301">
        <v>581.14200000000005</v>
      </c>
      <c r="DA45" s="301">
        <v>539.62199999999996</v>
      </c>
      <c r="DB45" s="301">
        <v>530.88</v>
      </c>
      <c r="DC45" s="301">
        <v>544.572</v>
      </c>
      <c r="DD45" s="301">
        <v>564.25800000000004</v>
      </c>
      <c r="DE45" s="301">
        <v>498.714</v>
      </c>
      <c r="DF45" s="301">
        <v>583.30799999999999</v>
      </c>
      <c r="DG45" s="301">
        <v>637.34999999999991</v>
      </c>
      <c r="DH45" s="301">
        <v>634.59</v>
      </c>
      <c r="DI45" s="301">
        <v>577.9559999999999</v>
      </c>
      <c r="DJ45" s="301">
        <v>645.56399999999996</v>
      </c>
      <c r="DK45" s="301">
        <v>667.33799999999997</v>
      </c>
      <c r="DL45" s="301">
        <v>681.72</v>
      </c>
      <c r="DM45" s="301">
        <v>708.84</v>
      </c>
      <c r="DN45" s="301">
        <v>652.67399999999998</v>
      </c>
      <c r="DO45" s="301">
        <v>636.75</v>
      </c>
      <c r="DP45" s="301">
        <v>675.03</v>
      </c>
      <c r="DQ45" s="301">
        <v>553.84199999999998</v>
      </c>
      <c r="DR45" s="301">
        <v>578.64599999999996</v>
      </c>
      <c r="DS45" s="301">
        <v>629.31000000000006</v>
      </c>
      <c r="DT45" s="301">
        <v>664.33199999999999</v>
      </c>
      <c r="DU45" s="301">
        <v>624.01199999999994</v>
      </c>
      <c r="DV45" s="301">
        <v>664.09199999999998</v>
      </c>
      <c r="DW45" s="301">
        <v>707.64599999999996</v>
      </c>
      <c r="DX45" s="301">
        <v>741.23400000000004</v>
      </c>
      <c r="DY45" s="301">
        <v>816.96600000000001</v>
      </c>
      <c r="DZ45" s="301">
        <v>821.55000000000007</v>
      </c>
      <c r="EA45" s="301">
        <v>844.1880000000001</v>
      </c>
      <c r="EB45" s="301">
        <v>880.38599999999997</v>
      </c>
      <c r="EC45" s="301">
        <v>752.65199999999993</v>
      </c>
      <c r="ED45" s="301">
        <v>768.654</v>
      </c>
      <c r="EE45" s="301">
        <v>840.096</v>
      </c>
      <c r="EF45" s="301">
        <v>882.79200000000003</v>
      </c>
      <c r="EG45" s="301">
        <v>847.69799999999987</v>
      </c>
      <c r="EH45" s="301">
        <v>895.91399999999999</v>
      </c>
      <c r="EI45" s="301">
        <v>821.50199999999995</v>
      </c>
      <c r="EJ45" s="301">
        <v>810.88799999999992</v>
      </c>
      <c r="EK45" s="301">
        <v>804.22800000000007</v>
      </c>
      <c r="EL45" s="301">
        <v>864.80399999999986</v>
      </c>
      <c r="EM45" s="301">
        <v>916.11</v>
      </c>
      <c r="EN45" s="301">
        <v>932.42399999999998</v>
      </c>
      <c r="EO45" s="301">
        <v>725.98800000000006</v>
      </c>
      <c r="EP45" s="301">
        <v>819.73200000000008</v>
      </c>
      <c r="EQ45" s="301">
        <v>828</v>
      </c>
      <c r="ER45" s="301">
        <v>911.58</v>
      </c>
      <c r="ES45" s="301">
        <v>910.52399999999989</v>
      </c>
      <c r="ET45" s="301">
        <v>928.72800000000007</v>
      </c>
      <c r="EU45" s="301">
        <v>842.31600000000003</v>
      </c>
      <c r="EV45" s="301">
        <v>905.31</v>
      </c>
      <c r="EW45" s="301">
        <v>890.05799999999999</v>
      </c>
      <c r="EX45" s="301">
        <v>902.46</v>
      </c>
      <c r="EY45" s="301">
        <v>914.94</v>
      </c>
      <c r="EZ45" s="301">
        <v>929.03399999999999</v>
      </c>
      <c r="FA45" s="301">
        <v>790.98599999999988</v>
      </c>
      <c r="FB45" s="301">
        <v>823.34399999999994</v>
      </c>
      <c r="FC45" s="301">
        <v>805.33800000000008</v>
      </c>
      <c r="FD45" s="301">
        <v>885.26400000000012</v>
      </c>
      <c r="FE45" s="301">
        <v>849.76200000000006</v>
      </c>
      <c r="FF45" s="301">
        <v>900.654</v>
      </c>
      <c r="FG45" s="301">
        <v>902.95799999999997</v>
      </c>
      <c r="FH45" s="301">
        <v>1034.328</v>
      </c>
      <c r="FI45" s="301">
        <v>970.75199999999995</v>
      </c>
      <c r="FJ45" s="301">
        <v>970.43399999999997</v>
      </c>
      <c r="FK45" s="301">
        <v>969.07799999999997</v>
      </c>
      <c r="FL45" s="301">
        <v>1004.076</v>
      </c>
      <c r="FM45" s="301">
        <v>807.97800000000007</v>
      </c>
      <c r="FN45" s="301">
        <v>746.88599999999997</v>
      </c>
      <c r="FO45" s="301">
        <v>764.84999999999991</v>
      </c>
      <c r="FP45" s="301">
        <v>810.75600000000009</v>
      </c>
      <c r="FQ45" s="301">
        <v>736.00800000000004</v>
      </c>
      <c r="FR45" s="301">
        <v>732.34199999999998</v>
      </c>
      <c r="FS45" s="301">
        <v>733.53600000000006</v>
      </c>
      <c r="FT45" s="301">
        <v>740.04</v>
      </c>
      <c r="FU45" s="301">
        <v>702.56399999999996</v>
      </c>
      <c r="FV45" s="301">
        <v>684.31799999999998</v>
      </c>
      <c r="FW45" s="301">
        <v>705.85199999999998</v>
      </c>
      <c r="FX45" s="301">
        <v>782.94600000000014</v>
      </c>
      <c r="FY45" s="301">
        <v>629.38799999999992</v>
      </c>
      <c r="FZ45" s="301">
        <v>602.33399999999995</v>
      </c>
      <c r="GA45" s="301">
        <v>693.87</v>
      </c>
      <c r="GB45" s="301">
        <v>730.26</v>
      </c>
      <c r="GC45" s="301">
        <v>712.38</v>
      </c>
      <c r="GD45" s="301">
        <v>750.34800000000007</v>
      </c>
      <c r="GE45" s="301">
        <v>701.02800000000002</v>
      </c>
      <c r="GF45" s="301">
        <v>726.702</v>
      </c>
      <c r="GG45" s="301">
        <v>743.40000000000009</v>
      </c>
      <c r="GH45" s="301">
        <v>720.90599999999995</v>
      </c>
      <c r="GI45" s="301">
        <v>790.01400000000012</v>
      </c>
      <c r="GJ45" s="301">
        <v>866.298</v>
      </c>
      <c r="GK45" s="301">
        <v>744.42599999999993</v>
      </c>
      <c r="GL45" s="301">
        <v>748.96199999999999</v>
      </c>
      <c r="GM45" s="301">
        <v>770.22600000000011</v>
      </c>
      <c r="GN45" s="301">
        <v>814.96199999999999</v>
      </c>
      <c r="GO45" s="301">
        <v>672.98400000000004</v>
      </c>
      <c r="GP45" s="301">
        <v>826.5</v>
      </c>
      <c r="GQ45" s="301">
        <v>789.91199999999992</v>
      </c>
      <c r="GR45" s="301">
        <v>720.702</v>
      </c>
      <c r="GS45" s="301">
        <v>742.74599999999998</v>
      </c>
      <c r="GT45" s="301">
        <v>694.25400000000002</v>
      </c>
      <c r="GU45" s="301">
        <v>905.57400000000007</v>
      </c>
      <c r="GV45" s="301">
        <v>944.61</v>
      </c>
      <c r="GW45" s="301">
        <v>689.178</v>
      </c>
      <c r="GX45" s="301">
        <v>655.06799999999998</v>
      </c>
      <c r="GY45" s="301">
        <v>737.83199999999999</v>
      </c>
      <c r="GZ45" s="301">
        <v>731.47799999999995</v>
      </c>
      <c r="HA45" s="301">
        <v>701.47199999999998</v>
      </c>
      <c r="HB45" s="301">
        <v>851.04600000000005</v>
      </c>
      <c r="HC45" s="301">
        <v>801.62999999999988</v>
      </c>
      <c r="HD45" s="301">
        <v>805.15800000000013</v>
      </c>
      <c r="HE45" s="301">
        <v>804.25199999999995</v>
      </c>
      <c r="HF45" s="301">
        <v>823.28399999999999</v>
      </c>
      <c r="HG45" s="301">
        <v>863.49599999999998</v>
      </c>
      <c r="HH45" s="301">
        <v>846.03</v>
      </c>
      <c r="HI45" s="301">
        <v>615.88200000000006</v>
      </c>
      <c r="HJ45" s="301">
        <v>723.66600000000005</v>
      </c>
      <c r="HK45" s="301">
        <v>731.07600000000002</v>
      </c>
      <c r="HL45" s="301">
        <v>725.02200000000005</v>
      </c>
      <c r="HM45" s="301">
        <v>685.17</v>
      </c>
      <c r="HN45" s="301">
        <v>774.49199999999996</v>
      </c>
      <c r="HO45" s="301">
        <v>705.76199999999994</v>
      </c>
      <c r="HP45" s="333">
        <v>808.60199999999998</v>
      </c>
      <c r="HQ45" s="333">
        <v>769.52399999999989</v>
      </c>
      <c r="HR45" s="333">
        <v>730.41</v>
      </c>
      <c r="HS45" s="333">
        <v>780.91199999999992</v>
      </c>
      <c r="HT45" s="333">
        <v>752.89200000000005</v>
      </c>
      <c r="HU45" s="333">
        <v>577.02</v>
      </c>
      <c r="HV45" s="301">
        <v>626.97</v>
      </c>
      <c r="HW45" s="301">
        <v>729.67200000000003</v>
      </c>
      <c r="HX45" s="301">
        <v>757.60199999999998</v>
      </c>
      <c r="HY45" s="301">
        <v>634.88400000000001</v>
      </c>
      <c r="HZ45" s="301">
        <v>606.67200000000003</v>
      </c>
      <c r="IA45" s="301">
        <v>615.86400000000003</v>
      </c>
      <c r="IB45" s="301">
        <v>647.33399999999995</v>
      </c>
      <c r="IC45" s="301">
        <v>657.80399999999997</v>
      </c>
      <c r="ID45" s="301">
        <v>632.42399999999998</v>
      </c>
      <c r="IE45" s="301">
        <v>668.97</v>
      </c>
      <c r="IF45" s="301">
        <v>660.42</v>
      </c>
      <c r="IG45" s="301">
        <v>589.71600000000001</v>
      </c>
      <c r="IH45" s="301">
        <v>578.06399999999996</v>
      </c>
      <c r="II45" s="301">
        <v>668.80200000000002</v>
      </c>
      <c r="IJ45" s="301">
        <v>754.86599999999999</v>
      </c>
      <c r="IK45" s="301">
        <v>721.49399999999991</v>
      </c>
      <c r="IL45" s="301">
        <v>773.91599999999994</v>
      </c>
      <c r="IM45" s="301">
        <v>760.77600000000007</v>
      </c>
      <c r="IN45" s="333">
        <v>785.74800000000005</v>
      </c>
      <c r="IO45" s="333">
        <v>820.53600000000006</v>
      </c>
      <c r="IP45" s="333">
        <v>814.94999999999993</v>
      </c>
      <c r="IQ45" s="333">
        <v>861.94799999999987</v>
      </c>
      <c r="IR45" s="333">
        <v>864.17399999999998</v>
      </c>
      <c r="IS45" s="333">
        <v>682.93200000000002</v>
      </c>
      <c r="IT45" s="333">
        <v>675.63</v>
      </c>
      <c r="IU45" s="333">
        <v>780.46199999999999</v>
      </c>
      <c r="IV45" s="333">
        <v>840.55200000000013</v>
      </c>
      <c r="IW45" s="334">
        <v>717.52599999999995</v>
      </c>
      <c r="IX45" s="334">
        <v>733.38400000000001</v>
      </c>
      <c r="IY45" s="334">
        <v>721.404</v>
      </c>
      <c r="IZ45" s="334">
        <v>824.83</v>
      </c>
      <c r="JA45" s="334">
        <v>1262.098</v>
      </c>
      <c r="JB45" s="334">
        <v>943.71400000000006</v>
      </c>
      <c r="JC45" s="334">
        <v>839.99599999999998</v>
      </c>
      <c r="JD45" s="334">
        <v>832.74599999999998</v>
      </c>
      <c r="JE45" s="334">
        <v>879.57</v>
      </c>
      <c r="JF45" s="334">
        <v>914.68399999999997</v>
      </c>
      <c r="JG45" s="334">
        <v>825.93200000000002</v>
      </c>
      <c r="JH45" s="334">
        <v>737.66399999999999</v>
      </c>
      <c r="JI45" s="334">
        <v>809.29</v>
      </c>
      <c r="JJ45" s="334">
        <v>880.15</v>
      </c>
      <c r="JK45" s="335">
        <v>816.08</v>
      </c>
    </row>
    <row r="46" spans="1:271" ht="14.25" customHeight="1" x14ac:dyDescent="0.25">
      <c r="A46" s="303" t="s">
        <v>67</v>
      </c>
      <c r="B46" s="304">
        <v>1295.3220000000001</v>
      </c>
      <c r="C46" s="304">
        <v>1289.9580000000001</v>
      </c>
      <c r="D46" s="304">
        <v>1361.0880000000002</v>
      </c>
      <c r="E46" s="304">
        <v>1356.1619999999998</v>
      </c>
      <c r="F46" s="304">
        <v>1379.31</v>
      </c>
      <c r="G46" s="304">
        <v>1339.644</v>
      </c>
      <c r="H46" s="304">
        <v>1411.4879999999998</v>
      </c>
      <c r="I46" s="304">
        <v>1396.896</v>
      </c>
      <c r="J46" s="304">
        <v>1317.432</v>
      </c>
      <c r="K46" s="304">
        <v>1317.2759999999998</v>
      </c>
      <c r="L46" s="304">
        <v>1289.598</v>
      </c>
      <c r="M46" s="304">
        <v>1186.8779999999999</v>
      </c>
      <c r="N46" s="304">
        <v>1235.682</v>
      </c>
      <c r="O46" s="304">
        <v>983.05200000000013</v>
      </c>
      <c r="P46" s="304">
        <v>1386.174</v>
      </c>
      <c r="Q46" s="304">
        <v>1234.422</v>
      </c>
      <c r="R46" s="304">
        <v>1367.0880000000002</v>
      </c>
      <c r="S46" s="304">
        <v>1308.6480000000001</v>
      </c>
      <c r="T46" s="304">
        <v>1260.9059999999999</v>
      </c>
      <c r="U46" s="304">
        <v>1248.0120000000002</v>
      </c>
      <c r="V46" s="304">
        <v>1336.41</v>
      </c>
      <c r="W46" s="304">
        <v>1477.434</v>
      </c>
      <c r="X46" s="304">
        <v>1457.3519999999999</v>
      </c>
      <c r="Y46" s="304">
        <v>1471.104</v>
      </c>
      <c r="Z46" s="304">
        <v>1447.71</v>
      </c>
      <c r="AA46" s="304">
        <v>1385.0340000000001</v>
      </c>
      <c r="AB46" s="304">
        <v>1487.8020000000001</v>
      </c>
      <c r="AC46" s="304">
        <v>1529.9460000000001</v>
      </c>
      <c r="AD46" s="304">
        <v>1496.328</v>
      </c>
      <c r="AE46" s="304">
        <v>1529.9639999999999</v>
      </c>
      <c r="AF46" s="304">
        <v>1442.394</v>
      </c>
      <c r="AG46" s="304">
        <v>1438.098</v>
      </c>
      <c r="AH46" s="304">
        <v>1435.2539999999999</v>
      </c>
      <c r="AI46" s="304">
        <v>1391.8920000000001</v>
      </c>
      <c r="AJ46" s="304">
        <v>1058.43</v>
      </c>
      <c r="AK46" s="304">
        <v>871.62599999999998</v>
      </c>
      <c r="AL46" s="304">
        <v>941.39400000000001</v>
      </c>
      <c r="AM46" s="304">
        <v>943.7940000000001</v>
      </c>
      <c r="AN46" s="304">
        <v>965.952</v>
      </c>
      <c r="AO46" s="304">
        <v>954.28800000000001</v>
      </c>
      <c r="AP46" s="304">
        <v>1054.614</v>
      </c>
      <c r="AQ46" s="304">
        <v>1090.29</v>
      </c>
      <c r="AR46" s="304">
        <v>1128.93</v>
      </c>
      <c r="AS46" s="304">
        <v>1355.1420000000001</v>
      </c>
      <c r="AT46" s="304">
        <v>1321.566</v>
      </c>
      <c r="AU46" s="304">
        <v>1409.364</v>
      </c>
      <c r="AV46" s="304">
        <v>1470.576</v>
      </c>
      <c r="AW46" s="304">
        <v>1290.1200000000001</v>
      </c>
      <c r="AX46" s="304">
        <v>1331.1659999999999</v>
      </c>
      <c r="AY46" s="304">
        <v>1396.752</v>
      </c>
      <c r="AZ46" s="304">
        <v>1463.8139999999999</v>
      </c>
      <c r="BA46" s="304">
        <v>1400.2139999999999</v>
      </c>
      <c r="BB46" s="304">
        <v>1500.348</v>
      </c>
      <c r="BC46" s="304">
        <v>1435.5060000000001</v>
      </c>
      <c r="BD46" s="304">
        <v>1643.5439999999999</v>
      </c>
      <c r="BE46" s="304">
        <v>1696.1999999999998</v>
      </c>
      <c r="BF46" s="304">
        <v>1793.9279999999999</v>
      </c>
      <c r="BG46" s="304">
        <v>2137.3920000000003</v>
      </c>
      <c r="BH46" s="304">
        <v>1977.828</v>
      </c>
      <c r="BI46" s="304">
        <v>1782.12</v>
      </c>
      <c r="BJ46" s="304">
        <v>1920.4560000000001</v>
      </c>
      <c r="BK46" s="304">
        <v>1815.9780000000001</v>
      </c>
      <c r="BL46" s="304">
        <v>2031.732</v>
      </c>
      <c r="BM46" s="304">
        <v>1958.9520000000002</v>
      </c>
      <c r="BN46" s="304">
        <v>2055.3180000000002</v>
      </c>
      <c r="BO46" s="304">
        <v>2011.7759999999998</v>
      </c>
      <c r="BP46" s="304">
        <v>2012.0700000000002</v>
      </c>
      <c r="BQ46" s="304">
        <v>2129.8739999999998</v>
      </c>
      <c r="BR46" s="304">
        <v>2189.8620000000001</v>
      </c>
      <c r="BS46" s="304">
        <v>2293.92</v>
      </c>
      <c r="BT46" s="304">
        <v>2437.404</v>
      </c>
      <c r="BU46" s="304">
        <v>2265.9539999999997</v>
      </c>
      <c r="BV46" s="304">
        <v>2430.846</v>
      </c>
      <c r="BW46" s="304">
        <v>2515.1459999999997</v>
      </c>
      <c r="BX46" s="304">
        <v>2688.42</v>
      </c>
      <c r="BY46" s="304">
        <v>2445.4260000000004</v>
      </c>
      <c r="BZ46" s="304">
        <v>2475.0720000000001</v>
      </c>
      <c r="CA46" s="304">
        <v>2256.4319999999998</v>
      </c>
      <c r="CB46" s="304">
        <v>2303.904</v>
      </c>
      <c r="CC46" s="304">
        <v>2473.5540000000001</v>
      </c>
      <c r="CD46" s="304">
        <v>2386.6799999999998</v>
      </c>
      <c r="CE46" s="304">
        <v>2592.768</v>
      </c>
      <c r="CF46" s="304">
        <v>2621.7599999999998</v>
      </c>
      <c r="CG46" s="304">
        <v>2376.8160000000003</v>
      </c>
      <c r="CH46" s="304">
        <v>2426.8980000000001</v>
      </c>
      <c r="CI46" s="304">
        <v>2541.288</v>
      </c>
      <c r="CJ46" s="304">
        <v>2627.5859999999998</v>
      </c>
      <c r="CK46" s="304">
        <v>2535.7259999999997</v>
      </c>
      <c r="CL46" s="304">
        <v>2638.0140000000001</v>
      </c>
      <c r="CM46" s="304">
        <v>2609.6220000000003</v>
      </c>
      <c r="CN46" s="304">
        <v>2725.5360000000001</v>
      </c>
      <c r="CO46" s="304">
        <v>2409.1799999999998</v>
      </c>
      <c r="CP46" s="304">
        <v>2313.1079999999997</v>
      </c>
      <c r="CQ46" s="304">
        <v>2397.636</v>
      </c>
      <c r="CR46" s="304">
        <v>2173.5</v>
      </c>
      <c r="CS46" s="304">
        <v>2069.52</v>
      </c>
      <c r="CT46" s="304">
        <v>1613.79</v>
      </c>
      <c r="CU46" s="304">
        <v>1341.5880000000002</v>
      </c>
      <c r="CV46" s="304">
        <v>1442.58</v>
      </c>
      <c r="CW46" s="304">
        <v>1375.23</v>
      </c>
      <c r="CX46" s="304">
        <v>1481.16</v>
      </c>
      <c r="CY46" s="304">
        <v>1487.028</v>
      </c>
      <c r="CZ46" s="304">
        <v>1474.0919999999999</v>
      </c>
      <c r="DA46" s="304">
        <v>1443.5340000000001</v>
      </c>
      <c r="DB46" s="304">
        <v>1463.19</v>
      </c>
      <c r="DC46" s="304">
        <v>1531.2719999999999</v>
      </c>
      <c r="DD46" s="304">
        <v>1493.4479999999999</v>
      </c>
      <c r="DE46" s="304">
        <v>1565.8679999999999</v>
      </c>
      <c r="DF46" s="304">
        <v>1474.8000000000002</v>
      </c>
      <c r="DG46" s="304">
        <v>1662.3540000000003</v>
      </c>
      <c r="DH46" s="304">
        <v>1892.982</v>
      </c>
      <c r="DI46" s="304">
        <v>1945.9499999999998</v>
      </c>
      <c r="DJ46" s="304">
        <v>2037.636</v>
      </c>
      <c r="DK46" s="304">
        <v>2000.3340000000001</v>
      </c>
      <c r="DL46" s="304">
        <v>2045.328</v>
      </c>
      <c r="DM46" s="304">
        <v>1994.1000000000001</v>
      </c>
      <c r="DN46" s="304">
        <v>1930.7159999999999</v>
      </c>
      <c r="DO46" s="304">
        <v>1938.2159999999999</v>
      </c>
      <c r="DP46" s="304">
        <v>1891.3019999999999</v>
      </c>
      <c r="DQ46" s="304">
        <v>1982.856</v>
      </c>
      <c r="DR46" s="304">
        <v>1853.748</v>
      </c>
      <c r="DS46" s="304">
        <v>1742.1480000000001</v>
      </c>
      <c r="DT46" s="304">
        <v>2410.56</v>
      </c>
      <c r="DU46" s="304">
        <v>2061.4920000000002</v>
      </c>
      <c r="DV46" s="304">
        <v>2297.8679999999999</v>
      </c>
      <c r="DW46" s="304">
        <v>2348.2740000000003</v>
      </c>
      <c r="DX46" s="304">
        <v>2352.6959999999999</v>
      </c>
      <c r="DY46" s="304">
        <v>2441.3160000000003</v>
      </c>
      <c r="DZ46" s="304">
        <v>2388.7799999999997</v>
      </c>
      <c r="EA46" s="304">
        <v>2495.076</v>
      </c>
      <c r="EB46" s="304">
        <v>2674.7640000000001</v>
      </c>
      <c r="EC46" s="304">
        <v>2549.5680000000002</v>
      </c>
      <c r="ED46" s="304">
        <v>2702.19</v>
      </c>
      <c r="EE46" s="304">
        <v>2692.6379999999999</v>
      </c>
      <c r="EF46" s="304">
        <v>2751.5519999999997</v>
      </c>
      <c r="EG46" s="304">
        <v>2758.89</v>
      </c>
      <c r="EH46" s="304">
        <v>2866.596</v>
      </c>
      <c r="EI46" s="304">
        <v>2765.826</v>
      </c>
      <c r="EJ46" s="304">
        <v>2917.0680000000002</v>
      </c>
      <c r="EK46" s="304">
        <v>3001.998</v>
      </c>
      <c r="EL46" s="304">
        <v>2837.982</v>
      </c>
      <c r="EM46" s="304">
        <v>2729.8440000000001</v>
      </c>
      <c r="EN46" s="304">
        <v>2439.8999999999996</v>
      </c>
      <c r="EO46" s="304">
        <v>2310.7440000000001</v>
      </c>
      <c r="EP46" s="304">
        <v>2295.21</v>
      </c>
      <c r="EQ46" s="304">
        <v>2341.098</v>
      </c>
      <c r="ER46" s="304">
        <v>2592.672</v>
      </c>
      <c r="ES46" s="304">
        <v>2435.556</v>
      </c>
      <c r="ET46" s="304">
        <v>2586.21</v>
      </c>
      <c r="EU46" s="304">
        <v>2484.0839999999998</v>
      </c>
      <c r="EV46" s="304">
        <v>2608.5479999999998</v>
      </c>
      <c r="EW46" s="304">
        <v>2557.0140000000001</v>
      </c>
      <c r="EX46" s="304">
        <v>2374.038</v>
      </c>
      <c r="EY46" s="304">
        <v>2555.3879999999999</v>
      </c>
      <c r="EZ46" s="304">
        <v>2368.1880000000001</v>
      </c>
      <c r="FA46" s="304">
        <v>2407.0619999999999</v>
      </c>
      <c r="FB46" s="304">
        <v>2408.5500000000002</v>
      </c>
      <c r="FC46" s="304">
        <v>2393.19</v>
      </c>
      <c r="FD46" s="304">
        <v>2528.7240000000002</v>
      </c>
      <c r="FE46" s="304">
        <v>2025.9119999999998</v>
      </c>
      <c r="FF46" s="304">
        <v>2167.0920000000001</v>
      </c>
      <c r="FG46" s="304">
        <v>2007.2339999999999</v>
      </c>
      <c r="FH46" s="304">
        <v>2089.3200000000002</v>
      </c>
      <c r="FI46" s="304">
        <v>2391.5700000000002</v>
      </c>
      <c r="FJ46" s="304">
        <v>2335.3319999999999</v>
      </c>
      <c r="FK46" s="304">
        <v>2410.56</v>
      </c>
      <c r="FL46" s="304">
        <v>2407.0500000000002</v>
      </c>
      <c r="FM46" s="304">
        <v>2314.8119999999999</v>
      </c>
      <c r="FN46" s="304">
        <v>2316.0360000000001</v>
      </c>
      <c r="FO46" s="304">
        <v>2049.7259999999997</v>
      </c>
      <c r="FP46" s="304">
        <v>2178.6000000000004</v>
      </c>
      <c r="FQ46" s="304">
        <v>2096.268</v>
      </c>
      <c r="FR46" s="304">
        <v>2197.578</v>
      </c>
      <c r="FS46" s="304">
        <v>2024.712</v>
      </c>
      <c r="FT46" s="304">
        <v>2222.52</v>
      </c>
      <c r="FU46" s="304">
        <v>2109.81</v>
      </c>
      <c r="FV46" s="304">
        <v>1969.7219999999998</v>
      </c>
      <c r="FW46" s="304">
        <v>2061.1019999999999</v>
      </c>
      <c r="FX46" s="304">
        <v>1946.508</v>
      </c>
      <c r="FY46" s="304">
        <v>1952.5500000000002</v>
      </c>
      <c r="FZ46" s="304">
        <v>1977.3000000000002</v>
      </c>
      <c r="GA46" s="304">
        <v>1887.0419999999999</v>
      </c>
      <c r="GB46" s="304">
        <v>1924.1579999999999</v>
      </c>
      <c r="GC46" s="304">
        <v>1749.84</v>
      </c>
      <c r="GD46" s="304">
        <v>1878.9719999999998</v>
      </c>
      <c r="GE46" s="304">
        <v>1837.5120000000002</v>
      </c>
      <c r="GF46" s="304">
        <v>1866.5280000000002</v>
      </c>
      <c r="GG46" s="304">
        <v>1906.1760000000002</v>
      </c>
      <c r="GH46" s="304">
        <v>1757.9339999999997</v>
      </c>
      <c r="GI46" s="304">
        <v>1894.3980000000001</v>
      </c>
      <c r="GJ46" s="304">
        <v>1840.1999999999998</v>
      </c>
      <c r="GK46" s="304">
        <v>1886.16</v>
      </c>
      <c r="GL46" s="304">
        <v>1938.4740000000002</v>
      </c>
      <c r="GM46" s="304">
        <v>1787.8500000000001</v>
      </c>
      <c r="GN46" s="304">
        <v>2040.21</v>
      </c>
      <c r="GO46" s="304">
        <v>1897.92</v>
      </c>
      <c r="GP46" s="304">
        <v>1903.4339999999997</v>
      </c>
      <c r="GQ46" s="304">
        <v>1957.2179999999998</v>
      </c>
      <c r="GR46" s="304">
        <v>2062.4580000000001</v>
      </c>
      <c r="GS46" s="304">
        <v>2126.904</v>
      </c>
      <c r="GT46" s="304">
        <v>2137.1760000000004</v>
      </c>
      <c r="GU46" s="304">
        <v>2295.87</v>
      </c>
      <c r="GV46" s="304">
        <v>2254.8959999999997</v>
      </c>
      <c r="GW46" s="304">
        <v>2077.0680000000002</v>
      </c>
      <c r="GX46" s="304">
        <v>2143.0619999999999</v>
      </c>
      <c r="GY46" s="304">
        <v>2051.3820000000001</v>
      </c>
      <c r="GZ46" s="304">
        <v>2229.0299999999997</v>
      </c>
      <c r="HA46" s="304">
        <v>2066.16</v>
      </c>
      <c r="HB46" s="304">
        <v>2178.096</v>
      </c>
      <c r="HC46" s="304">
        <v>2145.9180000000001</v>
      </c>
      <c r="HD46" s="304">
        <v>2265.4079999999999</v>
      </c>
      <c r="HE46" s="304">
        <v>2277.8940000000002</v>
      </c>
      <c r="HF46" s="304">
        <v>2177.4839999999999</v>
      </c>
      <c r="HG46" s="304">
        <v>2253.36</v>
      </c>
      <c r="HH46" s="304">
        <v>2040.6420000000003</v>
      </c>
      <c r="HI46" s="304">
        <v>2178.5639999999999</v>
      </c>
      <c r="HJ46" s="304">
        <v>2285.52</v>
      </c>
      <c r="HK46" s="304">
        <v>2236.23</v>
      </c>
      <c r="HL46" s="304">
        <v>2357.3999999999996</v>
      </c>
      <c r="HM46" s="304">
        <v>2364.84</v>
      </c>
      <c r="HN46" s="304">
        <v>2361.8339999999998</v>
      </c>
      <c r="HO46" s="304">
        <v>2270.8500000000004</v>
      </c>
      <c r="HP46" s="304">
        <v>2398.7280000000001</v>
      </c>
      <c r="HQ46" s="304">
        <v>2396.1839999999997</v>
      </c>
      <c r="HR46" s="304">
        <v>1967.6279999999999</v>
      </c>
      <c r="HS46" s="304">
        <v>2429.9339999999997</v>
      </c>
      <c r="HT46" s="304">
        <v>2385.7740000000003</v>
      </c>
      <c r="HU46" s="304">
        <v>1961.3820000000001</v>
      </c>
      <c r="HV46" s="304">
        <v>1774.818</v>
      </c>
      <c r="HW46" s="304">
        <v>1851.672</v>
      </c>
      <c r="HX46" s="304">
        <v>1952.568</v>
      </c>
      <c r="HY46" s="304">
        <v>1880.6399999999999</v>
      </c>
      <c r="HZ46" s="304">
        <v>2028.4740000000002</v>
      </c>
      <c r="IA46" s="304">
        <v>1874.154</v>
      </c>
      <c r="IB46" s="304">
        <v>1921.47</v>
      </c>
      <c r="IC46" s="304">
        <v>1982.8319999999999</v>
      </c>
      <c r="ID46" s="304">
        <v>1859.7360000000001</v>
      </c>
      <c r="IE46" s="304">
        <v>1885.9499999999998</v>
      </c>
      <c r="IF46" s="304">
        <v>1934.0219999999999</v>
      </c>
      <c r="IG46" s="304">
        <v>1805.346</v>
      </c>
      <c r="IH46" s="304">
        <v>1881.7740000000001</v>
      </c>
      <c r="II46" s="304">
        <v>1754.1420000000003</v>
      </c>
      <c r="IJ46" s="304">
        <v>1968.3120000000001</v>
      </c>
      <c r="IK46" s="304">
        <v>1792.59</v>
      </c>
      <c r="IL46" s="304">
        <v>2013.7080000000001</v>
      </c>
      <c r="IM46" s="304">
        <v>1797.384</v>
      </c>
      <c r="IN46" s="12">
        <v>1856.4719999999998</v>
      </c>
      <c r="IO46" s="12">
        <v>1938.3899999999999</v>
      </c>
      <c r="IP46" s="12">
        <v>2080.884</v>
      </c>
      <c r="IQ46" s="12">
        <v>2181.9360000000001</v>
      </c>
      <c r="IR46" s="12">
        <v>2233.1220000000003</v>
      </c>
      <c r="IS46" s="12">
        <v>2130.7979999999998</v>
      </c>
      <c r="IT46" s="12">
        <v>1982.5320000000002</v>
      </c>
      <c r="IU46" s="12">
        <v>1883.0519999999999</v>
      </c>
      <c r="IV46" s="12">
        <v>2038.5720000000001</v>
      </c>
      <c r="IW46" s="12">
        <v>2160.1439999999998</v>
      </c>
      <c r="IX46" s="12">
        <v>2343.9140000000002</v>
      </c>
      <c r="IY46" s="12">
        <v>2008.5319999999999</v>
      </c>
      <c r="IZ46" s="12">
        <v>1884.7639999999999</v>
      </c>
      <c r="JA46" s="12">
        <v>1738.856</v>
      </c>
      <c r="JB46" s="12">
        <v>1566.502</v>
      </c>
      <c r="JC46" s="12">
        <v>1434.742</v>
      </c>
      <c r="JD46" s="12">
        <v>1460.836</v>
      </c>
      <c r="JE46" s="12">
        <v>1535.68</v>
      </c>
      <c r="JF46" s="12">
        <v>1541.6420000000001</v>
      </c>
      <c r="JG46" s="12">
        <v>1641.912</v>
      </c>
      <c r="JH46" s="12">
        <v>1574.2080000000001</v>
      </c>
      <c r="JI46" s="12">
        <v>1589.692</v>
      </c>
      <c r="JJ46" s="12">
        <v>1678.2439999999999</v>
      </c>
      <c r="JK46" s="336">
        <v>1695.6980000000001</v>
      </c>
    </row>
    <row r="47" spans="1:271" x14ac:dyDescent="0.25">
      <c r="A47" s="303" t="s">
        <v>161</v>
      </c>
      <c r="B47" s="301">
        <v>943.68600000000004</v>
      </c>
      <c r="C47" s="301">
        <v>872.27399999999989</v>
      </c>
      <c r="D47" s="301">
        <v>971.17200000000003</v>
      </c>
      <c r="E47" s="301">
        <v>943.75800000000004</v>
      </c>
      <c r="F47" s="301">
        <v>1042.8419999999999</v>
      </c>
      <c r="G47" s="301">
        <v>1097.712</v>
      </c>
      <c r="H47" s="301">
        <v>1016.796</v>
      </c>
      <c r="I47" s="301">
        <v>1065.9000000000001</v>
      </c>
      <c r="J47" s="301">
        <v>979.02</v>
      </c>
      <c r="K47" s="301">
        <v>1136.694</v>
      </c>
      <c r="L47" s="301">
        <v>1315.44</v>
      </c>
      <c r="M47" s="301">
        <v>1353.7439999999999</v>
      </c>
      <c r="N47" s="301">
        <v>1441.056</v>
      </c>
      <c r="O47" s="301">
        <v>1164.1200000000001</v>
      </c>
      <c r="P47" s="301">
        <v>1154.2919999999999</v>
      </c>
      <c r="Q47" s="301">
        <v>1052.4059999999999</v>
      </c>
      <c r="R47" s="301">
        <v>1239.7560000000001</v>
      </c>
      <c r="S47" s="301">
        <v>1164.9780000000001</v>
      </c>
      <c r="T47" s="301">
        <v>1347.5340000000001</v>
      </c>
      <c r="U47" s="301">
        <v>1293.5940000000001</v>
      </c>
      <c r="V47" s="301">
        <v>1100.0880000000002</v>
      </c>
      <c r="W47" s="301">
        <v>1291.7819999999999</v>
      </c>
      <c r="X47" s="301">
        <v>1290.2280000000001</v>
      </c>
      <c r="Y47" s="301">
        <v>1192.806</v>
      </c>
      <c r="Z47" s="301">
        <v>1120.9259999999999</v>
      </c>
      <c r="AA47" s="301">
        <v>1070.8679999999999</v>
      </c>
      <c r="AB47" s="301">
        <v>1176.1860000000001</v>
      </c>
      <c r="AC47" s="301">
        <v>1110.444</v>
      </c>
      <c r="AD47" s="301">
        <v>1367.7240000000002</v>
      </c>
      <c r="AE47" s="301">
        <v>1161.702</v>
      </c>
      <c r="AF47" s="301">
        <v>1161.21</v>
      </c>
      <c r="AG47" s="301">
        <v>1103.538</v>
      </c>
      <c r="AH47" s="301">
        <v>1129.914</v>
      </c>
      <c r="AI47" s="301">
        <v>1196.0999999999999</v>
      </c>
      <c r="AJ47" s="301">
        <v>1352.85</v>
      </c>
      <c r="AK47" s="301">
        <v>1249.7159999999999</v>
      </c>
      <c r="AL47" s="301">
        <v>1233.6659999999999</v>
      </c>
      <c r="AM47" s="301">
        <v>1182.444</v>
      </c>
      <c r="AN47" s="301">
        <v>1252.008</v>
      </c>
      <c r="AO47" s="301">
        <v>1485.498</v>
      </c>
      <c r="AP47" s="301">
        <v>1589.442</v>
      </c>
      <c r="AQ47" s="301">
        <v>1481.3820000000001</v>
      </c>
      <c r="AR47" s="301">
        <v>1562.8679999999999</v>
      </c>
      <c r="AS47" s="301">
        <v>1874.4960000000001</v>
      </c>
      <c r="AT47" s="301">
        <v>1670.1959999999999</v>
      </c>
      <c r="AU47" s="301">
        <v>1385.3039999999999</v>
      </c>
      <c r="AV47" s="301">
        <v>1500.9059999999999</v>
      </c>
      <c r="AW47" s="301">
        <v>1325.664</v>
      </c>
      <c r="AX47" s="301">
        <v>1717.818</v>
      </c>
      <c r="AY47" s="301">
        <v>1676.5139999999999</v>
      </c>
      <c r="AZ47" s="301">
        <v>1804.9140000000002</v>
      </c>
      <c r="BA47" s="301">
        <v>1849.0139999999999</v>
      </c>
      <c r="BB47" s="301">
        <v>1930.3500000000001</v>
      </c>
      <c r="BC47" s="301">
        <v>1915.53</v>
      </c>
      <c r="BD47" s="301">
        <v>1929.3000000000002</v>
      </c>
      <c r="BE47" s="301">
        <v>1737.4860000000001</v>
      </c>
      <c r="BF47" s="301">
        <v>1831.482</v>
      </c>
      <c r="BG47" s="301">
        <v>1798.596</v>
      </c>
      <c r="BH47" s="301">
        <v>1855.6619999999998</v>
      </c>
      <c r="BI47" s="301">
        <v>1706.0160000000001</v>
      </c>
      <c r="BJ47" s="301">
        <v>1642.41</v>
      </c>
      <c r="BK47" s="301">
        <v>1623.576</v>
      </c>
      <c r="BL47" s="301">
        <v>1847.28</v>
      </c>
      <c r="BM47" s="301">
        <v>1707.1559999999999</v>
      </c>
      <c r="BN47" s="301">
        <v>1816.17</v>
      </c>
      <c r="BO47" s="301">
        <v>1818.204</v>
      </c>
      <c r="BP47" s="301">
        <v>2077.134</v>
      </c>
      <c r="BQ47" s="301">
        <v>2052.9480000000003</v>
      </c>
      <c r="BR47" s="301">
        <v>2105.8440000000001</v>
      </c>
      <c r="BS47" s="301">
        <v>2337.7080000000001</v>
      </c>
      <c r="BT47" s="301">
        <v>2233.2660000000001</v>
      </c>
      <c r="BU47" s="301">
        <v>2031.2339999999999</v>
      </c>
      <c r="BV47" s="301">
        <v>2162.364</v>
      </c>
      <c r="BW47" s="301">
        <v>2075.8739999999998</v>
      </c>
      <c r="BX47" s="301">
        <v>2134.248</v>
      </c>
      <c r="BY47" s="301">
        <v>2170.7579999999998</v>
      </c>
      <c r="BZ47" s="301">
        <v>2219.7179999999998</v>
      </c>
      <c r="CA47" s="301">
        <v>2252.712</v>
      </c>
      <c r="CB47" s="301">
        <v>2399.6220000000003</v>
      </c>
      <c r="CC47" s="301">
        <v>2471.4360000000001</v>
      </c>
      <c r="CD47" s="301">
        <v>2402.31</v>
      </c>
      <c r="CE47" s="301">
        <v>2718.5819999999999</v>
      </c>
      <c r="CF47" s="301">
        <v>2574.5700000000002</v>
      </c>
      <c r="CG47" s="301">
        <v>2618.73</v>
      </c>
      <c r="CH47" s="301">
        <v>2564.6459999999997</v>
      </c>
      <c r="CI47" s="301">
        <v>2623.2240000000002</v>
      </c>
      <c r="CJ47" s="301">
        <v>2677.3380000000002</v>
      </c>
      <c r="CK47" s="301">
        <v>2550.2400000000002</v>
      </c>
      <c r="CL47" s="301">
        <v>2551.9740000000002</v>
      </c>
      <c r="CM47" s="301">
        <v>2961.192</v>
      </c>
      <c r="CN47" s="301">
        <v>2700.4140000000002</v>
      </c>
      <c r="CO47" s="301">
        <v>2810.1779999999999</v>
      </c>
      <c r="CP47" s="301">
        <v>2788.212</v>
      </c>
      <c r="CQ47" s="301">
        <v>3013.8239999999996</v>
      </c>
      <c r="CR47" s="301">
        <v>2796.9960000000001</v>
      </c>
      <c r="CS47" s="301">
        <v>2963.55</v>
      </c>
      <c r="CT47" s="301">
        <v>2176.5839999999998</v>
      </c>
      <c r="CU47" s="301">
        <v>1920.0419999999999</v>
      </c>
      <c r="CV47" s="301">
        <v>1751.22</v>
      </c>
      <c r="CW47" s="301">
        <v>1714.944</v>
      </c>
      <c r="CX47" s="301">
        <v>1767.0479999999998</v>
      </c>
      <c r="CY47" s="301">
        <v>1513.998</v>
      </c>
      <c r="CZ47" s="301">
        <v>1417.98</v>
      </c>
      <c r="DA47" s="301">
        <v>1313.8440000000001</v>
      </c>
      <c r="DB47" s="301">
        <v>1304.79</v>
      </c>
      <c r="DC47" s="301">
        <v>1320.192</v>
      </c>
      <c r="DD47" s="301">
        <v>1382.76</v>
      </c>
      <c r="DE47" s="301">
        <v>1222.2240000000002</v>
      </c>
      <c r="DF47" s="301">
        <v>1140.9000000000001</v>
      </c>
      <c r="DG47" s="301">
        <v>1149.864</v>
      </c>
      <c r="DH47" s="301">
        <v>1310.6759999999999</v>
      </c>
      <c r="DI47" s="301">
        <v>1304.922</v>
      </c>
      <c r="DJ47" s="301">
        <v>1371.66</v>
      </c>
      <c r="DK47" s="301">
        <v>1369.866</v>
      </c>
      <c r="DL47" s="301">
        <v>1482.8879999999999</v>
      </c>
      <c r="DM47" s="301">
        <v>1490.7719999999999</v>
      </c>
      <c r="DN47" s="301">
        <v>1593.096</v>
      </c>
      <c r="DO47" s="301">
        <v>1714.116</v>
      </c>
      <c r="DP47" s="301">
        <v>1772.9339999999997</v>
      </c>
      <c r="DQ47" s="301">
        <v>1889.7539999999999</v>
      </c>
      <c r="DR47" s="301">
        <v>1742.508</v>
      </c>
      <c r="DS47" s="301">
        <v>1679.3999999999999</v>
      </c>
      <c r="DT47" s="301">
        <v>1752.81</v>
      </c>
      <c r="DU47" s="301">
        <v>1731.2280000000001</v>
      </c>
      <c r="DV47" s="301">
        <v>2077.9859999999999</v>
      </c>
      <c r="DW47" s="301">
        <v>1913.8980000000001</v>
      </c>
      <c r="DX47" s="301">
        <v>1840.8959999999997</v>
      </c>
      <c r="DY47" s="301">
        <v>2033.04</v>
      </c>
      <c r="DZ47" s="301">
        <v>2191.9140000000002</v>
      </c>
      <c r="EA47" s="301">
        <v>2246.652</v>
      </c>
      <c r="EB47" s="301">
        <v>2135.1660000000002</v>
      </c>
      <c r="EC47" s="301">
        <v>2359.9679999999998</v>
      </c>
      <c r="ED47" s="301">
        <v>2365.1999999999998</v>
      </c>
      <c r="EE47" s="301">
        <v>2506.1880000000001</v>
      </c>
      <c r="EF47" s="301">
        <v>2560.1040000000003</v>
      </c>
      <c r="EG47" s="301">
        <v>2549.5859999999998</v>
      </c>
      <c r="EH47" s="301">
        <v>2789.7719999999999</v>
      </c>
      <c r="EI47" s="301">
        <v>2694.84</v>
      </c>
      <c r="EJ47" s="301">
        <v>2850.654</v>
      </c>
      <c r="EK47" s="301">
        <v>2903.2020000000002</v>
      </c>
      <c r="EL47" s="301">
        <v>2820.0299999999997</v>
      </c>
      <c r="EM47" s="301">
        <v>3059.8139999999999</v>
      </c>
      <c r="EN47" s="301">
        <v>3023.2440000000001</v>
      </c>
      <c r="EO47" s="301">
        <v>2766.4920000000002</v>
      </c>
      <c r="EP47" s="301">
        <v>2749.4459999999999</v>
      </c>
      <c r="EQ47" s="301">
        <v>2153.0940000000001</v>
      </c>
      <c r="ER47" s="301">
        <v>2277.8760000000002</v>
      </c>
      <c r="ES47" s="301">
        <v>2209.6379999999999</v>
      </c>
      <c r="ET47" s="301">
        <v>2231.9520000000002</v>
      </c>
      <c r="EU47" s="301">
        <v>2059.482</v>
      </c>
      <c r="EV47" s="301">
        <v>1843.422</v>
      </c>
      <c r="EW47" s="301">
        <v>1773.402</v>
      </c>
      <c r="EX47" s="301">
        <v>1484.328</v>
      </c>
      <c r="EY47" s="301">
        <v>1573.0620000000001</v>
      </c>
      <c r="EZ47" s="301">
        <v>1496.634</v>
      </c>
      <c r="FA47" s="301">
        <v>1407.8519999999999</v>
      </c>
      <c r="FB47" s="301">
        <v>1382.2260000000001</v>
      </c>
      <c r="FC47" s="301">
        <v>1376.5440000000001</v>
      </c>
      <c r="FD47" s="301">
        <v>1463.5319999999999</v>
      </c>
      <c r="FE47" s="301">
        <v>1458.8220000000001</v>
      </c>
      <c r="FF47" s="301">
        <v>1582.7159999999999</v>
      </c>
      <c r="FG47" s="301">
        <v>1481.202</v>
      </c>
      <c r="FH47" s="301">
        <v>1552.7939999999999</v>
      </c>
      <c r="FI47" s="301">
        <v>1391.9760000000001</v>
      </c>
      <c r="FJ47" s="301">
        <v>1264.884</v>
      </c>
      <c r="FK47" s="301">
        <v>1350.9179999999999</v>
      </c>
      <c r="FL47" s="301">
        <v>1428.636</v>
      </c>
      <c r="FM47" s="301">
        <v>1288.5840000000001</v>
      </c>
      <c r="FN47" s="301">
        <v>1238.5740000000001</v>
      </c>
      <c r="FO47" s="301">
        <v>1228.7339999999999</v>
      </c>
      <c r="FP47" s="301">
        <v>1272.24</v>
      </c>
      <c r="FQ47" s="301">
        <v>1172.0520000000001</v>
      </c>
      <c r="FR47" s="301">
        <v>1240.2240000000002</v>
      </c>
      <c r="FS47" s="301">
        <v>1163.2439999999999</v>
      </c>
      <c r="FT47" s="301">
        <v>939.01200000000006</v>
      </c>
      <c r="FU47" s="301">
        <v>955.53</v>
      </c>
      <c r="FV47" s="301">
        <v>899.72400000000005</v>
      </c>
      <c r="FW47" s="301">
        <v>939.26400000000012</v>
      </c>
      <c r="FX47" s="301">
        <v>900.46800000000007</v>
      </c>
      <c r="FY47" s="301">
        <v>809.20799999999997</v>
      </c>
      <c r="FZ47" s="301">
        <v>773.44799999999987</v>
      </c>
      <c r="GA47" s="301">
        <v>759.90599999999995</v>
      </c>
      <c r="GB47" s="301">
        <v>876.93600000000004</v>
      </c>
      <c r="GC47" s="301">
        <v>744.48599999999999</v>
      </c>
      <c r="GD47" s="301">
        <v>771.42</v>
      </c>
      <c r="GE47" s="301">
        <v>785.49599999999998</v>
      </c>
      <c r="GF47" s="301">
        <v>705.24</v>
      </c>
      <c r="GG47" s="301">
        <v>728.26800000000003</v>
      </c>
      <c r="GH47" s="301">
        <v>775.01400000000012</v>
      </c>
      <c r="GI47" s="301">
        <v>744.048</v>
      </c>
      <c r="GJ47" s="301">
        <v>768.33600000000001</v>
      </c>
      <c r="GK47" s="301">
        <v>778.09799999999996</v>
      </c>
      <c r="GL47" s="301">
        <v>783.66000000000008</v>
      </c>
      <c r="GM47" s="301">
        <v>694.22399999999993</v>
      </c>
      <c r="GN47" s="301">
        <v>833.74800000000005</v>
      </c>
      <c r="GO47" s="301">
        <v>780.62999999999988</v>
      </c>
      <c r="GP47" s="301">
        <v>770.94</v>
      </c>
      <c r="GQ47" s="301">
        <v>785.53800000000001</v>
      </c>
      <c r="GR47" s="301">
        <v>754.32600000000002</v>
      </c>
      <c r="GS47" s="301">
        <v>778.91399999999999</v>
      </c>
      <c r="GT47" s="301">
        <v>820.53600000000006</v>
      </c>
      <c r="GU47" s="301">
        <v>736.33799999999997</v>
      </c>
      <c r="GV47" s="301">
        <v>793.14599999999996</v>
      </c>
      <c r="GW47" s="301">
        <v>800.35799999999995</v>
      </c>
      <c r="GX47" s="301">
        <v>718.84800000000007</v>
      </c>
      <c r="GY47" s="301">
        <v>730.11599999999999</v>
      </c>
      <c r="GZ47" s="301">
        <v>814.99800000000005</v>
      </c>
      <c r="HA47" s="301">
        <v>818.93399999999997</v>
      </c>
      <c r="HB47" s="301">
        <v>842.06399999999996</v>
      </c>
      <c r="HC47" s="301">
        <v>855.822</v>
      </c>
      <c r="HD47" s="301">
        <v>815.61</v>
      </c>
      <c r="HE47" s="301">
        <v>900.47400000000005</v>
      </c>
      <c r="HF47" s="301">
        <v>867.33</v>
      </c>
      <c r="HG47" s="301">
        <v>813.76200000000006</v>
      </c>
      <c r="HH47" s="301">
        <v>903.30000000000007</v>
      </c>
      <c r="HI47" s="301">
        <v>802.96800000000007</v>
      </c>
      <c r="HJ47" s="301">
        <v>876.73799999999994</v>
      </c>
      <c r="HK47" s="301">
        <v>794.60400000000004</v>
      </c>
      <c r="HL47" s="301">
        <v>907.17599999999993</v>
      </c>
      <c r="HM47" s="301">
        <v>761.11200000000008</v>
      </c>
      <c r="HN47" s="301">
        <v>863.58</v>
      </c>
      <c r="HO47" s="301">
        <v>729.54</v>
      </c>
      <c r="HP47" s="333">
        <v>736.09800000000007</v>
      </c>
      <c r="HQ47" s="333">
        <v>700.71600000000001</v>
      </c>
      <c r="HR47" s="333">
        <v>727.21199999999999</v>
      </c>
      <c r="HS47" s="333">
        <v>704.09999999999991</v>
      </c>
      <c r="HT47" s="333">
        <v>656.08799999999997</v>
      </c>
      <c r="HU47" s="333">
        <v>602.55600000000004</v>
      </c>
      <c r="HV47" s="301">
        <v>690.64200000000005</v>
      </c>
      <c r="HW47" s="301">
        <v>607.08000000000004</v>
      </c>
      <c r="HX47" s="301">
        <v>474.25200000000001</v>
      </c>
      <c r="HY47" s="301">
        <v>376.62</v>
      </c>
      <c r="HZ47" s="301">
        <v>547.03800000000001</v>
      </c>
      <c r="IA47" s="301">
        <v>591.90000000000009</v>
      </c>
      <c r="IB47" s="301">
        <v>563.72399999999993</v>
      </c>
      <c r="IC47" s="301">
        <v>500.68200000000002</v>
      </c>
      <c r="ID47" s="301">
        <v>264.18</v>
      </c>
      <c r="IE47" s="301">
        <v>482.67599999999999</v>
      </c>
      <c r="IF47" s="301">
        <v>422.22</v>
      </c>
      <c r="IG47" s="301">
        <v>277.17</v>
      </c>
      <c r="IH47" s="301">
        <v>142.91399999999999</v>
      </c>
      <c r="II47" s="301">
        <v>83.358000000000004</v>
      </c>
      <c r="IJ47" s="301">
        <v>106.85400000000001</v>
      </c>
      <c r="IK47" s="301">
        <v>78.804000000000002</v>
      </c>
      <c r="IL47" s="301">
        <v>81.12</v>
      </c>
      <c r="IM47" s="301">
        <v>304.79399999999998</v>
      </c>
      <c r="IN47" s="333">
        <v>284.86199999999997</v>
      </c>
      <c r="IO47" s="333">
        <v>295.26</v>
      </c>
      <c r="IP47" s="333">
        <v>278.06400000000002</v>
      </c>
      <c r="IQ47" s="333">
        <v>284.82599999999996</v>
      </c>
      <c r="IR47" s="333">
        <v>247.72799999999998</v>
      </c>
      <c r="IS47" s="333">
        <v>291.35399999999998</v>
      </c>
      <c r="IT47" s="333">
        <v>237.79199999999997</v>
      </c>
      <c r="IU47" s="333">
        <v>237.798</v>
      </c>
      <c r="IV47" s="333">
        <v>280.93799999999999</v>
      </c>
      <c r="IW47" s="334">
        <v>210.09200000000001</v>
      </c>
      <c r="IX47" s="334">
        <v>381.23599999999999</v>
      </c>
      <c r="IY47" s="334">
        <v>328.5</v>
      </c>
      <c r="IZ47" s="334">
        <v>345.01</v>
      </c>
      <c r="JA47" s="334">
        <v>373.404</v>
      </c>
      <c r="JB47" s="334">
        <v>397.09800000000001</v>
      </c>
      <c r="JC47" s="334">
        <v>395.35599999999999</v>
      </c>
      <c r="JD47" s="334">
        <v>376.03800000000001</v>
      </c>
      <c r="JE47" s="334">
        <v>368.25200000000001</v>
      </c>
      <c r="JF47" s="334">
        <v>412.04199999999997</v>
      </c>
      <c r="JG47" s="334">
        <v>376.95400000000001</v>
      </c>
      <c r="JH47" s="334">
        <v>335.142</v>
      </c>
      <c r="JI47" s="334">
        <v>397.52800000000002</v>
      </c>
      <c r="JJ47" s="334">
        <v>444.98200000000003</v>
      </c>
      <c r="JK47" s="335">
        <v>393.846</v>
      </c>
    </row>
    <row r="48" spans="1:271" x14ac:dyDescent="0.25">
      <c r="A48" s="303" t="s">
        <v>68</v>
      </c>
      <c r="B48" s="304">
        <v>13004.01</v>
      </c>
      <c r="C48" s="304">
        <v>12968.976000000001</v>
      </c>
      <c r="D48" s="304">
        <v>14275.632</v>
      </c>
      <c r="E48" s="304">
        <v>13934.136000000002</v>
      </c>
      <c r="F48" s="304">
        <v>14154.797999999999</v>
      </c>
      <c r="G48" s="304">
        <v>13800.96</v>
      </c>
      <c r="H48" s="304">
        <v>14048.741999999998</v>
      </c>
      <c r="I48" s="304">
        <v>13955.73</v>
      </c>
      <c r="J48" s="304">
        <v>13237.673999999999</v>
      </c>
      <c r="K48" s="304">
        <v>13429.158000000001</v>
      </c>
      <c r="L48" s="304">
        <v>13185.341999999999</v>
      </c>
      <c r="M48" s="304">
        <v>12818.202000000001</v>
      </c>
      <c r="N48" s="304">
        <v>13788.665999999999</v>
      </c>
      <c r="O48" s="304">
        <v>12081.761999999999</v>
      </c>
      <c r="P48" s="304">
        <v>13042.41</v>
      </c>
      <c r="Q48" s="304">
        <v>12844.199999999999</v>
      </c>
      <c r="R48" s="304">
        <v>12708.402</v>
      </c>
      <c r="S48" s="304">
        <v>12322.398000000001</v>
      </c>
      <c r="T48" s="304">
        <v>14570.838</v>
      </c>
      <c r="U48" s="304">
        <v>12691.854000000001</v>
      </c>
      <c r="V48" s="304">
        <v>13745.394</v>
      </c>
      <c r="W48" s="304">
        <v>13593.300000000001</v>
      </c>
      <c r="X48" s="304">
        <v>13118.496000000001</v>
      </c>
      <c r="Y48" s="304">
        <v>13077.99</v>
      </c>
      <c r="Z48" s="304">
        <v>12878.724000000002</v>
      </c>
      <c r="AA48" s="304">
        <v>12420.036</v>
      </c>
      <c r="AB48" s="304">
        <v>13790.52</v>
      </c>
      <c r="AC48" s="304">
        <v>12720.078</v>
      </c>
      <c r="AD48" s="304">
        <v>13007.130000000001</v>
      </c>
      <c r="AE48" s="304">
        <v>13083.761999999999</v>
      </c>
      <c r="AF48" s="304">
        <v>13577.645999999999</v>
      </c>
      <c r="AG48" s="304">
        <v>13457.807999999999</v>
      </c>
      <c r="AH48" s="304">
        <v>13373.49</v>
      </c>
      <c r="AI48" s="304">
        <v>13421.189999999999</v>
      </c>
      <c r="AJ48" s="304">
        <v>13634.304</v>
      </c>
      <c r="AK48" s="304">
        <v>13618.518</v>
      </c>
      <c r="AL48" s="304">
        <v>13337.43</v>
      </c>
      <c r="AM48" s="304">
        <v>14130.905999999999</v>
      </c>
      <c r="AN48" s="304">
        <v>14434.025999999998</v>
      </c>
      <c r="AO48" s="304">
        <v>13422.281999999999</v>
      </c>
      <c r="AP48" s="304">
        <v>14192.838</v>
      </c>
      <c r="AQ48" s="304">
        <v>14252.016</v>
      </c>
      <c r="AR48" s="304">
        <v>14054.382</v>
      </c>
      <c r="AS48" s="304">
        <v>13758.420000000002</v>
      </c>
      <c r="AT48" s="304">
        <v>13549.506000000001</v>
      </c>
      <c r="AU48" s="304">
        <v>13290.150000000001</v>
      </c>
      <c r="AV48" s="304">
        <v>13606.403999999999</v>
      </c>
      <c r="AW48" s="304">
        <v>12417.588</v>
      </c>
      <c r="AX48" s="304">
        <v>12223.637999999999</v>
      </c>
      <c r="AY48" s="304">
        <v>11911.962</v>
      </c>
      <c r="AZ48" s="304">
        <v>12403.812000000002</v>
      </c>
      <c r="BA48" s="304">
        <v>12092.052</v>
      </c>
      <c r="BB48" s="304">
        <v>12469.356</v>
      </c>
      <c r="BC48" s="304">
        <v>12442.968000000001</v>
      </c>
      <c r="BD48" s="304">
        <v>12078.198</v>
      </c>
      <c r="BE48" s="304">
        <v>12505.050000000001</v>
      </c>
      <c r="BF48" s="304">
        <v>12452.01</v>
      </c>
      <c r="BG48" s="304">
        <v>12459.630000000001</v>
      </c>
      <c r="BH48" s="304">
        <v>12518.97</v>
      </c>
      <c r="BI48" s="304">
        <v>11934.371999999999</v>
      </c>
      <c r="BJ48" s="304">
        <v>11551.956</v>
      </c>
      <c r="BK48" s="304">
        <v>11573.064</v>
      </c>
      <c r="BL48" s="304">
        <v>12292.23</v>
      </c>
      <c r="BM48" s="304">
        <v>12695.988000000001</v>
      </c>
      <c r="BN48" s="304">
        <v>13175.856</v>
      </c>
      <c r="BO48" s="304">
        <v>13030.452000000001</v>
      </c>
      <c r="BP48" s="304">
        <v>13087.86</v>
      </c>
      <c r="BQ48" s="304">
        <v>13143.317999999999</v>
      </c>
      <c r="BR48" s="304">
        <v>12965.544</v>
      </c>
      <c r="BS48" s="304">
        <v>13087.272000000001</v>
      </c>
      <c r="BT48" s="304">
        <v>13296.84</v>
      </c>
      <c r="BU48" s="304">
        <v>13176.942000000001</v>
      </c>
      <c r="BV48" s="304">
        <v>13420.584000000001</v>
      </c>
      <c r="BW48" s="304">
        <v>13220.369999999999</v>
      </c>
      <c r="BX48" s="304">
        <v>14141.976000000001</v>
      </c>
      <c r="BY48" s="304">
        <v>13507.415999999999</v>
      </c>
      <c r="BZ48" s="304">
        <v>14257.848</v>
      </c>
      <c r="CA48" s="304">
        <v>14255.838</v>
      </c>
      <c r="CB48" s="304">
        <v>14602.998</v>
      </c>
      <c r="CC48" s="304">
        <v>14510.868</v>
      </c>
      <c r="CD48" s="304">
        <v>14261.946</v>
      </c>
      <c r="CE48" s="304">
        <v>14252.099999999999</v>
      </c>
      <c r="CF48" s="304">
        <v>15478.841999999999</v>
      </c>
      <c r="CG48" s="304">
        <v>14226.936</v>
      </c>
      <c r="CH48" s="304">
        <v>14067.378000000001</v>
      </c>
      <c r="CI48" s="304">
        <v>14121.96</v>
      </c>
      <c r="CJ48" s="304">
        <v>15013.044</v>
      </c>
      <c r="CK48" s="304">
        <v>15469.763999999999</v>
      </c>
      <c r="CL48" s="304">
        <v>16944.93</v>
      </c>
      <c r="CM48" s="304">
        <v>15713.741999999998</v>
      </c>
      <c r="CN48" s="304">
        <v>15361.59</v>
      </c>
      <c r="CO48" s="304">
        <v>16105.452000000001</v>
      </c>
      <c r="CP48" s="304">
        <v>15428.202000000001</v>
      </c>
      <c r="CQ48" s="304">
        <v>16940.436000000002</v>
      </c>
      <c r="CR48" s="304">
        <v>15984.48</v>
      </c>
      <c r="CS48" s="304">
        <v>15514.644</v>
      </c>
      <c r="CT48" s="304">
        <v>16353.66</v>
      </c>
      <c r="CU48" s="304">
        <v>16313.184000000001</v>
      </c>
      <c r="CV48" s="304">
        <v>17798.142</v>
      </c>
      <c r="CW48" s="304">
        <v>17714.898000000001</v>
      </c>
      <c r="CX48" s="304">
        <v>18905.658000000003</v>
      </c>
      <c r="CY48" s="304">
        <v>17500.344000000001</v>
      </c>
      <c r="CZ48" s="304">
        <v>16946.988000000001</v>
      </c>
      <c r="DA48" s="304">
        <v>16446.576000000001</v>
      </c>
      <c r="DB48" s="304">
        <v>16233.743999999999</v>
      </c>
      <c r="DC48" s="304">
        <v>17221.439999999999</v>
      </c>
      <c r="DD48" s="304">
        <v>14967.335999999999</v>
      </c>
      <c r="DE48" s="304">
        <v>15033.036</v>
      </c>
      <c r="DF48" s="304">
        <v>14478.474000000002</v>
      </c>
      <c r="DG48" s="304">
        <v>15687.516</v>
      </c>
      <c r="DH48" s="304">
        <v>17331.726000000002</v>
      </c>
      <c r="DI48" s="304">
        <v>17629.745999999999</v>
      </c>
      <c r="DJ48" s="304">
        <v>17502.516</v>
      </c>
      <c r="DK48" s="304">
        <v>17087.184000000001</v>
      </c>
      <c r="DL48" s="304">
        <v>17177.207999999999</v>
      </c>
      <c r="DM48" s="304">
        <v>17626.878000000001</v>
      </c>
      <c r="DN48" s="304">
        <v>17048.273999999998</v>
      </c>
      <c r="DO48" s="304">
        <v>16980.87</v>
      </c>
      <c r="DP48" s="304">
        <v>17470.236000000001</v>
      </c>
      <c r="DQ48" s="304">
        <v>17052.131999999998</v>
      </c>
      <c r="DR48" s="304">
        <v>17528.892</v>
      </c>
      <c r="DS48" s="304">
        <v>16873.721999999998</v>
      </c>
      <c r="DT48" s="304">
        <v>18409.025999999998</v>
      </c>
      <c r="DU48" s="304">
        <v>18233.652000000002</v>
      </c>
      <c r="DV48" s="304">
        <v>19114.944</v>
      </c>
      <c r="DW48" s="304">
        <v>18490.775999999998</v>
      </c>
      <c r="DX48" s="304">
        <v>19405.11</v>
      </c>
      <c r="DY48" s="304">
        <v>20032.241999999998</v>
      </c>
      <c r="DZ48" s="304">
        <v>20476.53</v>
      </c>
      <c r="EA48" s="304">
        <v>20635.698</v>
      </c>
      <c r="EB48" s="304">
        <v>20929.062000000002</v>
      </c>
      <c r="EC48" s="304">
        <v>20203.457999999999</v>
      </c>
      <c r="ED48" s="304">
        <v>20364.942000000003</v>
      </c>
      <c r="EE48" s="304">
        <v>20517.726000000002</v>
      </c>
      <c r="EF48" s="304">
        <v>21773.076000000001</v>
      </c>
      <c r="EG48" s="304">
        <v>21420.324000000001</v>
      </c>
      <c r="EH48" s="304">
        <v>22497.144</v>
      </c>
      <c r="EI48" s="304">
        <v>21982.044000000002</v>
      </c>
      <c r="EJ48" s="304">
        <v>22578.977999999999</v>
      </c>
      <c r="EK48" s="304">
        <v>22597.295999999998</v>
      </c>
      <c r="EL48" s="304">
        <v>22281.995999999999</v>
      </c>
      <c r="EM48" s="304">
        <v>22591.817999999999</v>
      </c>
      <c r="EN48" s="304">
        <v>21550.050000000003</v>
      </c>
      <c r="EO48" s="304">
        <v>20414.633999999998</v>
      </c>
      <c r="EP48" s="304">
        <v>21657.54</v>
      </c>
      <c r="EQ48" s="304">
        <v>20936.189999999999</v>
      </c>
      <c r="ER48" s="304">
        <v>21721.974000000002</v>
      </c>
      <c r="ES48" s="304">
        <v>21234.576000000001</v>
      </c>
      <c r="ET48" s="304">
        <v>22003.937999999998</v>
      </c>
      <c r="EU48" s="304">
        <v>20779.596000000001</v>
      </c>
      <c r="EV48" s="304">
        <v>20196.905999999999</v>
      </c>
      <c r="EW48" s="304">
        <v>19125.504000000001</v>
      </c>
      <c r="EX48" s="304">
        <v>18640.518</v>
      </c>
      <c r="EY48" s="304">
        <v>18171.732</v>
      </c>
      <c r="EZ48" s="304">
        <v>19230.87</v>
      </c>
      <c r="FA48" s="304">
        <v>16532.376</v>
      </c>
      <c r="FB48" s="304">
        <v>16440.21</v>
      </c>
      <c r="FC48" s="304">
        <v>15942.036</v>
      </c>
      <c r="FD48" s="304">
        <v>16771.68</v>
      </c>
      <c r="FE48" s="304">
        <v>16654.362000000001</v>
      </c>
      <c r="FF48" s="304">
        <v>16969.205999999998</v>
      </c>
      <c r="FG48" s="304">
        <v>16309.974000000002</v>
      </c>
      <c r="FH48" s="304">
        <v>16717.902000000002</v>
      </c>
      <c r="FI48" s="304">
        <v>17145.306</v>
      </c>
      <c r="FJ48" s="304">
        <v>16681.878000000001</v>
      </c>
      <c r="FK48" s="304">
        <v>17730.636000000002</v>
      </c>
      <c r="FL48" s="304">
        <v>17017.493999999999</v>
      </c>
      <c r="FM48" s="304">
        <v>16518.047999999999</v>
      </c>
      <c r="FN48" s="304">
        <v>16409.466</v>
      </c>
      <c r="FO48" s="304">
        <v>16497.653999999999</v>
      </c>
      <c r="FP48" s="304">
        <v>18022.727999999999</v>
      </c>
      <c r="FQ48" s="304">
        <v>17638.332000000002</v>
      </c>
      <c r="FR48" s="304">
        <v>17757.065999999999</v>
      </c>
      <c r="FS48" s="304">
        <v>17696.921999999999</v>
      </c>
      <c r="FT48" s="304">
        <v>18202.866000000002</v>
      </c>
      <c r="FU48" s="304">
        <v>18540.204000000002</v>
      </c>
      <c r="FV48" s="304">
        <v>17852.094000000001</v>
      </c>
      <c r="FW48" s="304">
        <v>19088.856</v>
      </c>
      <c r="FX48" s="304">
        <v>19013.886000000002</v>
      </c>
      <c r="FY48" s="304">
        <v>18553.464</v>
      </c>
      <c r="FZ48" s="304">
        <v>19015.506000000001</v>
      </c>
      <c r="GA48" s="304">
        <v>19441.908000000003</v>
      </c>
      <c r="GB48" s="304">
        <v>20197.824000000001</v>
      </c>
      <c r="GC48" s="304">
        <v>20595.09</v>
      </c>
      <c r="GD48" s="304">
        <v>20966.37</v>
      </c>
      <c r="GE48" s="304">
        <v>20812.817999999999</v>
      </c>
      <c r="GF48" s="304">
        <v>21029.292000000001</v>
      </c>
      <c r="GG48" s="304">
        <v>21415.955999999998</v>
      </c>
      <c r="GH48" s="304">
        <v>21112.841999999997</v>
      </c>
      <c r="GI48" s="304">
        <v>22157.25</v>
      </c>
      <c r="GJ48" s="304">
        <v>21950.286</v>
      </c>
      <c r="GK48" s="304">
        <v>20652.425999999999</v>
      </c>
      <c r="GL48" s="304">
        <v>21284.94</v>
      </c>
      <c r="GM48" s="304">
        <v>20710.452000000001</v>
      </c>
      <c r="GN48" s="304">
        <v>22570.518</v>
      </c>
      <c r="GO48" s="304">
        <v>21604.344000000001</v>
      </c>
      <c r="GP48" s="304">
        <v>23992.332000000002</v>
      </c>
      <c r="GQ48" s="304">
        <v>22689.786</v>
      </c>
      <c r="GR48" s="304">
        <v>23209.205999999998</v>
      </c>
      <c r="GS48" s="304">
        <v>23840.795999999998</v>
      </c>
      <c r="GT48" s="304">
        <v>22421.82</v>
      </c>
      <c r="GU48" s="304">
        <v>24530.328000000001</v>
      </c>
      <c r="GV48" s="304">
        <v>23738.784</v>
      </c>
      <c r="GW48" s="304">
        <v>22606.164000000001</v>
      </c>
      <c r="GX48" s="304">
        <v>23274.023999999998</v>
      </c>
      <c r="GY48" s="304">
        <v>22820.982</v>
      </c>
      <c r="GZ48" s="304">
        <v>25318.398000000001</v>
      </c>
      <c r="HA48" s="304">
        <v>24086.736000000001</v>
      </c>
      <c r="HB48" s="304">
        <v>25087.277999999998</v>
      </c>
      <c r="HC48" s="304">
        <v>24453.756000000001</v>
      </c>
      <c r="HD48" s="304">
        <v>26145.642</v>
      </c>
      <c r="HE48" s="304">
        <v>25584.198000000004</v>
      </c>
      <c r="HF48" s="304">
        <v>24424.182000000001</v>
      </c>
      <c r="HG48" s="304">
        <v>26076.875999999997</v>
      </c>
      <c r="HH48" s="304">
        <v>26831.748</v>
      </c>
      <c r="HI48" s="304">
        <v>24318.594000000001</v>
      </c>
      <c r="HJ48" s="304">
        <v>25281.438000000002</v>
      </c>
      <c r="HK48" s="304">
        <v>24252.186000000002</v>
      </c>
      <c r="HL48" s="304">
        <v>27045.192000000003</v>
      </c>
      <c r="HM48" s="304">
        <v>25584.845999999998</v>
      </c>
      <c r="HN48" s="304">
        <v>27105.347999999998</v>
      </c>
      <c r="HO48" s="304">
        <v>25272.425999999999</v>
      </c>
      <c r="HP48" s="304">
        <v>27455.07</v>
      </c>
      <c r="HQ48" s="304">
        <v>26102.712</v>
      </c>
      <c r="HR48" s="304">
        <v>25342.031999999999</v>
      </c>
      <c r="HS48" s="304">
        <v>26780.196</v>
      </c>
      <c r="HT48" s="304">
        <v>26701.788</v>
      </c>
      <c r="HU48" s="304">
        <v>25310.196</v>
      </c>
      <c r="HV48" s="304">
        <v>25727.477999999996</v>
      </c>
      <c r="HW48" s="304">
        <v>25863.347999999998</v>
      </c>
      <c r="HX48" s="304">
        <v>27372.972000000002</v>
      </c>
      <c r="HY48" s="304">
        <v>25193.466</v>
      </c>
      <c r="HZ48" s="304">
        <v>26842.541999999998</v>
      </c>
      <c r="IA48" s="304">
        <v>26748.131999999998</v>
      </c>
      <c r="IB48" s="304">
        <v>27620.748</v>
      </c>
      <c r="IC48" s="304">
        <v>27526.878000000001</v>
      </c>
      <c r="ID48" s="304">
        <v>26699.772000000004</v>
      </c>
      <c r="IE48" s="304">
        <v>27538.608</v>
      </c>
      <c r="IF48" s="304">
        <v>27936.912</v>
      </c>
      <c r="IG48" s="304">
        <v>27153.263999999999</v>
      </c>
      <c r="IH48" s="304">
        <v>27929.100000000002</v>
      </c>
      <c r="II48" s="304">
        <v>27028.986000000001</v>
      </c>
      <c r="IJ48" s="304">
        <v>31196.742000000002</v>
      </c>
      <c r="IK48" s="304">
        <v>29304.737999999998</v>
      </c>
      <c r="IL48" s="304">
        <v>30989.928</v>
      </c>
      <c r="IM48" s="304">
        <v>30108.227999999996</v>
      </c>
      <c r="IN48" s="12">
        <v>30582.03</v>
      </c>
      <c r="IO48" s="12">
        <v>31196.142</v>
      </c>
      <c r="IP48" s="12">
        <v>29543.088</v>
      </c>
      <c r="IQ48" s="12">
        <v>31035.557999999997</v>
      </c>
      <c r="IR48" s="12">
        <v>31787.154000000002</v>
      </c>
      <c r="IS48" s="12">
        <v>29887.536</v>
      </c>
      <c r="IT48" s="12">
        <v>30324.629999999997</v>
      </c>
      <c r="IU48" s="12">
        <v>29906.214</v>
      </c>
      <c r="IV48" s="12">
        <v>31747.482000000004</v>
      </c>
      <c r="IW48" s="12">
        <v>31059.35</v>
      </c>
      <c r="IX48" s="12">
        <v>30963.441999999999</v>
      </c>
      <c r="IY48" s="12">
        <v>30474.777999999998</v>
      </c>
      <c r="IZ48" s="12">
        <v>29469.882000000001</v>
      </c>
      <c r="JA48" s="12">
        <v>29681.99</v>
      </c>
      <c r="JB48" s="12">
        <v>31049.35</v>
      </c>
      <c r="JC48" s="12">
        <v>31182.248</v>
      </c>
      <c r="JD48" s="12">
        <v>31957.108</v>
      </c>
      <c r="JE48" s="12">
        <v>33003.563999999998</v>
      </c>
      <c r="JF48" s="12">
        <v>34716.25</v>
      </c>
      <c r="JG48" s="12">
        <v>34923.351999999999</v>
      </c>
      <c r="JH48" s="12">
        <v>35845.167999999998</v>
      </c>
      <c r="JI48" s="12">
        <v>38325.877999999997</v>
      </c>
      <c r="JJ48" s="12">
        <v>40174.18</v>
      </c>
      <c r="JK48" s="336">
        <v>40918.974000000002</v>
      </c>
    </row>
    <row r="49" spans="1:673" x14ac:dyDescent="0.25">
      <c r="A49" s="303" t="s">
        <v>69</v>
      </c>
      <c r="B49" s="301">
        <v>7989.6180000000004</v>
      </c>
      <c r="C49" s="301">
        <v>8066.5499999999993</v>
      </c>
      <c r="D49" s="301">
        <v>9260.19</v>
      </c>
      <c r="E49" s="301">
        <v>8393.2860000000001</v>
      </c>
      <c r="F49" s="301">
        <v>9140.82</v>
      </c>
      <c r="G49" s="301">
        <v>8619.27</v>
      </c>
      <c r="H49" s="301">
        <v>8892.0239999999994</v>
      </c>
      <c r="I49" s="301">
        <v>9632.6219999999994</v>
      </c>
      <c r="J49" s="301">
        <v>8500.1219999999994</v>
      </c>
      <c r="K49" s="301">
        <v>8995.7100000000009</v>
      </c>
      <c r="L49" s="301">
        <v>9424.2180000000008</v>
      </c>
      <c r="M49" s="301">
        <v>8202.1139999999996</v>
      </c>
      <c r="N49" s="301">
        <v>8195.5259999999998</v>
      </c>
      <c r="O49" s="301">
        <v>7314.3719999999994</v>
      </c>
      <c r="P49" s="301">
        <v>8457.3240000000005</v>
      </c>
      <c r="Q49" s="301">
        <v>7637.2019999999993</v>
      </c>
      <c r="R49" s="301">
        <v>8259.0839999999989</v>
      </c>
      <c r="S49" s="301">
        <v>7894.7999999999993</v>
      </c>
      <c r="T49" s="301">
        <v>8216.4000000000015</v>
      </c>
      <c r="U49" s="301">
        <v>8464.7880000000005</v>
      </c>
      <c r="V49" s="301">
        <v>8812.1819999999989</v>
      </c>
      <c r="W49" s="301">
        <v>9343.23</v>
      </c>
      <c r="X49" s="301">
        <v>9260.0519999999997</v>
      </c>
      <c r="Y49" s="301">
        <v>9495.7920000000013</v>
      </c>
      <c r="Z49" s="301">
        <v>9598.26</v>
      </c>
      <c r="AA49" s="301">
        <v>9549.6239999999998</v>
      </c>
      <c r="AB49" s="301">
        <v>10548.954000000002</v>
      </c>
      <c r="AC49" s="301">
        <v>9731.9519999999993</v>
      </c>
      <c r="AD49" s="301">
        <v>10929.612000000001</v>
      </c>
      <c r="AE49" s="301">
        <v>10183.476000000001</v>
      </c>
      <c r="AF49" s="301">
        <v>10603.596000000001</v>
      </c>
      <c r="AG49" s="301">
        <v>10673.706</v>
      </c>
      <c r="AH49" s="301">
        <v>10868.034</v>
      </c>
      <c r="AI49" s="301">
        <v>11368.451999999999</v>
      </c>
      <c r="AJ49" s="301">
        <v>11066.261999999999</v>
      </c>
      <c r="AK49" s="301">
        <v>11019.294</v>
      </c>
      <c r="AL49" s="301">
        <v>11491.962</v>
      </c>
      <c r="AM49" s="301">
        <v>11403.126</v>
      </c>
      <c r="AN49" s="301">
        <v>12438.27</v>
      </c>
      <c r="AO49" s="301">
        <v>12039.995999999999</v>
      </c>
      <c r="AP49" s="301">
        <v>12902.687999999998</v>
      </c>
      <c r="AQ49" s="301">
        <v>13409.82</v>
      </c>
      <c r="AR49" s="301">
        <v>12602.939999999999</v>
      </c>
      <c r="AS49" s="301">
        <v>12445.067999999999</v>
      </c>
      <c r="AT49" s="301">
        <v>13378.686</v>
      </c>
      <c r="AU49" s="301">
        <v>13435.457999999999</v>
      </c>
      <c r="AV49" s="301">
        <v>12913.523999999999</v>
      </c>
      <c r="AW49" s="301">
        <v>11626.302</v>
      </c>
      <c r="AX49" s="301">
        <v>11213.502</v>
      </c>
      <c r="AY49" s="301">
        <v>11299.314</v>
      </c>
      <c r="AZ49" s="301">
        <v>12630.642</v>
      </c>
      <c r="BA49" s="301">
        <v>12064.578</v>
      </c>
      <c r="BB49" s="301">
        <v>13032.366000000002</v>
      </c>
      <c r="BC49" s="301">
        <v>12770.880000000001</v>
      </c>
      <c r="BD49" s="301">
        <v>13811.165999999999</v>
      </c>
      <c r="BE49" s="301">
        <v>13033.98</v>
      </c>
      <c r="BF49" s="301">
        <v>13971.420000000002</v>
      </c>
      <c r="BG49" s="301">
        <v>14484.815999999999</v>
      </c>
      <c r="BH49" s="301">
        <v>14719.128000000001</v>
      </c>
      <c r="BI49" s="301">
        <v>13676.388000000001</v>
      </c>
      <c r="BJ49" s="301">
        <v>13110.425999999999</v>
      </c>
      <c r="BK49" s="301">
        <v>14753.952000000001</v>
      </c>
      <c r="BL49" s="301">
        <v>16118.376</v>
      </c>
      <c r="BM49" s="301">
        <v>15492.576000000001</v>
      </c>
      <c r="BN49" s="301">
        <v>17597.226000000002</v>
      </c>
      <c r="BO49" s="301">
        <v>17553.09</v>
      </c>
      <c r="BP49" s="301">
        <v>17825.79</v>
      </c>
      <c r="BQ49" s="301">
        <v>18317.417999999998</v>
      </c>
      <c r="BR49" s="301">
        <v>18844.704000000002</v>
      </c>
      <c r="BS49" s="301">
        <v>18919.596000000001</v>
      </c>
      <c r="BT49" s="301">
        <v>18599.334000000003</v>
      </c>
      <c r="BU49" s="301">
        <v>16861.164000000001</v>
      </c>
      <c r="BV49" s="301">
        <v>16253.633999999998</v>
      </c>
      <c r="BW49" s="301">
        <v>18277.871999999999</v>
      </c>
      <c r="BX49" s="301">
        <v>18026.256000000001</v>
      </c>
      <c r="BY49" s="301">
        <v>17916.894</v>
      </c>
      <c r="BZ49" s="301">
        <v>19976.189999999999</v>
      </c>
      <c r="CA49" s="301">
        <v>18961.482</v>
      </c>
      <c r="CB49" s="301">
        <v>19761.851999999999</v>
      </c>
      <c r="CC49" s="301">
        <v>20545.794000000002</v>
      </c>
      <c r="CD49" s="301">
        <v>18671.46</v>
      </c>
      <c r="CE49" s="301">
        <v>18737.64</v>
      </c>
      <c r="CF49" s="301">
        <v>19169.88</v>
      </c>
      <c r="CG49" s="301">
        <v>16944.425999999999</v>
      </c>
      <c r="CH49" s="301">
        <v>18630.954000000002</v>
      </c>
      <c r="CI49" s="301">
        <v>19305.900000000001</v>
      </c>
      <c r="CJ49" s="301">
        <v>19986.366000000002</v>
      </c>
      <c r="CK49" s="301">
        <v>20415.894</v>
      </c>
      <c r="CL49" s="301">
        <v>21647.91</v>
      </c>
      <c r="CM49" s="301">
        <v>22456.074000000001</v>
      </c>
      <c r="CN49" s="301">
        <v>24296.436000000002</v>
      </c>
      <c r="CO49" s="301">
        <v>25893.227999999996</v>
      </c>
      <c r="CP49" s="301">
        <v>26556.665999999997</v>
      </c>
      <c r="CQ49" s="301">
        <v>27218.634000000002</v>
      </c>
      <c r="CR49" s="301">
        <v>26319.443999999996</v>
      </c>
      <c r="CS49" s="301">
        <v>22802.772000000001</v>
      </c>
      <c r="CT49" s="301">
        <v>23452.692000000003</v>
      </c>
      <c r="CU49" s="301">
        <v>24246.108</v>
      </c>
      <c r="CV49" s="301">
        <v>26872.080000000002</v>
      </c>
      <c r="CW49" s="301">
        <v>26214.875999999997</v>
      </c>
      <c r="CX49" s="301">
        <v>26360.418000000001</v>
      </c>
      <c r="CY49" s="301">
        <v>26222.129999999997</v>
      </c>
      <c r="CZ49" s="301">
        <v>27477.311999999998</v>
      </c>
      <c r="DA49" s="301">
        <v>26343.924000000003</v>
      </c>
      <c r="DB49" s="301">
        <v>25733.322</v>
      </c>
      <c r="DC49" s="301">
        <v>26277.665999999997</v>
      </c>
      <c r="DD49" s="301">
        <v>26702.585999999996</v>
      </c>
      <c r="DE49" s="301">
        <v>25163.976000000002</v>
      </c>
      <c r="DF49" s="301">
        <v>24182.97</v>
      </c>
      <c r="DG49" s="301">
        <v>24602.232000000004</v>
      </c>
      <c r="DH49" s="301">
        <v>26396.993999999999</v>
      </c>
      <c r="DI49" s="301">
        <v>25194.462</v>
      </c>
      <c r="DJ49" s="301">
        <v>26356.026000000002</v>
      </c>
      <c r="DK49" s="301">
        <v>27507.845999999998</v>
      </c>
      <c r="DL49" s="301">
        <v>29402.813999999998</v>
      </c>
      <c r="DM49" s="301">
        <v>29887.986000000001</v>
      </c>
      <c r="DN49" s="301">
        <v>28960.806000000004</v>
      </c>
      <c r="DO49" s="301">
        <v>30271.146000000001</v>
      </c>
      <c r="DP49" s="301">
        <v>30851.777999999998</v>
      </c>
      <c r="DQ49" s="301">
        <v>27919.272000000004</v>
      </c>
      <c r="DR49" s="301">
        <v>28640.237999999998</v>
      </c>
      <c r="DS49" s="301">
        <v>27613.313999999998</v>
      </c>
      <c r="DT49" s="301">
        <v>30474.881999999998</v>
      </c>
      <c r="DU49" s="301">
        <v>30524.79</v>
      </c>
      <c r="DV49" s="301">
        <v>34781.483999999997</v>
      </c>
      <c r="DW49" s="301">
        <v>34124.79</v>
      </c>
      <c r="DX49" s="301">
        <v>34966.902000000002</v>
      </c>
      <c r="DY49" s="301">
        <v>36902.736000000004</v>
      </c>
      <c r="DZ49" s="301">
        <v>36806.909999999996</v>
      </c>
      <c r="EA49" s="301">
        <v>37579.14</v>
      </c>
      <c r="EB49" s="301">
        <v>38565.995999999999</v>
      </c>
      <c r="EC49" s="301">
        <v>35969.915999999997</v>
      </c>
      <c r="ED49" s="301">
        <v>37949.154000000002</v>
      </c>
      <c r="EE49" s="301">
        <v>40698.773999999998</v>
      </c>
      <c r="EF49" s="301">
        <v>44733.203999999998</v>
      </c>
      <c r="EG49" s="301">
        <v>44106.281999999999</v>
      </c>
      <c r="EH49" s="301">
        <v>48708.149999999994</v>
      </c>
      <c r="EI49" s="301">
        <v>47595.816000000006</v>
      </c>
      <c r="EJ49" s="301">
        <v>50179.224000000002</v>
      </c>
      <c r="EK49" s="301">
        <v>52705.686000000002</v>
      </c>
      <c r="EL49" s="301">
        <v>49993.350000000006</v>
      </c>
      <c r="EM49" s="301">
        <v>51083.501999999993</v>
      </c>
      <c r="EN49" s="301">
        <v>49372.626000000004</v>
      </c>
      <c r="EO49" s="301">
        <v>47455.266000000003</v>
      </c>
      <c r="EP49" s="301">
        <v>50699.231999999996</v>
      </c>
      <c r="EQ49" s="301">
        <v>53323.722000000002</v>
      </c>
      <c r="ER49" s="301">
        <v>54453.822</v>
      </c>
      <c r="ES49" s="301">
        <v>56767.103999999992</v>
      </c>
      <c r="ET49" s="301">
        <v>55797.251999999993</v>
      </c>
      <c r="EU49" s="301">
        <v>55390.907999999996</v>
      </c>
      <c r="EV49" s="301">
        <v>59557.392</v>
      </c>
      <c r="EW49" s="301">
        <v>62843.447999999997</v>
      </c>
      <c r="EX49" s="301">
        <v>57636.581999999995</v>
      </c>
      <c r="EY49" s="301">
        <v>58903.212</v>
      </c>
      <c r="EZ49" s="301">
        <v>56824.493999999999</v>
      </c>
      <c r="FA49" s="301">
        <v>50539.433999999994</v>
      </c>
      <c r="FB49" s="301">
        <v>51561.762000000002</v>
      </c>
      <c r="FC49" s="301">
        <v>51141.372000000003</v>
      </c>
      <c r="FD49" s="301">
        <v>57114.018000000004</v>
      </c>
      <c r="FE49" s="301">
        <v>55209.953999999998</v>
      </c>
      <c r="FF49" s="301">
        <v>58310.94</v>
      </c>
      <c r="FG49" s="301">
        <v>55518.39</v>
      </c>
      <c r="FH49" s="301">
        <v>56459.052000000003</v>
      </c>
      <c r="FI49" s="301">
        <v>55936.554000000004</v>
      </c>
      <c r="FJ49" s="301">
        <v>55527.33</v>
      </c>
      <c r="FK49" s="301">
        <v>58353.774000000005</v>
      </c>
      <c r="FL49" s="301">
        <v>56120.574000000001</v>
      </c>
      <c r="FM49" s="301">
        <v>51731.58</v>
      </c>
      <c r="FN49" s="301">
        <v>50706.527999999998</v>
      </c>
      <c r="FO49" s="301">
        <v>49368.288</v>
      </c>
      <c r="FP49" s="301">
        <v>53018.97</v>
      </c>
      <c r="FQ49" s="301">
        <v>49407.504000000001</v>
      </c>
      <c r="FR49" s="301">
        <v>49296.768000000004</v>
      </c>
      <c r="FS49" s="301">
        <v>48911.453999999998</v>
      </c>
      <c r="FT49" s="301">
        <v>49665.947999999997</v>
      </c>
      <c r="FU49" s="301">
        <v>49297.782000000007</v>
      </c>
      <c r="FV49" s="301">
        <v>49059.767999999996</v>
      </c>
      <c r="FW49" s="301">
        <v>48060.186000000002</v>
      </c>
      <c r="FX49" s="301">
        <v>46601.088000000003</v>
      </c>
      <c r="FY49" s="301">
        <v>45063.504000000001</v>
      </c>
      <c r="FZ49" s="301">
        <v>43457.525999999998</v>
      </c>
      <c r="GA49" s="301">
        <v>43441.331999999995</v>
      </c>
      <c r="GB49" s="301">
        <v>43365.75</v>
      </c>
      <c r="GC49" s="301">
        <v>42201.983999999997</v>
      </c>
      <c r="GD49" s="301">
        <v>44797.752</v>
      </c>
      <c r="GE49" s="301">
        <v>41984.100000000006</v>
      </c>
      <c r="GF49" s="301">
        <v>44282.862000000001</v>
      </c>
      <c r="GG49" s="301">
        <v>44167.26</v>
      </c>
      <c r="GH49" s="301">
        <v>40749.75</v>
      </c>
      <c r="GI49" s="301">
        <v>41652.036</v>
      </c>
      <c r="GJ49" s="301">
        <v>43581.06</v>
      </c>
      <c r="GK49" s="301">
        <v>39567.455999999998</v>
      </c>
      <c r="GL49" s="301">
        <v>40743.822</v>
      </c>
      <c r="GM49" s="301">
        <v>41008.979999999996</v>
      </c>
      <c r="GN49" s="301">
        <v>41794.668000000005</v>
      </c>
      <c r="GO49" s="301">
        <v>41308.476000000002</v>
      </c>
      <c r="GP49" s="301">
        <v>43488.953999999998</v>
      </c>
      <c r="GQ49" s="301">
        <v>41090.736000000004</v>
      </c>
      <c r="GR49" s="301">
        <v>43098.258000000002</v>
      </c>
      <c r="GS49" s="301">
        <v>42708.06</v>
      </c>
      <c r="GT49" s="301">
        <v>41573.297999999995</v>
      </c>
      <c r="GU49" s="301">
        <v>42850.649999999994</v>
      </c>
      <c r="GV49" s="301">
        <v>42951.635999999999</v>
      </c>
      <c r="GW49" s="301">
        <v>39288.648000000001</v>
      </c>
      <c r="GX49" s="301">
        <v>39749.49</v>
      </c>
      <c r="GY49" s="301">
        <v>40513.865999999995</v>
      </c>
      <c r="GZ49" s="301">
        <v>43404.923999999999</v>
      </c>
      <c r="HA49" s="301">
        <v>41939.567999999999</v>
      </c>
      <c r="HB49" s="301">
        <v>44236.284</v>
      </c>
      <c r="HC49" s="301">
        <v>42076.445999999996</v>
      </c>
      <c r="HD49" s="301">
        <v>45354.966</v>
      </c>
      <c r="HE49" s="301">
        <v>45286.656000000003</v>
      </c>
      <c r="HF49" s="301">
        <v>43216.686000000002</v>
      </c>
      <c r="HG49" s="301">
        <v>46063.061999999998</v>
      </c>
      <c r="HH49" s="301">
        <v>45947.682000000001</v>
      </c>
      <c r="HI49" s="301">
        <v>42451.74</v>
      </c>
      <c r="HJ49" s="301">
        <v>44176.68</v>
      </c>
      <c r="HK49" s="301">
        <v>42969.006000000001</v>
      </c>
      <c r="HL49" s="301">
        <v>44677.205999999998</v>
      </c>
      <c r="HM49" s="301">
        <v>45926.43</v>
      </c>
      <c r="HN49" s="301">
        <v>49067.921999999999</v>
      </c>
      <c r="HO49" s="301">
        <v>46250.13</v>
      </c>
      <c r="HP49" s="333">
        <v>51952.385999999999</v>
      </c>
      <c r="HQ49" s="333">
        <v>50919.642</v>
      </c>
      <c r="HR49" s="333">
        <v>49545.467999999993</v>
      </c>
      <c r="HS49" s="333">
        <v>52195.025999999998</v>
      </c>
      <c r="HT49" s="333">
        <v>52082.724000000002</v>
      </c>
      <c r="HU49" s="333">
        <v>47533.824000000001</v>
      </c>
      <c r="HV49" s="301">
        <v>50037.258000000002</v>
      </c>
      <c r="HW49" s="301">
        <v>52317.894</v>
      </c>
      <c r="HX49" s="301">
        <v>54609.432000000001</v>
      </c>
      <c r="HY49" s="301">
        <v>53249.31</v>
      </c>
      <c r="HZ49" s="301">
        <v>56492.333999999995</v>
      </c>
      <c r="IA49" s="301">
        <v>56917.601999999999</v>
      </c>
      <c r="IB49" s="301">
        <v>59846.478000000003</v>
      </c>
      <c r="IC49" s="301">
        <v>60949.524000000005</v>
      </c>
      <c r="ID49" s="301">
        <v>60288.617999999995</v>
      </c>
      <c r="IE49" s="301">
        <v>60988.055999999997</v>
      </c>
      <c r="IF49" s="301">
        <v>62997.168000000005</v>
      </c>
      <c r="IG49" s="301">
        <v>55420.157999999996</v>
      </c>
      <c r="IH49" s="301">
        <v>57692.831999999995</v>
      </c>
      <c r="II49" s="301">
        <v>56270.472000000002</v>
      </c>
      <c r="IJ49" s="301">
        <v>65241.648000000001</v>
      </c>
      <c r="IK49" s="301">
        <v>60889.554000000004</v>
      </c>
      <c r="IL49" s="301">
        <v>62713.728000000003</v>
      </c>
      <c r="IM49" s="301">
        <v>62690.015999999996</v>
      </c>
      <c r="IN49" s="333">
        <v>60588.509999999995</v>
      </c>
      <c r="IO49" s="333">
        <v>64190.441999999995</v>
      </c>
      <c r="IP49" s="333">
        <v>62399.598000000005</v>
      </c>
      <c r="IQ49" s="333">
        <v>62098.775999999998</v>
      </c>
      <c r="IR49" s="333">
        <v>62254.817999999999</v>
      </c>
      <c r="IS49" s="333">
        <v>54675.372000000003</v>
      </c>
      <c r="IT49" s="333">
        <v>55152.018000000004</v>
      </c>
      <c r="IU49" s="333">
        <v>55996.680000000008</v>
      </c>
      <c r="IV49" s="333">
        <v>58746.588000000003</v>
      </c>
      <c r="IW49" s="334">
        <v>60218.66</v>
      </c>
      <c r="IX49" s="334">
        <v>63189.161999999997</v>
      </c>
      <c r="IY49" s="334">
        <v>61051.158000000003</v>
      </c>
      <c r="IZ49" s="334">
        <v>59999.273999999998</v>
      </c>
      <c r="JA49" s="334">
        <v>60571.482000000004</v>
      </c>
      <c r="JB49" s="334">
        <v>62489.32</v>
      </c>
      <c r="JC49" s="334">
        <v>60495.826000000001</v>
      </c>
      <c r="JD49" s="334">
        <v>62789.423999999999</v>
      </c>
      <c r="JE49" s="334">
        <v>66354.343999999997</v>
      </c>
      <c r="JF49" s="334">
        <v>67014.433999999994</v>
      </c>
      <c r="JG49" s="334">
        <v>65285.487999999998</v>
      </c>
      <c r="JH49" s="334">
        <v>63510.292000000001</v>
      </c>
      <c r="JI49" s="334">
        <v>66738.320000000007</v>
      </c>
      <c r="JJ49" s="334">
        <v>67975.364000000001</v>
      </c>
      <c r="JK49" s="335">
        <v>67242.86</v>
      </c>
    </row>
    <row r="50" spans="1:673" x14ac:dyDescent="0.25">
      <c r="A50" s="303" t="s">
        <v>70</v>
      </c>
      <c r="B50" s="304">
        <v>414.48</v>
      </c>
      <c r="C50" s="304">
        <v>438.24</v>
      </c>
      <c r="D50" s="304">
        <v>604.596</v>
      </c>
      <c r="E50" s="304">
        <v>508.42199999999997</v>
      </c>
      <c r="F50" s="304">
        <v>571.87800000000004</v>
      </c>
      <c r="G50" s="304">
        <v>721.41600000000005</v>
      </c>
      <c r="H50" s="304">
        <v>611.23199999999997</v>
      </c>
      <c r="I50" s="304">
        <v>766.68000000000006</v>
      </c>
      <c r="J50" s="304">
        <v>1117.086</v>
      </c>
      <c r="K50" s="304">
        <v>1047.402</v>
      </c>
      <c r="L50" s="304">
        <v>1092.402</v>
      </c>
      <c r="M50" s="304">
        <v>907.33200000000011</v>
      </c>
      <c r="N50" s="304">
        <v>1006.038</v>
      </c>
      <c r="O50" s="304">
        <v>837.06</v>
      </c>
      <c r="P50" s="304">
        <v>821.19600000000014</v>
      </c>
      <c r="Q50" s="304">
        <v>699.33600000000001</v>
      </c>
      <c r="R50" s="304">
        <v>690.76199999999994</v>
      </c>
      <c r="S50" s="304">
        <v>804.51600000000008</v>
      </c>
      <c r="T50" s="304">
        <v>646.64400000000001</v>
      </c>
      <c r="U50" s="304">
        <v>627.60599999999999</v>
      </c>
      <c r="V50" s="304">
        <v>710.97</v>
      </c>
      <c r="W50" s="304">
        <v>624.64800000000002</v>
      </c>
      <c r="X50" s="304">
        <v>553.94399999999996</v>
      </c>
      <c r="Y50" s="304">
        <v>488.928</v>
      </c>
      <c r="Z50" s="304">
        <v>486.55200000000002</v>
      </c>
      <c r="AA50" s="304">
        <v>518.58600000000001</v>
      </c>
      <c r="AB50" s="304">
        <v>630.49800000000005</v>
      </c>
      <c r="AC50" s="304">
        <v>522.17399999999998</v>
      </c>
      <c r="AD50" s="304">
        <v>576.83399999999995</v>
      </c>
      <c r="AE50" s="304">
        <v>677.84999999999991</v>
      </c>
      <c r="AF50" s="304">
        <v>615</v>
      </c>
      <c r="AG50" s="304">
        <v>615.19799999999998</v>
      </c>
      <c r="AH50" s="304">
        <v>712.84199999999998</v>
      </c>
      <c r="AI50" s="304">
        <v>630.61799999999994</v>
      </c>
      <c r="AJ50" s="304">
        <v>589.29</v>
      </c>
      <c r="AK50" s="304">
        <v>666.2940000000001</v>
      </c>
      <c r="AL50" s="304">
        <v>549.24599999999998</v>
      </c>
      <c r="AM50" s="304">
        <v>612.75600000000009</v>
      </c>
      <c r="AN50" s="304">
        <v>752.76599999999996</v>
      </c>
      <c r="AO50" s="304">
        <v>601.86</v>
      </c>
      <c r="AP50" s="304">
        <v>658.86</v>
      </c>
      <c r="AQ50" s="304">
        <v>723.98400000000004</v>
      </c>
      <c r="AR50" s="304">
        <v>640.29</v>
      </c>
      <c r="AS50" s="304">
        <v>627.15599999999995</v>
      </c>
      <c r="AT50" s="304">
        <v>623.89800000000002</v>
      </c>
      <c r="AU50" s="304">
        <v>583.91399999999999</v>
      </c>
      <c r="AV50" s="304">
        <v>615.19799999999998</v>
      </c>
      <c r="AW50" s="304">
        <v>732.39</v>
      </c>
      <c r="AX50" s="304">
        <v>618.22199999999998</v>
      </c>
      <c r="AY50" s="304">
        <v>697.596</v>
      </c>
      <c r="AZ50" s="304">
        <v>876.69600000000014</v>
      </c>
      <c r="BA50" s="304">
        <v>707.77200000000005</v>
      </c>
      <c r="BB50" s="304">
        <v>859.86</v>
      </c>
      <c r="BC50" s="304">
        <v>866.72400000000005</v>
      </c>
      <c r="BD50" s="304">
        <v>708.01199999999994</v>
      </c>
      <c r="BE50" s="304">
        <v>716.28600000000006</v>
      </c>
      <c r="BF50" s="304">
        <v>773.16599999999994</v>
      </c>
      <c r="BG50" s="304">
        <v>759.58799999999997</v>
      </c>
      <c r="BH50" s="304">
        <v>771.58800000000008</v>
      </c>
      <c r="BI50" s="304">
        <v>770.37599999999998</v>
      </c>
      <c r="BJ50" s="304">
        <v>632.76</v>
      </c>
      <c r="BK50" s="304">
        <v>675.78</v>
      </c>
      <c r="BL50" s="304">
        <v>753.06000000000006</v>
      </c>
      <c r="BM50" s="304">
        <v>598.83000000000004</v>
      </c>
      <c r="BN50" s="304">
        <v>585.01800000000003</v>
      </c>
      <c r="BO50" s="304">
        <v>711.19200000000001</v>
      </c>
      <c r="BP50" s="304">
        <v>536.04599999999994</v>
      </c>
      <c r="BQ50" s="304">
        <v>503.75400000000002</v>
      </c>
      <c r="BR50" s="304">
        <v>551.35199999999998</v>
      </c>
      <c r="BS50" s="304">
        <v>444.80399999999997</v>
      </c>
      <c r="BT50" s="304">
        <v>445.05600000000004</v>
      </c>
      <c r="BU50" s="304">
        <v>492.31799999999998</v>
      </c>
      <c r="BV50" s="304">
        <v>436.26</v>
      </c>
      <c r="BW50" s="304">
        <v>448.95000000000005</v>
      </c>
      <c r="BX50" s="304">
        <v>337.33799999999997</v>
      </c>
      <c r="BY50" s="304">
        <v>351.714</v>
      </c>
      <c r="BZ50" s="304">
        <v>436.34999999999997</v>
      </c>
      <c r="CA50" s="304">
        <v>576.52800000000002</v>
      </c>
      <c r="CB50" s="304">
        <v>517.14</v>
      </c>
      <c r="CC50" s="304">
        <v>364.392</v>
      </c>
      <c r="CD50" s="304">
        <v>609.24599999999998</v>
      </c>
      <c r="CE50" s="304">
        <v>500.95799999999997</v>
      </c>
      <c r="CF50" s="304">
        <v>667.39200000000005</v>
      </c>
      <c r="CG50" s="304">
        <v>611.95799999999997</v>
      </c>
      <c r="CH50" s="304">
        <v>500.89800000000002</v>
      </c>
      <c r="CI50" s="304">
        <v>566.47799999999995</v>
      </c>
      <c r="CJ50" s="304">
        <v>653.70000000000005</v>
      </c>
      <c r="CK50" s="304">
        <v>515.79599999999994</v>
      </c>
      <c r="CL50" s="304">
        <v>546.25800000000004</v>
      </c>
      <c r="CM50" s="304">
        <v>659.74199999999996</v>
      </c>
      <c r="CN50" s="304">
        <v>521.25</v>
      </c>
      <c r="CO50" s="304">
        <v>531.62400000000002</v>
      </c>
      <c r="CP50" s="304">
        <v>633.96600000000001</v>
      </c>
      <c r="CQ50" s="304">
        <v>538.428</v>
      </c>
      <c r="CR50" s="304">
        <v>553.38599999999997</v>
      </c>
      <c r="CS50" s="304">
        <v>506.81399999999996</v>
      </c>
      <c r="CT50" s="304">
        <v>262.96800000000002</v>
      </c>
      <c r="CU50" s="304">
        <v>264.27</v>
      </c>
      <c r="CV50" s="304">
        <v>339.70800000000003</v>
      </c>
      <c r="CW50" s="304">
        <v>283.68599999999998</v>
      </c>
      <c r="CX50" s="304">
        <v>276.10200000000003</v>
      </c>
      <c r="CY50" s="304">
        <v>304.01400000000001</v>
      </c>
      <c r="CZ50" s="304">
        <v>239.21999999999997</v>
      </c>
      <c r="DA50" s="304">
        <v>229.81200000000001</v>
      </c>
      <c r="DB50" s="304">
        <v>285.702</v>
      </c>
      <c r="DC50" s="304">
        <v>235.44</v>
      </c>
      <c r="DD50" s="304">
        <v>271.09800000000001</v>
      </c>
      <c r="DE50" s="304">
        <v>322.97399999999999</v>
      </c>
      <c r="DF50" s="304">
        <v>318.798</v>
      </c>
      <c r="DG50" s="304">
        <v>373.38600000000002</v>
      </c>
      <c r="DH50" s="304">
        <v>468.00600000000003</v>
      </c>
      <c r="DI50" s="304">
        <v>463.84800000000007</v>
      </c>
      <c r="DJ50" s="304">
        <v>483.46199999999999</v>
      </c>
      <c r="DK50" s="304">
        <v>611.202</v>
      </c>
      <c r="DL50" s="304">
        <v>615.84</v>
      </c>
      <c r="DM50" s="304">
        <v>686.92200000000003</v>
      </c>
      <c r="DN50" s="304">
        <v>619.58399999999995</v>
      </c>
      <c r="DO50" s="304">
        <v>496.20000000000005</v>
      </c>
      <c r="DP50" s="304">
        <v>468.81000000000006</v>
      </c>
      <c r="DQ50" s="304">
        <v>494.77799999999996</v>
      </c>
      <c r="DR50" s="304">
        <v>421.65599999999995</v>
      </c>
      <c r="DS50" s="304">
        <v>465.54</v>
      </c>
      <c r="DT50" s="304">
        <v>577.69200000000001</v>
      </c>
      <c r="DU50" s="304">
        <v>556.08000000000004</v>
      </c>
      <c r="DV50" s="304">
        <v>618.31200000000001</v>
      </c>
      <c r="DW50" s="304">
        <v>749.07600000000002</v>
      </c>
      <c r="DX50" s="304">
        <v>736.76400000000001</v>
      </c>
      <c r="DY50" s="304">
        <v>722.58</v>
      </c>
      <c r="DZ50" s="304">
        <v>801.61200000000008</v>
      </c>
      <c r="EA50" s="304">
        <v>778.41599999999994</v>
      </c>
      <c r="EB50" s="304">
        <v>803.72400000000005</v>
      </c>
      <c r="EC50" s="304">
        <v>834.76799999999992</v>
      </c>
      <c r="ED50" s="304">
        <v>845.10599999999999</v>
      </c>
      <c r="EE50" s="304">
        <v>785.33999999999992</v>
      </c>
      <c r="EF50" s="304">
        <v>848.35199999999998</v>
      </c>
      <c r="EG50" s="304">
        <v>802.64400000000001</v>
      </c>
      <c r="EH50" s="304">
        <v>873.41399999999999</v>
      </c>
      <c r="EI50" s="304">
        <v>835.51799999999992</v>
      </c>
      <c r="EJ50" s="304">
        <v>695.56799999999998</v>
      </c>
      <c r="EK50" s="304">
        <v>490.78800000000001</v>
      </c>
      <c r="EL50" s="304">
        <v>562.0440000000001</v>
      </c>
      <c r="EM50" s="304">
        <v>482.66399999999999</v>
      </c>
      <c r="EN50" s="304">
        <v>465.37199999999996</v>
      </c>
      <c r="EO50" s="304">
        <v>489.66600000000005</v>
      </c>
      <c r="EP50" s="304">
        <v>464.77799999999996</v>
      </c>
      <c r="EQ50" s="304">
        <v>481.00800000000004</v>
      </c>
      <c r="ER50" s="304">
        <v>540.54599999999994</v>
      </c>
      <c r="ES50" s="304">
        <v>441.07800000000003</v>
      </c>
      <c r="ET50" s="304">
        <v>404.26199999999994</v>
      </c>
      <c r="EU50" s="304">
        <v>453.41999999999996</v>
      </c>
      <c r="EV50" s="304">
        <v>416.892</v>
      </c>
      <c r="EW50" s="304">
        <v>418.04999999999995</v>
      </c>
      <c r="EX50" s="304">
        <v>434.892</v>
      </c>
      <c r="EY50" s="304">
        <v>414.94799999999998</v>
      </c>
      <c r="EZ50" s="304">
        <v>412.90199999999993</v>
      </c>
      <c r="FA50" s="304">
        <v>393.87599999999998</v>
      </c>
      <c r="FB50" s="304">
        <v>403.09199999999998</v>
      </c>
      <c r="FC50" s="304">
        <v>412.06799999999998</v>
      </c>
      <c r="FD50" s="304">
        <v>403.77600000000007</v>
      </c>
      <c r="FE50" s="304">
        <v>421.43999999999994</v>
      </c>
      <c r="FF50" s="304">
        <v>439.24199999999996</v>
      </c>
      <c r="FG50" s="304">
        <v>408.00600000000003</v>
      </c>
      <c r="FH50" s="304">
        <v>427.09199999999998</v>
      </c>
      <c r="FI50" s="304">
        <v>404.43</v>
      </c>
      <c r="FJ50" s="304">
        <v>392.04</v>
      </c>
      <c r="FK50" s="304">
        <v>432.41399999999999</v>
      </c>
      <c r="FL50" s="304">
        <v>424.26599999999996</v>
      </c>
      <c r="FM50" s="304">
        <v>398.64600000000002</v>
      </c>
      <c r="FN50" s="304">
        <v>359.02800000000002</v>
      </c>
      <c r="FO50" s="304">
        <v>397.77600000000007</v>
      </c>
      <c r="FP50" s="304">
        <v>417.67199999999997</v>
      </c>
      <c r="FQ50" s="304">
        <v>378.63</v>
      </c>
      <c r="FR50" s="304">
        <v>366.11399999999998</v>
      </c>
      <c r="FS50" s="304">
        <v>362.20800000000003</v>
      </c>
      <c r="FT50" s="304">
        <v>367.34399999999999</v>
      </c>
      <c r="FU50" s="304">
        <v>380.154</v>
      </c>
      <c r="FV50" s="304">
        <v>375.91800000000001</v>
      </c>
      <c r="FW50" s="304">
        <v>398.13</v>
      </c>
      <c r="FX50" s="304">
        <v>440.02799999999996</v>
      </c>
      <c r="FY50" s="304">
        <v>341.63400000000001</v>
      </c>
      <c r="FZ50" s="304">
        <v>342.26400000000001</v>
      </c>
      <c r="GA50" s="304">
        <v>464.30399999999997</v>
      </c>
      <c r="GB50" s="304">
        <v>568.37400000000002</v>
      </c>
      <c r="GC50" s="304">
        <v>572.41200000000003</v>
      </c>
      <c r="GD50" s="304">
        <v>613.39200000000005</v>
      </c>
      <c r="GE50" s="304">
        <v>643.91399999999999</v>
      </c>
      <c r="GF50" s="304">
        <v>750.62400000000002</v>
      </c>
      <c r="GG50" s="304">
        <v>862.32600000000002</v>
      </c>
      <c r="GH50" s="304">
        <v>813.21</v>
      </c>
      <c r="GI50" s="304">
        <v>840.05399999999986</v>
      </c>
      <c r="GJ50" s="304">
        <v>844.09799999999996</v>
      </c>
      <c r="GK50" s="304">
        <v>838.33200000000011</v>
      </c>
      <c r="GL50" s="304">
        <v>907.24800000000005</v>
      </c>
      <c r="GM50" s="304">
        <v>985.98599999999988</v>
      </c>
      <c r="GN50" s="304">
        <v>1301.364</v>
      </c>
      <c r="GO50" s="304">
        <v>1633.2360000000001</v>
      </c>
      <c r="GP50" s="304">
        <v>1777.2240000000002</v>
      </c>
      <c r="GQ50" s="304">
        <v>1695.492</v>
      </c>
      <c r="GR50" s="304">
        <v>1964.7240000000002</v>
      </c>
      <c r="GS50" s="304">
        <v>2045.328</v>
      </c>
      <c r="GT50" s="304">
        <v>2124.66</v>
      </c>
      <c r="GU50" s="304">
        <v>2275.5299999999997</v>
      </c>
      <c r="GV50" s="304">
        <v>2663.7240000000002</v>
      </c>
      <c r="GW50" s="304">
        <v>2629.1579999999999</v>
      </c>
      <c r="GX50" s="304">
        <v>3262.098</v>
      </c>
      <c r="GY50" s="304">
        <v>3647.0879999999997</v>
      </c>
      <c r="GZ50" s="304">
        <v>4631.0280000000002</v>
      </c>
      <c r="HA50" s="304">
        <v>4641.6479999999992</v>
      </c>
      <c r="HB50" s="304">
        <v>5079.6479999999992</v>
      </c>
      <c r="HC50" s="304">
        <v>4874.8919999999998</v>
      </c>
      <c r="HD50" s="304">
        <v>4686.1440000000002</v>
      </c>
      <c r="HE50" s="304">
        <v>4331.1540000000005</v>
      </c>
      <c r="HF50" s="304">
        <v>4341.5039999999999</v>
      </c>
      <c r="HG50" s="304">
        <v>5046.99</v>
      </c>
      <c r="HH50" s="304">
        <v>5015.0219999999999</v>
      </c>
      <c r="HI50" s="304">
        <v>4447.7880000000005</v>
      </c>
      <c r="HJ50" s="304">
        <v>4547.8979999999992</v>
      </c>
      <c r="HK50" s="304">
        <v>5033.5380000000005</v>
      </c>
      <c r="HL50" s="304">
        <v>5150.97</v>
      </c>
      <c r="HM50" s="304">
        <v>5031.6540000000005</v>
      </c>
      <c r="HN50" s="304">
        <v>5493.39</v>
      </c>
      <c r="HO50" s="304">
        <v>5138.3220000000001</v>
      </c>
      <c r="HP50" s="304">
        <v>4799.4359999999997</v>
      </c>
      <c r="HQ50" s="304">
        <v>4096.1819999999998</v>
      </c>
      <c r="HR50" s="304">
        <v>3217.8720000000003</v>
      </c>
      <c r="HS50" s="304">
        <v>2995.3679999999999</v>
      </c>
      <c r="HT50" s="304">
        <v>2374.11</v>
      </c>
      <c r="HU50" s="304">
        <v>1919.4659999999999</v>
      </c>
      <c r="HV50" s="304">
        <v>1798.5240000000001</v>
      </c>
      <c r="HW50" s="304">
        <v>1799.8139999999999</v>
      </c>
      <c r="HX50" s="304">
        <v>1947.8880000000001</v>
      </c>
      <c r="HY50" s="304">
        <v>1944.492</v>
      </c>
      <c r="HZ50" s="304">
        <v>1981.998</v>
      </c>
      <c r="IA50" s="304">
        <v>1878.4260000000002</v>
      </c>
      <c r="IB50" s="304">
        <v>1799.2259999999999</v>
      </c>
      <c r="IC50" s="304">
        <v>1766.2080000000001</v>
      </c>
      <c r="ID50" s="304">
        <v>1796.442</v>
      </c>
      <c r="IE50" s="304">
        <v>1887.9780000000001</v>
      </c>
      <c r="IF50" s="304">
        <v>1592.8019999999999</v>
      </c>
      <c r="IG50" s="304">
        <v>1570.3139999999999</v>
      </c>
      <c r="IH50" s="304">
        <v>1558.242</v>
      </c>
      <c r="II50" s="304">
        <v>1639.5120000000002</v>
      </c>
      <c r="IJ50" s="304">
        <v>1962.1260000000002</v>
      </c>
      <c r="IK50" s="304">
        <v>1972.116</v>
      </c>
      <c r="IL50" s="304">
        <v>2177.9160000000002</v>
      </c>
      <c r="IM50" s="304">
        <v>2432.0880000000002</v>
      </c>
      <c r="IN50" s="12">
        <v>2632.212</v>
      </c>
      <c r="IO50" s="12">
        <v>2898.846</v>
      </c>
      <c r="IP50" s="12">
        <v>2975.1480000000001</v>
      </c>
      <c r="IQ50" s="12">
        <v>3298.1639999999998</v>
      </c>
      <c r="IR50" s="12">
        <v>3379.098</v>
      </c>
      <c r="IS50" s="12">
        <v>3237.5460000000003</v>
      </c>
      <c r="IT50" s="12">
        <v>3532.9979999999996</v>
      </c>
      <c r="IU50" s="12">
        <v>4035.9780000000001</v>
      </c>
      <c r="IV50" s="12">
        <v>4491.0240000000003</v>
      </c>
      <c r="IW50" s="12">
        <v>5041.9179999999997</v>
      </c>
      <c r="IX50" s="12">
        <v>6403.3119999999999</v>
      </c>
      <c r="IY50" s="12">
        <v>7654.4260000000004</v>
      </c>
      <c r="IZ50" s="12">
        <v>8621.57</v>
      </c>
      <c r="JA50" s="12">
        <v>9688.0759999999991</v>
      </c>
      <c r="JB50" s="12">
        <v>10722.33</v>
      </c>
      <c r="JC50" s="12">
        <v>11377.234</v>
      </c>
      <c r="JD50" s="12">
        <v>11646.27</v>
      </c>
      <c r="JE50" s="12">
        <v>11994.618</v>
      </c>
      <c r="JF50" s="12">
        <v>12108.816000000001</v>
      </c>
      <c r="JG50" s="12">
        <v>9940.1200000000008</v>
      </c>
      <c r="JH50" s="12">
        <v>8240.36</v>
      </c>
      <c r="JI50" s="12">
        <v>8017.7280000000001</v>
      </c>
      <c r="JJ50" s="12">
        <v>7913.35</v>
      </c>
      <c r="JK50" s="336">
        <v>7644.0439999999999</v>
      </c>
    </row>
    <row r="51" spans="1:673" x14ac:dyDescent="0.25">
      <c r="A51" s="303" t="s">
        <v>71</v>
      </c>
      <c r="B51" s="301">
        <v>2478.2280000000001</v>
      </c>
      <c r="C51" s="301">
        <v>2170.134</v>
      </c>
      <c r="D51" s="301">
        <v>2196.558</v>
      </c>
      <c r="E51" s="301">
        <v>2163.672</v>
      </c>
      <c r="F51" s="301">
        <v>2501.2020000000002</v>
      </c>
      <c r="G51" s="301">
        <v>2552.904</v>
      </c>
      <c r="H51" s="301">
        <v>2441.6640000000002</v>
      </c>
      <c r="I51" s="301">
        <v>2362.3380000000002</v>
      </c>
      <c r="J51" s="301">
        <v>2086.5540000000001</v>
      </c>
      <c r="K51" s="301">
        <v>2357.9879999999998</v>
      </c>
      <c r="L51" s="301">
        <v>2337.096</v>
      </c>
      <c r="M51" s="301">
        <v>2517.6059999999998</v>
      </c>
      <c r="N51" s="301">
        <v>2011.6019999999999</v>
      </c>
      <c r="O51" s="301">
        <v>2191.7460000000001</v>
      </c>
      <c r="P51" s="301">
        <v>2622.4140000000002</v>
      </c>
      <c r="Q51" s="301">
        <v>2945.4059999999999</v>
      </c>
      <c r="R51" s="301">
        <v>2302.2660000000001</v>
      </c>
      <c r="S51" s="301">
        <v>2046.096</v>
      </c>
      <c r="T51" s="301">
        <v>1955.9459999999999</v>
      </c>
      <c r="U51" s="301">
        <v>1951.6619999999998</v>
      </c>
      <c r="V51" s="301">
        <v>2246.7780000000002</v>
      </c>
      <c r="W51" s="301">
        <v>1960.5120000000002</v>
      </c>
      <c r="X51" s="301">
        <v>2004.5940000000001</v>
      </c>
      <c r="Y51" s="301">
        <v>2000.5259999999998</v>
      </c>
      <c r="Z51" s="301">
        <v>1901.94</v>
      </c>
      <c r="AA51" s="301">
        <v>2073.4920000000002</v>
      </c>
      <c r="AB51" s="301">
        <v>2326.89</v>
      </c>
      <c r="AC51" s="301">
        <v>2093.0099999999998</v>
      </c>
      <c r="AD51" s="301">
        <v>1991.4839999999999</v>
      </c>
      <c r="AE51" s="301">
        <v>1970.748</v>
      </c>
      <c r="AF51" s="301">
        <v>2208.9719999999998</v>
      </c>
      <c r="AG51" s="301">
        <v>2290.7280000000001</v>
      </c>
      <c r="AH51" s="301">
        <v>2061.0720000000001</v>
      </c>
      <c r="AI51" s="301">
        <v>2395.3739999999998</v>
      </c>
      <c r="AJ51" s="301">
        <v>2170.3500000000004</v>
      </c>
      <c r="AK51" s="301">
        <v>2135.6640000000002</v>
      </c>
      <c r="AL51" s="301">
        <v>2468.5920000000001</v>
      </c>
      <c r="AM51" s="301">
        <v>2625.2640000000001</v>
      </c>
      <c r="AN51" s="301">
        <v>2511.9360000000001</v>
      </c>
      <c r="AO51" s="301">
        <v>2268.21</v>
      </c>
      <c r="AP51" s="301">
        <v>2308.59</v>
      </c>
      <c r="AQ51" s="301">
        <v>1829.0519999999999</v>
      </c>
      <c r="AR51" s="301">
        <v>2578.002</v>
      </c>
      <c r="AS51" s="301">
        <v>2360.7660000000001</v>
      </c>
      <c r="AT51" s="301">
        <v>2100.2939999999999</v>
      </c>
      <c r="AU51" s="301">
        <v>2307.6660000000002</v>
      </c>
      <c r="AV51" s="301">
        <v>2125.308</v>
      </c>
      <c r="AW51" s="301">
        <v>2272.9140000000002</v>
      </c>
      <c r="AX51" s="301">
        <v>1872.444</v>
      </c>
      <c r="AY51" s="301">
        <v>2062.6499999999996</v>
      </c>
      <c r="AZ51" s="301">
        <v>2216.4659999999999</v>
      </c>
      <c r="BA51" s="301">
        <v>2227.6260000000002</v>
      </c>
      <c r="BB51" s="301">
        <v>2114.2740000000003</v>
      </c>
      <c r="BC51" s="301">
        <v>2290.1579999999999</v>
      </c>
      <c r="BD51" s="301">
        <v>2395.2539999999999</v>
      </c>
      <c r="BE51" s="301">
        <v>2553.27</v>
      </c>
      <c r="BF51" s="301">
        <v>2133.462</v>
      </c>
      <c r="BG51" s="301">
        <v>2260.4279999999999</v>
      </c>
      <c r="BH51" s="301">
        <v>2397.9059999999999</v>
      </c>
      <c r="BI51" s="301">
        <v>2335.8420000000001</v>
      </c>
      <c r="BJ51" s="301">
        <v>2439.174</v>
      </c>
      <c r="BK51" s="301">
        <v>2585.268</v>
      </c>
      <c r="BL51" s="301">
        <v>2602.77</v>
      </c>
      <c r="BM51" s="301">
        <v>2727.2579999999998</v>
      </c>
      <c r="BN51" s="301">
        <v>2710.2539999999999</v>
      </c>
      <c r="BO51" s="301">
        <v>2446.134</v>
      </c>
      <c r="BP51" s="301">
        <v>2468.6999999999998</v>
      </c>
      <c r="BQ51" s="301">
        <v>2500.14</v>
      </c>
      <c r="BR51" s="301">
        <v>2342.31</v>
      </c>
      <c r="BS51" s="301">
        <v>2281.5120000000002</v>
      </c>
      <c r="BT51" s="301">
        <v>2352.7799999999997</v>
      </c>
      <c r="BU51" s="301">
        <v>2264.64</v>
      </c>
      <c r="BV51" s="301">
        <v>2549.3519999999999</v>
      </c>
      <c r="BW51" s="301">
        <v>2408.0880000000002</v>
      </c>
      <c r="BX51" s="301">
        <v>2519.7660000000001</v>
      </c>
      <c r="BY51" s="301">
        <v>2430.5519999999997</v>
      </c>
      <c r="BZ51" s="301">
        <v>2348.9459999999999</v>
      </c>
      <c r="CA51" s="301">
        <v>2763.6480000000001</v>
      </c>
      <c r="CB51" s="301">
        <v>2516.5439999999999</v>
      </c>
      <c r="CC51" s="301">
        <v>2137.0619999999999</v>
      </c>
      <c r="CD51" s="301">
        <v>2200.2539999999999</v>
      </c>
      <c r="CE51" s="301">
        <v>2264.9580000000001</v>
      </c>
      <c r="CF51" s="301">
        <v>2503.0320000000002</v>
      </c>
      <c r="CG51" s="301">
        <v>2302.2179999999998</v>
      </c>
      <c r="CH51" s="301">
        <v>2395.788</v>
      </c>
      <c r="CI51" s="301">
        <v>2736.654</v>
      </c>
      <c r="CJ51" s="301">
        <v>2340.1680000000001</v>
      </c>
      <c r="CK51" s="301">
        <v>2334.6000000000004</v>
      </c>
      <c r="CL51" s="301">
        <v>2246.0219999999999</v>
      </c>
      <c r="CM51" s="301">
        <v>2253.5039999999999</v>
      </c>
      <c r="CN51" s="301">
        <v>2227.2179999999998</v>
      </c>
      <c r="CO51" s="301">
        <v>2041.2179999999998</v>
      </c>
      <c r="CP51" s="301">
        <v>2092.6619999999998</v>
      </c>
      <c r="CQ51" s="301">
        <v>2262.4140000000002</v>
      </c>
      <c r="CR51" s="301">
        <v>2247.8519999999999</v>
      </c>
      <c r="CS51" s="301">
        <v>2324.922</v>
      </c>
      <c r="CT51" s="301">
        <v>2094.9299999999998</v>
      </c>
      <c r="CU51" s="301">
        <v>2144.1480000000001</v>
      </c>
      <c r="CV51" s="301">
        <v>2267.2200000000003</v>
      </c>
      <c r="CW51" s="301">
        <v>2349.84</v>
      </c>
      <c r="CX51" s="301">
        <v>2083.7400000000002</v>
      </c>
      <c r="CY51" s="301">
        <v>1942.9499999999998</v>
      </c>
      <c r="CZ51" s="301">
        <v>1850.7539999999999</v>
      </c>
      <c r="DA51" s="301">
        <v>1627.2060000000001</v>
      </c>
      <c r="DB51" s="301">
        <v>1651.38</v>
      </c>
      <c r="DC51" s="301">
        <v>1675.674</v>
      </c>
      <c r="DD51" s="301">
        <v>1575.06</v>
      </c>
      <c r="DE51" s="301">
        <v>1634.4659999999999</v>
      </c>
      <c r="DF51" s="301">
        <v>1512.288</v>
      </c>
      <c r="DG51" s="301">
        <v>1558.752</v>
      </c>
      <c r="DH51" s="301">
        <v>1662.9119999999998</v>
      </c>
      <c r="DI51" s="301">
        <v>1536.558</v>
      </c>
      <c r="DJ51" s="301">
        <v>1543.4759999999999</v>
      </c>
      <c r="DK51" s="301">
        <v>1449.1019999999999</v>
      </c>
      <c r="DL51" s="301">
        <v>1268.124</v>
      </c>
      <c r="DM51" s="301">
        <v>1254.6600000000001</v>
      </c>
      <c r="DN51" s="301">
        <v>1229.538</v>
      </c>
      <c r="DO51" s="301">
        <v>1280.2260000000001</v>
      </c>
      <c r="DP51" s="301">
        <v>1803.5639999999999</v>
      </c>
      <c r="DQ51" s="301">
        <v>1268.4659999999999</v>
      </c>
      <c r="DR51" s="301">
        <v>1234.578</v>
      </c>
      <c r="DS51" s="301">
        <v>1416.9479999999999</v>
      </c>
      <c r="DT51" s="301">
        <v>1485.336</v>
      </c>
      <c r="DU51" s="301">
        <v>1413.72</v>
      </c>
      <c r="DV51" s="301">
        <v>1675.0139999999999</v>
      </c>
      <c r="DW51" s="301">
        <v>1498.0140000000001</v>
      </c>
      <c r="DX51" s="301">
        <v>1537.3619999999999</v>
      </c>
      <c r="DY51" s="301">
        <v>1640.3880000000001</v>
      </c>
      <c r="DZ51" s="301">
        <v>1782.84</v>
      </c>
      <c r="EA51" s="301">
        <v>1796.8679999999999</v>
      </c>
      <c r="EB51" s="301">
        <v>1856.5739999999998</v>
      </c>
      <c r="EC51" s="301">
        <v>1728.0059999999999</v>
      </c>
      <c r="ED51" s="301">
        <v>1752.3720000000001</v>
      </c>
      <c r="EE51" s="301">
        <v>2388.3779999999997</v>
      </c>
      <c r="EF51" s="301">
        <v>2244.4319999999998</v>
      </c>
      <c r="EG51" s="301">
        <v>1788.6659999999999</v>
      </c>
      <c r="EH51" s="301">
        <v>2252.8920000000003</v>
      </c>
      <c r="EI51" s="301">
        <v>1791.1860000000001</v>
      </c>
      <c r="EJ51" s="301">
        <v>1793.6220000000001</v>
      </c>
      <c r="EK51" s="301">
        <v>1851.6659999999999</v>
      </c>
      <c r="EL51" s="301">
        <v>1622.598</v>
      </c>
      <c r="EM51" s="301">
        <v>1779.6000000000001</v>
      </c>
      <c r="EN51" s="301">
        <v>1718.94</v>
      </c>
      <c r="EO51" s="301">
        <v>1564.1999999999998</v>
      </c>
      <c r="EP51" s="301">
        <v>1662.1320000000001</v>
      </c>
      <c r="EQ51" s="301">
        <v>1730.6999999999998</v>
      </c>
      <c r="ER51" s="301">
        <v>1621.4520000000002</v>
      </c>
      <c r="ES51" s="301">
        <v>1682.22</v>
      </c>
      <c r="ET51" s="301">
        <v>1500.57</v>
      </c>
      <c r="EU51" s="301">
        <v>1299.51</v>
      </c>
      <c r="EV51" s="301">
        <v>1367.52</v>
      </c>
      <c r="EW51" s="301">
        <v>1279.56</v>
      </c>
      <c r="EX51" s="301">
        <v>1284.6420000000001</v>
      </c>
      <c r="EY51" s="301">
        <v>1323.8879999999999</v>
      </c>
      <c r="EZ51" s="301">
        <v>1483.7339999999999</v>
      </c>
      <c r="FA51" s="301">
        <v>1354.326</v>
      </c>
      <c r="FB51" s="301">
        <v>1360.53</v>
      </c>
      <c r="FC51" s="301">
        <v>1485.2640000000001</v>
      </c>
      <c r="FD51" s="301">
        <v>2031.288</v>
      </c>
      <c r="FE51" s="301">
        <v>1398.1200000000001</v>
      </c>
      <c r="FF51" s="301">
        <v>1355.058</v>
      </c>
      <c r="FG51" s="301">
        <v>1153.644</v>
      </c>
      <c r="FH51" s="301">
        <v>1218.6779999999999</v>
      </c>
      <c r="FI51" s="301">
        <v>1236.9960000000001</v>
      </c>
      <c r="FJ51" s="301">
        <v>1218.4259999999999</v>
      </c>
      <c r="FK51" s="301">
        <v>1280.9100000000001</v>
      </c>
      <c r="FL51" s="301">
        <v>1307.52</v>
      </c>
      <c r="FM51" s="301">
        <v>1212.078</v>
      </c>
      <c r="FN51" s="301">
        <v>1372.3380000000002</v>
      </c>
      <c r="FO51" s="301">
        <v>1370.826</v>
      </c>
      <c r="FP51" s="301">
        <v>1557.318</v>
      </c>
      <c r="FQ51" s="301">
        <v>1440.4259999999999</v>
      </c>
      <c r="FR51" s="301">
        <v>1552.5479999999998</v>
      </c>
      <c r="FS51" s="301">
        <v>1472.43</v>
      </c>
      <c r="FT51" s="301">
        <v>1532.556</v>
      </c>
      <c r="FU51" s="301">
        <v>1524.7439999999999</v>
      </c>
      <c r="FV51" s="301">
        <v>1538.922</v>
      </c>
      <c r="FW51" s="301">
        <v>1543.4879999999998</v>
      </c>
      <c r="FX51" s="301">
        <v>1478.3579999999999</v>
      </c>
      <c r="FY51" s="301">
        <v>1228.4879999999998</v>
      </c>
      <c r="FZ51" s="301">
        <v>1229.4360000000001</v>
      </c>
      <c r="GA51" s="301">
        <v>1474.992</v>
      </c>
      <c r="GB51" s="301">
        <v>1477.518</v>
      </c>
      <c r="GC51" s="301">
        <v>1329.222</v>
      </c>
      <c r="GD51" s="301">
        <v>1348.0259999999998</v>
      </c>
      <c r="GE51" s="301">
        <v>1339.9559999999999</v>
      </c>
      <c r="GF51" s="301">
        <v>1310.376</v>
      </c>
      <c r="GG51" s="301">
        <v>1272.7260000000001</v>
      </c>
      <c r="GH51" s="301">
        <v>1272.6420000000001</v>
      </c>
      <c r="GI51" s="301">
        <v>1301.316</v>
      </c>
      <c r="GJ51" s="301">
        <v>1366.146</v>
      </c>
      <c r="GK51" s="301">
        <v>1217.8139999999999</v>
      </c>
      <c r="GL51" s="301">
        <v>1263.924</v>
      </c>
      <c r="GM51" s="301">
        <v>1369.8000000000002</v>
      </c>
      <c r="GN51" s="301">
        <v>1550.5500000000002</v>
      </c>
      <c r="GO51" s="301">
        <v>1281.7439999999999</v>
      </c>
      <c r="GP51" s="301">
        <v>1398.9479999999999</v>
      </c>
      <c r="GQ51" s="301">
        <v>1292.3700000000001</v>
      </c>
      <c r="GR51" s="301">
        <v>1295.0820000000001</v>
      </c>
      <c r="GS51" s="301">
        <v>1325.376</v>
      </c>
      <c r="GT51" s="301">
        <v>1302.5039999999999</v>
      </c>
      <c r="GU51" s="301">
        <v>1331.6759999999999</v>
      </c>
      <c r="GV51" s="301">
        <v>1404.0720000000001</v>
      </c>
      <c r="GW51" s="301">
        <v>1277.9100000000001</v>
      </c>
      <c r="GX51" s="301">
        <v>1417.116</v>
      </c>
      <c r="GY51" s="301">
        <v>1390.518</v>
      </c>
      <c r="GZ51" s="301">
        <v>1757.52</v>
      </c>
      <c r="HA51" s="301">
        <v>1811.58</v>
      </c>
      <c r="HB51" s="301">
        <v>1857.402</v>
      </c>
      <c r="HC51" s="301">
        <v>1837.9079999999999</v>
      </c>
      <c r="HD51" s="301">
        <v>1864.47</v>
      </c>
      <c r="HE51" s="301">
        <v>1924.758</v>
      </c>
      <c r="HF51" s="301">
        <v>1840.7639999999999</v>
      </c>
      <c r="HG51" s="301">
        <v>2242.2179999999998</v>
      </c>
      <c r="HH51" s="301">
        <v>2270.6220000000003</v>
      </c>
      <c r="HI51" s="301">
        <v>1966.9679999999998</v>
      </c>
      <c r="HJ51" s="301">
        <v>2143.596</v>
      </c>
      <c r="HK51" s="301">
        <v>2359.8720000000003</v>
      </c>
      <c r="HL51" s="301">
        <v>2297.346</v>
      </c>
      <c r="HM51" s="301">
        <v>1909.902</v>
      </c>
      <c r="HN51" s="301">
        <v>2008.59</v>
      </c>
      <c r="HO51" s="301">
        <v>1807.3619999999999</v>
      </c>
      <c r="HP51" s="333">
        <v>1940.2740000000001</v>
      </c>
      <c r="HQ51" s="333">
        <v>1827.444</v>
      </c>
      <c r="HR51" s="333">
        <v>1793.8920000000003</v>
      </c>
      <c r="HS51" s="333">
        <v>1974.66</v>
      </c>
      <c r="HT51" s="333">
        <v>2029.8359999999998</v>
      </c>
      <c r="HU51" s="333">
        <v>1801.8000000000002</v>
      </c>
      <c r="HV51" s="301">
        <v>1964.904</v>
      </c>
      <c r="HW51" s="301">
        <v>2052.81</v>
      </c>
      <c r="HX51" s="301">
        <v>2159.7780000000002</v>
      </c>
      <c r="HY51" s="301">
        <v>1899.2939999999999</v>
      </c>
      <c r="HZ51" s="301">
        <v>2061.27</v>
      </c>
      <c r="IA51" s="301">
        <v>1983.6179999999999</v>
      </c>
      <c r="IB51" s="301">
        <v>1944.3899999999999</v>
      </c>
      <c r="IC51" s="301">
        <v>1785.6659999999999</v>
      </c>
      <c r="ID51" s="301">
        <v>1817.6399999999999</v>
      </c>
      <c r="IE51" s="301">
        <v>1857.3239999999998</v>
      </c>
      <c r="IF51" s="301">
        <v>1811.3220000000001</v>
      </c>
      <c r="IG51" s="301">
        <v>1762.8959999999997</v>
      </c>
      <c r="IH51" s="301">
        <v>1715.6459999999997</v>
      </c>
      <c r="II51" s="301">
        <v>1726.758</v>
      </c>
      <c r="IJ51" s="301">
        <v>2019.0359999999998</v>
      </c>
      <c r="IK51" s="301">
        <v>2063.652</v>
      </c>
      <c r="IL51" s="301">
        <v>2041.8720000000001</v>
      </c>
      <c r="IM51" s="301">
        <v>1897.9860000000001</v>
      </c>
      <c r="IN51" s="333">
        <v>1909.0439999999999</v>
      </c>
      <c r="IO51" s="333">
        <v>2020.8359999999998</v>
      </c>
      <c r="IP51" s="333">
        <v>2054.0819999999999</v>
      </c>
      <c r="IQ51" s="333">
        <v>2241.42</v>
      </c>
      <c r="IR51" s="333">
        <v>2427.672</v>
      </c>
      <c r="IS51" s="333">
        <v>2191.83</v>
      </c>
      <c r="IT51" s="333">
        <v>2383.8720000000003</v>
      </c>
      <c r="IU51" s="333">
        <v>2492.8679999999999</v>
      </c>
      <c r="IV51" s="333">
        <v>2821.6619999999998</v>
      </c>
      <c r="IW51" s="334">
        <v>2827.9279999999999</v>
      </c>
      <c r="IX51" s="334">
        <v>3009.3440000000001</v>
      </c>
      <c r="IY51" s="334">
        <v>3105.6860000000001</v>
      </c>
      <c r="IZ51" s="334">
        <v>2717.62</v>
      </c>
      <c r="JA51" s="334">
        <v>2912.7260000000001</v>
      </c>
      <c r="JB51" s="334">
        <v>2868.3960000000002</v>
      </c>
      <c r="JC51" s="334">
        <v>3222.346</v>
      </c>
      <c r="JD51" s="334">
        <v>2803.22</v>
      </c>
      <c r="JE51" s="334">
        <v>2715.962</v>
      </c>
      <c r="JF51" s="334">
        <v>2894.4760000000001</v>
      </c>
      <c r="JG51" s="334">
        <v>2929.1060000000002</v>
      </c>
      <c r="JH51" s="334">
        <v>2996.788</v>
      </c>
      <c r="JI51" s="334">
        <v>3094.136</v>
      </c>
      <c r="JJ51" s="334">
        <v>2670.596</v>
      </c>
      <c r="JK51" s="540">
        <v>2529.444</v>
      </c>
    </row>
    <row r="52" spans="1:673" x14ac:dyDescent="0.25">
      <c r="A52" s="303" t="s">
        <v>72</v>
      </c>
      <c r="B52" s="304">
        <v>5353.9979999999996</v>
      </c>
      <c r="C52" s="304">
        <v>5317.4040000000005</v>
      </c>
      <c r="D52" s="304">
        <v>7955.2619999999997</v>
      </c>
      <c r="E52" s="304">
        <v>5501.22</v>
      </c>
      <c r="F52" s="304">
        <v>5980.0320000000002</v>
      </c>
      <c r="G52" s="304">
        <v>5608.08</v>
      </c>
      <c r="H52" s="304">
        <v>5950.3620000000001</v>
      </c>
      <c r="I52" s="304">
        <v>5991.6</v>
      </c>
      <c r="J52" s="304">
        <v>5892.018</v>
      </c>
      <c r="K52" s="304">
        <v>6095.8679999999995</v>
      </c>
      <c r="L52" s="304">
        <v>5993.9279999999999</v>
      </c>
      <c r="M52" s="304">
        <v>5339.79</v>
      </c>
      <c r="N52" s="304">
        <v>5299.2060000000001</v>
      </c>
      <c r="O52" s="304">
        <v>5308.4219999999996</v>
      </c>
      <c r="P52" s="304">
        <v>5496.9120000000003</v>
      </c>
      <c r="Q52" s="304">
        <v>5915.2440000000006</v>
      </c>
      <c r="R52" s="304">
        <v>5835.4380000000001</v>
      </c>
      <c r="S52" s="304">
        <v>5149.2539999999999</v>
      </c>
      <c r="T52" s="304">
        <v>5877.36</v>
      </c>
      <c r="U52" s="304">
        <v>5913.4500000000007</v>
      </c>
      <c r="V52" s="304">
        <v>5589.3119999999999</v>
      </c>
      <c r="W52" s="304">
        <v>5538.6479999999992</v>
      </c>
      <c r="X52" s="304">
        <v>5874.6540000000005</v>
      </c>
      <c r="Y52" s="304">
        <v>5553.6179999999995</v>
      </c>
      <c r="Z52" s="304">
        <v>5474.4539999999997</v>
      </c>
      <c r="AA52" s="304">
        <v>5543.7659999999996</v>
      </c>
      <c r="AB52" s="304">
        <v>6010.116</v>
      </c>
      <c r="AC52" s="304">
        <v>6185.1660000000011</v>
      </c>
      <c r="AD52" s="304">
        <v>6934.9920000000002</v>
      </c>
      <c r="AE52" s="304">
        <v>6169.3680000000004</v>
      </c>
      <c r="AF52" s="304">
        <v>6740.8439999999991</v>
      </c>
      <c r="AG52" s="304">
        <v>6005.3639999999996</v>
      </c>
      <c r="AH52" s="304">
        <v>5931.7440000000006</v>
      </c>
      <c r="AI52" s="304">
        <v>5789.64</v>
      </c>
      <c r="AJ52" s="304">
        <v>5708.0039999999999</v>
      </c>
      <c r="AK52" s="304">
        <v>5565.732</v>
      </c>
      <c r="AL52" s="304">
        <v>5523.4319999999998</v>
      </c>
      <c r="AM52" s="304">
        <v>5829.36</v>
      </c>
      <c r="AN52" s="304">
        <v>7120.4639999999999</v>
      </c>
      <c r="AO52" s="304">
        <v>6563.0999999999995</v>
      </c>
      <c r="AP52" s="304">
        <v>6886.5960000000005</v>
      </c>
      <c r="AQ52" s="304">
        <v>7345.1639999999998</v>
      </c>
      <c r="AR52" s="304">
        <v>7055.3220000000001</v>
      </c>
      <c r="AS52" s="304">
        <v>7223.7060000000001</v>
      </c>
      <c r="AT52" s="304">
        <v>7191.5999999999995</v>
      </c>
      <c r="AU52" s="304">
        <v>7633.1280000000006</v>
      </c>
      <c r="AV52" s="304">
        <v>7664.7659999999996</v>
      </c>
      <c r="AW52" s="304">
        <v>7454.4060000000009</v>
      </c>
      <c r="AX52" s="304">
        <v>7672.637999999999</v>
      </c>
      <c r="AY52" s="304">
        <v>7650.75</v>
      </c>
      <c r="AZ52" s="304">
        <v>8377.0319999999992</v>
      </c>
      <c r="BA52" s="304">
        <v>8592.6180000000004</v>
      </c>
      <c r="BB52" s="304">
        <v>8782.2540000000008</v>
      </c>
      <c r="BC52" s="304">
        <v>8606.49</v>
      </c>
      <c r="BD52" s="304">
        <v>9570.6059999999998</v>
      </c>
      <c r="BE52" s="304">
        <v>8926.5720000000001</v>
      </c>
      <c r="BF52" s="304">
        <v>8496.366</v>
      </c>
      <c r="BG52" s="304">
        <v>8781.3060000000005</v>
      </c>
      <c r="BH52" s="304">
        <v>9049.8180000000011</v>
      </c>
      <c r="BI52" s="304">
        <v>8196.1500000000015</v>
      </c>
      <c r="BJ52" s="304">
        <v>8580.7199999999993</v>
      </c>
      <c r="BK52" s="304">
        <v>8868.5399999999991</v>
      </c>
      <c r="BL52" s="304">
        <v>10235.19</v>
      </c>
      <c r="BM52" s="304">
        <v>9554.0879999999997</v>
      </c>
      <c r="BN52" s="304">
        <v>10640.099999999999</v>
      </c>
      <c r="BO52" s="304">
        <v>11138.603999999999</v>
      </c>
      <c r="BP52" s="304">
        <v>10734.335999999999</v>
      </c>
      <c r="BQ52" s="304">
        <v>11707.727999999999</v>
      </c>
      <c r="BR52" s="304">
        <v>11766.45</v>
      </c>
      <c r="BS52" s="304">
        <v>11582.526</v>
      </c>
      <c r="BT52" s="304">
        <v>11951.892</v>
      </c>
      <c r="BU52" s="304">
        <v>11679.792000000001</v>
      </c>
      <c r="BV52" s="304">
        <v>11056.727999999999</v>
      </c>
      <c r="BW52" s="304">
        <v>11873.088</v>
      </c>
      <c r="BX52" s="304">
        <v>14053.998</v>
      </c>
      <c r="BY52" s="304">
        <v>12458.946</v>
      </c>
      <c r="BZ52" s="304">
        <v>13319.838</v>
      </c>
      <c r="CA52" s="304">
        <v>13440.72</v>
      </c>
      <c r="CB52" s="304">
        <v>13005.275999999998</v>
      </c>
      <c r="CC52" s="304">
        <v>14717.268</v>
      </c>
      <c r="CD52" s="304">
        <v>14379.468000000001</v>
      </c>
      <c r="CE52" s="304">
        <v>12645.408000000001</v>
      </c>
      <c r="CF52" s="304">
        <v>12726.534</v>
      </c>
      <c r="CG52" s="304">
        <v>11191.572</v>
      </c>
      <c r="CH52" s="304">
        <v>11501.19</v>
      </c>
      <c r="CI52" s="304">
        <v>11693.25</v>
      </c>
      <c r="CJ52" s="304">
        <v>12110.184000000001</v>
      </c>
      <c r="CK52" s="304">
        <v>12309.545999999998</v>
      </c>
      <c r="CL52" s="304">
        <v>12877.091999999999</v>
      </c>
      <c r="CM52" s="304">
        <v>12896.118</v>
      </c>
      <c r="CN52" s="304">
        <v>14371.542000000001</v>
      </c>
      <c r="CO52" s="304">
        <v>15125.957999999999</v>
      </c>
      <c r="CP52" s="304">
        <v>13144.056</v>
      </c>
      <c r="CQ52" s="304">
        <v>12802.956</v>
      </c>
      <c r="CR52" s="304">
        <v>11445.462</v>
      </c>
      <c r="CS52" s="304">
        <v>10379.58</v>
      </c>
      <c r="CT52" s="304">
        <v>9185.1959999999999</v>
      </c>
      <c r="CU52" s="304">
        <v>8073.2939999999999</v>
      </c>
      <c r="CV52" s="304">
        <v>8106.5999999999995</v>
      </c>
      <c r="CW52" s="304">
        <v>7304.3460000000005</v>
      </c>
      <c r="CX52" s="304">
        <v>7227.3180000000011</v>
      </c>
      <c r="CY52" s="304">
        <v>7245.7079999999996</v>
      </c>
      <c r="CZ52" s="304">
        <v>7066.4400000000005</v>
      </c>
      <c r="DA52" s="304">
        <v>7788.1620000000003</v>
      </c>
      <c r="DB52" s="304">
        <v>6675.6840000000002</v>
      </c>
      <c r="DC52" s="304">
        <v>6993.7920000000004</v>
      </c>
      <c r="DD52" s="304">
        <v>6735.6479999999992</v>
      </c>
      <c r="DE52" s="304">
        <v>6561.3180000000011</v>
      </c>
      <c r="DF52" s="304">
        <v>6659.6460000000006</v>
      </c>
      <c r="DG52" s="304">
        <v>6949.0439999999999</v>
      </c>
      <c r="DH52" s="304">
        <v>7487.4479999999994</v>
      </c>
      <c r="DI52" s="304">
        <v>7107.33</v>
      </c>
      <c r="DJ52" s="304">
        <v>7561.7040000000006</v>
      </c>
      <c r="DK52" s="304">
        <v>8021.3819999999996</v>
      </c>
      <c r="DL52" s="304">
        <v>7937.8320000000003</v>
      </c>
      <c r="DM52" s="304">
        <v>8269.5300000000007</v>
      </c>
      <c r="DN52" s="304">
        <v>8335.0680000000011</v>
      </c>
      <c r="DO52" s="304">
        <v>9264.4319999999989</v>
      </c>
      <c r="DP52" s="304">
        <v>9055.985999999999</v>
      </c>
      <c r="DQ52" s="304">
        <v>8572.134</v>
      </c>
      <c r="DR52" s="304">
        <v>8439.0960000000014</v>
      </c>
      <c r="DS52" s="304">
        <v>8804.19</v>
      </c>
      <c r="DT52" s="304">
        <v>9482.91</v>
      </c>
      <c r="DU52" s="304">
        <v>9175.0259999999998</v>
      </c>
      <c r="DV52" s="304">
        <v>10079.922</v>
      </c>
      <c r="DW52" s="304">
        <v>9848.25</v>
      </c>
      <c r="DX52" s="304">
        <v>9546.5820000000003</v>
      </c>
      <c r="DY52" s="304">
        <v>10036.008</v>
      </c>
      <c r="DZ52" s="304">
        <v>9123.93</v>
      </c>
      <c r="EA52" s="304">
        <v>9473.19</v>
      </c>
      <c r="EB52" s="304">
        <v>9417.0239999999994</v>
      </c>
      <c r="EC52" s="304">
        <v>8204.4239999999991</v>
      </c>
      <c r="ED52" s="304">
        <v>8380.0740000000005</v>
      </c>
      <c r="EE52" s="304">
        <v>8655.4500000000007</v>
      </c>
      <c r="EF52" s="304">
        <v>8534.7839999999997</v>
      </c>
      <c r="EG52" s="304">
        <v>7920.99</v>
      </c>
      <c r="EH52" s="304">
        <v>8323.4940000000006</v>
      </c>
      <c r="EI52" s="304">
        <v>8213.0399999999991</v>
      </c>
      <c r="EJ52" s="304">
        <v>8308.7880000000005</v>
      </c>
      <c r="EK52" s="304">
        <v>8368.152</v>
      </c>
      <c r="EL52" s="304">
        <v>7843.134</v>
      </c>
      <c r="EM52" s="304">
        <v>9071.82</v>
      </c>
      <c r="EN52" s="304">
        <v>8220.768</v>
      </c>
      <c r="EO52" s="304">
        <v>6912.7260000000006</v>
      </c>
      <c r="EP52" s="304">
        <v>7058.8680000000004</v>
      </c>
      <c r="EQ52" s="304">
        <v>6998.3939999999993</v>
      </c>
      <c r="ER52" s="304">
        <v>7252.5599999999995</v>
      </c>
      <c r="ES52" s="304">
        <v>7255.68</v>
      </c>
      <c r="ET52" s="304">
        <v>7071.3360000000002</v>
      </c>
      <c r="EU52" s="304">
        <v>6962.7179999999998</v>
      </c>
      <c r="EV52" s="304">
        <v>6870.174</v>
      </c>
      <c r="EW52" s="304">
        <v>6732.12</v>
      </c>
      <c r="EX52" s="304">
        <v>6484.83</v>
      </c>
      <c r="EY52" s="304">
        <v>7013.1419999999998</v>
      </c>
      <c r="EZ52" s="304">
        <v>6511.3680000000004</v>
      </c>
      <c r="FA52" s="304">
        <v>5788.7880000000005</v>
      </c>
      <c r="FB52" s="304">
        <v>5847.2340000000004</v>
      </c>
      <c r="FC52" s="304">
        <v>5651.0340000000006</v>
      </c>
      <c r="FD52" s="304">
        <v>6097.0439999999999</v>
      </c>
      <c r="FE52" s="304">
        <v>5462.5860000000002</v>
      </c>
      <c r="FF52" s="304">
        <v>6361.9079999999994</v>
      </c>
      <c r="FG52" s="304">
        <v>5707.86</v>
      </c>
      <c r="FH52" s="304">
        <v>6072.7080000000005</v>
      </c>
      <c r="FI52" s="304">
        <v>5873.652</v>
      </c>
      <c r="FJ52" s="304">
        <v>5575.2060000000001</v>
      </c>
      <c r="FK52" s="304">
        <v>6060.2460000000001</v>
      </c>
      <c r="FL52" s="304">
        <v>5865.6959999999999</v>
      </c>
      <c r="FM52" s="304">
        <v>5307.8639999999996</v>
      </c>
      <c r="FN52" s="304">
        <v>5476.1760000000004</v>
      </c>
      <c r="FO52" s="304">
        <v>5592.15</v>
      </c>
      <c r="FP52" s="304">
        <v>6101.4480000000003</v>
      </c>
      <c r="FQ52" s="304">
        <v>5727.1080000000002</v>
      </c>
      <c r="FR52" s="304">
        <v>6200.4540000000006</v>
      </c>
      <c r="FS52" s="304">
        <v>6213.264000000001</v>
      </c>
      <c r="FT52" s="304">
        <v>6157.1880000000001</v>
      </c>
      <c r="FU52" s="304">
        <v>5905.8119999999999</v>
      </c>
      <c r="FV52" s="304">
        <v>5854.4580000000005</v>
      </c>
      <c r="FW52" s="304">
        <v>7149.9959999999992</v>
      </c>
      <c r="FX52" s="304">
        <v>5585.8979999999992</v>
      </c>
      <c r="FY52" s="304">
        <v>5148.9480000000003</v>
      </c>
      <c r="FZ52" s="304">
        <v>5142.3720000000003</v>
      </c>
      <c r="GA52" s="304">
        <v>5157.6540000000005</v>
      </c>
      <c r="GB52" s="304">
        <v>5453.9940000000006</v>
      </c>
      <c r="GC52" s="304">
        <v>5059.4759999999997</v>
      </c>
      <c r="GD52" s="304">
        <v>5628.6419999999998</v>
      </c>
      <c r="GE52" s="304">
        <v>5296.0739999999996</v>
      </c>
      <c r="GF52" s="304">
        <v>5382.3779999999997</v>
      </c>
      <c r="GG52" s="304">
        <v>5371.0140000000001</v>
      </c>
      <c r="GH52" s="304">
        <v>5263.7340000000004</v>
      </c>
      <c r="GI52" s="304">
        <v>5596.2539999999999</v>
      </c>
      <c r="GJ52" s="304">
        <v>5686.0439999999999</v>
      </c>
      <c r="GK52" s="304">
        <v>5285.4179999999997</v>
      </c>
      <c r="GL52" s="304">
        <v>5493.8099999999995</v>
      </c>
      <c r="GM52" s="304">
        <v>5359.6620000000003</v>
      </c>
      <c r="GN52" s="304">
        <v>7230.39</v>
      </c>
      <c r="GO52" s="304">
        <v>5670.5640000000003</v>
      </c>
      <c r="GP52" s="304">
        <v>5941.6139999999996</v>
      </c>
      <c r="GQ52" s="304">
        <v>5810.9400000000005</v>
      </c>
      <c r="GR52" s="304">
        <v>5939.1540000000005</v>
      </c>
      <c r="GS52" s="304">
        <v>5886.2520000000004</v>
      </c>
      <c r="GT52" s="304">
        <v>5384.9279999999999</v>
      </c>
      <c r="GU52" s="304">
        <v>5903.7000000000007</v>
      </c>
      <c r="GV52" s="304">
        <v>5957.43</v>
      </c>
      <c r="GW52" s="304">
        <v>5089.116</v>
      </c>
      <c r="GX52" s="304">
        <v>5238.8280000000004</v>
      </c>
      <c r="GY52" s="304">
        <v>4982.3879999999999</v>
      </c>
      <c r="GZ52" s="304">
        <v>5544.8639999999996</v>
      </c>
      <c r="HA52" s="304">
        <v>5203.7880000000005</v>
      </c>
      <c r="HB52" s="304">
        <v>6048.8220000000001</v>
      </c>
      <c r="HC52" s="304">
        <v>5342.3040000000001</v>
      </c>
      <c r="HD52" s="304">
        <v>5768.79</v>
      </c>
      <c r="HE52" s="304">
        <v>5943.9179999999997</v>
      </c>
      <c r="HF52" s="304">
        <v>5747.43</v>
      </c>
      <c r="HG52" s="304">
        <v>6704.3099999999995</v>
      </c>
      <c r="HH52" s="304">
        <v>6349.014000000001</v>
      </c>
      <c r="HI52" s="304">
        <v>5596.9679999999998</v>
      </c>
      <c r="HJ52" s="304">
        <v>6036.6959999999999</v>
      </c>
      <c r="HK52" s="304">
        <v>6307.9079999999994</v>
      </c>
      <c r="HL52" s="304">
        <v>6699.7860000000001</v>
      </c>
      <c r="HM52" s="304">
        <v>6224.5439999999999</v>
      </c>
      <c r="HN52" s="304">
        <v>6819.7199999999993</v>
      </c>
      <c r="HO52" s="304">
        <v>6589.6979999999994</v>
      </c>
      <c r="HP52" s="304">
        <v>7070.735999999999</v>
      </c>
      <c r="HQ52" s="304">
        <v>6852.9719999999998</v>
      </c>
      <c r="HR52" s="304">
        <v>7018.59</v>
      </c>
      <c r="HS52" s="304">
        <v>8606.58</v>
      </c>
      <c r="HT52" s="304">
        <v>9412.44</v>
      </c>
      <c r="HU52" s="304">
        <v>7342.9920000000002</v>
      </c>
      <c r="HV52" s="304">
        <v>7932.7800000000007</v>
      </c>
      <c r="HW52" s="304">
        <v>7458.33</v>
      </c>
      <c r="HX52" s="304">
        <v>7739.2800000000007</v>
      </c>
      <c r="HY52" s="304">
        <v>6687.576</v>
      </c>
      <c r="HZ52" s="304">
        <v>6852.6360000000004</v>
      </c>
      <c r="IA52" s="304">
        <v>7027.9079999999994</v>
      </c>
      <c r="IB52" s="304">
        <v>7670.0339999999997</v>
      </c>
      <c r="IC52" s="304">
        <v>7281.6479999999992</v>
      </c>
      <c r="ID52" s="304">
        <v>7009.1639999999998</v>
      </c>
      <c r="IE52" s="304">
        <v>7287.7380000000003</v>
      </c>
      <c r="IF52" s="304">
        <v>7461.6419999999998</v>
      </c>
      <c r="IG52" s="304">
        <v>7053.0420000000004</v>
      </c>
      <c r="IH52" s="304">
        <v>7185.2040000000006</v>
      </c>
      <c r="II52" s="304">
        <v>7361.0399999999991</v>
      </c>
      <c r="IJ52" s="304">
        <v>7991.6280000000006</v>
      </c>
      <c r="IK52" s="304">
        <v>7564.08</v>
      </c>
      <c r="IL52" s="304">
        <v>8349.9719999999998</v>
      </c>
      <c r="IM52" s="304">
        <v>8420.4120000000003</v>
      </c>
      <c r="IN52" s="12">
        <v>8207.5439999999999</v>
      </c>
      <c r="IO52" s="12">
        <v>8521.098</v>
      </c>
      <c r="IP52" s="12">
        <v>8508.66</v>
      </c>
      <c r="IQ52" s="12">
        <v>8462.0399999999991</v>
      </c>
      <c r="IR52" s="12">
        <v>8555.67</v>
      </c>
      <c r="IS52" s="12">
        <v>7702.5540000000001</v>
      </c>
      <c r="IT52" s="12">
        <v>7584.5280000000002</v>
      </c>
      <c r="IU52" s="12">
        <v>7624.02</v>
      </c>
      <c r="IV52" s="12">
        <v>9090.2219999999998</v>
      </c>
      <c r="IW52" s="12">
        <v>8453.134</v>
      </c>
      <c r="IX52" s="12">
        <v>8726.1839999999993</v>
      </c>
      <c r="IY52" s="12">
        <v>9753.7199999999993</v>
      </c>
      <c r="IZ52" s="12">
        <v>10112.075999999999</v>
      </c>
      <c r="JA52" s="12">
        <v>10713.404</v>
      </c>
      <c r="JB52" s="12">
        <v>11271.054</v>
      </c>
      <c r="JC52" s="12">
        <v>11467.592000000001</v>
      </c>
      <c r="JD52" s="12">
        <v>10118.407999999999</v>
      </c>
      <c r="JE52" s="12">
        <v>8879.9519999999993</v>
      </c>
      <c r="JF52" s="12">
        <v>7141.0959999999995</v>
      </c>
      <c r="JG52" s="12">
        <v>4500.3379999999997</v>
      </c>
      <c r="JH52" s="12">
        <v>3480.1579999999999</v>
      </c>
      <c r="JI52" s="12">
        <v>3669.2959999999998</v>
      </c>
      <c r="JJ52" s="12">
        <v>3502.5659999999998</v>
      </c>
      <c r="JK52" s="336">
        <v>3354.1239999999998</v>
      </c>
    </row>
    <row r="53" spans="1:673" x14ac:dyDescent="0.25">
      <c r="A53" s="303" t="s">
        <v>162</v>
      </c>
      <c r="B53" s="301">
        <v>554.346</v>
      </c>
      <c r="C53" s="301">
        <v>569.40000000000009</v>
      </c>
      <c r="D53" s="301">
        <v>635.61599999999999</v>
      </c>
      <c r="E53" s="301">
        <v>595.00199999999995</v>
      </c>
      <c r="F53" s="301">
        <v>659.47799999999995</v>
      </c>
      <c r="G53" s="301">
        <v>614.62199999999996</v>
      </c>
      <c r="H53" s="301">
        <v>587.31000000000006</v>
      </c>
      <c r="I53" s="301">
        <v>582.76199999999994</v>
      </c>
      <c r="J53" s="301">
        <v>575.21399999999994</v>
      </c>
      <c r="K53" s="301">
        <v>684.47399999999993</v>
      </c>
      <c r="L53" s="301">
        <v>667.09800000000007</v>
      </c>
      <c r="M53" s="301">
        <v>584.52</v>
      </c>
      <c r="N53" s="301">
        <v>567.45000000000005</v>
      </c>
      <c r="O53" s="301">
        <v>577.62599999999998</v>
      </c>
      <c r="P53" s="301">
        <v>585.34199999999998</v>
      </c>
      <c r="Q53" s="301">
        <v>528.14400000000001</v>
      </c>
      <c r="R53" s="301">
        <v>596.09999999999991</v>
      </c>
      <c r="S53" s="301">
        <v>543.90000000000009</v>
      </c>
      <c r="T53" s="301">
        <v>532.77600000000007</v>
      </c>
      <c r="U53" s="301">
        <v>583.62599999999998</v>
      </c>
      <c r="V53" s="301">
        <v>565.71600000000001</v>
      </c>
      <c r="W53" s="301">
        <v>616.86599999999999</v>
      </c>
      <c r="X53" s="301">
        <v>564.29999999999995</v>
      </c>
      <c r="Y53" s="301">
        <v>510.40800000000002</v>
      </c>
      <c r="Z53" s="301">
        <v>544.26599999999996</v>
      </c>
      <c r="AA53" s="301">
        <v>545.04599999999994</v>
      </c>
      <c r="AB53" s="301">
        <v>575.952</v>
      </c>
      <c r="AC53" s="301">
        <v>542.61</v>
      </c>
      <c r="AD53" s="301">
        <v>595.47</v>
      </c>
      <c r="AE53" s="301">
        <v>531.49800000000005</v>
      </c>
      <c r="AF53" s="301">
        <v>571.54200000000003</v>
      </c>
      <c r="AG53" s="301">
        <v>589.71</v>
      </c>
      <c r="AH53" s="301">
        <v>542.202</v>
      </c>
      <c r="AI53" s="301">
        <v>590.50199999999995</v>
      </c>
      <c r="AJ53" s="301">
        <v>594.87599999999998</v>
      </c>
      <c r="AK53" s="301">
        <v>550.16399999999999</v>
      </c>
      <c r="AL53" s="301">
        <v>587.46600000000001</v>
      </c>
      <c r="AM53" s="301">
        <v>563.20799999999997</v>
      </c>
      <c r="AN53" s="301">
        <v>562.10400000000004</v>
      </c>
      <c r="AO53" s="301">
        <v>518.59800000000007</v>
      </c>
      <c r="AP53" s="301">
        <v>548.346</v>
      </c>
      <c r="AQ53" s="301">
        <v>571.07400000000007</v>
      </c>
      <c r="AR53" s="301">
        <v>583.80600000000004</v>
      </c>
      <c r="AS53" s="301">
        <v>569.904</v>
      </c>
      <c r="AT53" s="301">
        <v>587.99399999999991</v>
      </c>
      <c r="AU53" s="301">
        <v>548.36400000000003</v>
      </c>
      <c r="AV53" s="301">
        <v>586.87199999999996</v>
      </c>
      <c r="AW53" s="301">
        <v>618.92399999999998</v>
      </c>
      <c r="AX53" s="301">
        <v>558.702</v>
      </c>
      <c r="AY53" s="301">
        <v>718.83600000000001</v>
      </c>
      <c r="AZ53" s="301">
        <v>734.31600000000003</v>
      </c>
      <c r="BA53" s="301">
        <v>613.29599999999994</v>
      </c>
      <c r="BB53" s="301">
        <v>667.71</v>
      </c>
      <c r="BC53" s="301">
        <v>687.24</v>
      </c>
      <c r="BD53" s="301">
        <v>673.51199999999994</v>
      </c>
      <c r="BE53" s="301">
        <v>678.89400000000001</v>
      </c>
      <c r="BF53" s="301">
        <v>733.428</v>
      </c>
      <c r="BG53" s="301">
        <v>682.54200000000003</v>
      </c>
      <c r="BH53" s="301">
        <v>675.43799999999999</v>
      </c>
      <c r="BI53" s="301">
        <v>641.81999999999994</v>
      </c>
      <c r="BJ53" s="301">
        <v>621.38400000000001</v>
      </c>
      <c r="BK53" s="301">
        <v>615.41999999999996</v>
      </c>
      <c r="BL53" s="301">
        <v>699.66600000000005</v>
      </c>
      <c r="BM53" s="301">
        <v>570.69600000000003</v>
      </c>
      <c r="BN53" s="301">
        <v>666.06600000000003</v>
      </c>
      <c r="BO53" s="301">
        <v>683.37599999999998</v>
      </c>
      <c r="BP53" s="301">
        <v>668.74199999999996</v>
      </c>
      <c r="BQ53" s="301">
        <v>693.20400000000006</v>
      </c>
      <c r="BR53" s="301">
        <v>734.40599999999995</v>
      </c>
      <c r="BS53" s="301">
        <v>738.15599999999995</v>
      </c>
      <c r="BT53" s="301">
        <v>743.55</v>
      </c>
      <c r="BU53" s="301">
        <v>611.36400000000003</v>
      </c>
      <c r="BV53" s="301">
        <v>667.96800000000007</v>
      </c>
      <c r="BW53" s="301">
        <v>698.56200000000001</v>
      </c>
      <c r="BX53" s="301">
        <v>747.80399999999997</v>
      </c>
      <c r="BY53" s="301">
        <v>635.30399999999997</v>
      </c>
      <c r="BZ53" s="301">
        <v>732.96600000000001</v>
      </c>
      <c r="CA53" s="301">
        <v>683.10599999999999</v>
      </c>
      <c r="CB53" s="301">
        <v>680.322</v>
      </c>
      <c r="CC53" s="301">
        <v>714.21</v>
      </c>
      <c r="CD53" s="301">
        <v>661.16399999999999</v>
      </c>
      <c r="CE53" s="301">
        <v>772.27199999999993</v>
      </c>
      <c r="CF53" s="301">
        <v>764.04599999999994</v>
      </c>
      <c r="CG53" s="301">
        <v>671.53199999999993</v>
      </c>
      <c r="CH53" s="301">
        <v>670.27200000000005</v>
      </c>
      <c r="CI53" s="301">
        <v>630.93000000000006</v>
      </c>
      <c r="CJ53" s="301">
        <v>610.0440000000001</v>
      </c>
      <c r="CK53" s="301">
        <v>742.17599999999993</v>
      </c>
      <c r="CL53" s="301">
        <v>694.21199999999999</v>
      </c>
      <c r="CM53" s="301">
        <v>718.48800000000006</v>
      </c>
      <c r="CN53" s="301">
        <v>832.428</v>
      </c>
      <c r="CO53" s="301">
        <v>800.46</v>
      </c>
      <c r="CP53" s="301">
        <v>800.77199999999993</v>
      </c>
      <c r="CQ53" s="301">
        <v>765.26400000000001</v>
      </c>
      <c r="CR53" s="301">
        <v>679.21800000000007</v>
      </c>
      <c r="CS53" s="301">
        <v>680.61</v>
      </c>
      <c r="CT53" s="301">
        <v>628.87199999999996</v>
      </c>
      <c r="CU53" s="301">
        <v>644.5440000000001</v>
      </c>
      <c r="CV53" s="301">
        <v>698.41800000000001</v>
      </c>
      <c r="CW53" s="301">
        <v>690.40800000000002</v>
      </c>
      <c r="CX53" s="301">
        <v>826.23599999999988</v>
      </c>
      <c r="CY53" s="301">
        <v>791.6880000000001</v>
      </c>
      <c r="CZ53" s="301">
        <v>881.81999999999994</v>
      </c>
      <c r="DA53" s="301">
        <v>867.18000000000006</v>
      </c>
      <c r="DB53" s="301">
        <v>869.80799999999999</v>
      </c>
      <c r="DC53" s="301">
        <v>874.43399999999997</v>
      </c>
      <c r="DD53" s="301">
        <v>777.27599999999995</v>
      </c>
      <c r="DE53" s="301">
        <v>779.08200000000011</v>
      </c>
      <c r="DF53" s="301">
        <v>698.16</v>
      </c>
      <c r="DG53" s="301">
        <v>704.20799999999997</v>
      </c>
      <c r="DH53" s="301">
        <v>777.44400000000007</v>
      </c>
      <c r="DI53" s="301">
        <v>758.52</v>
      </c>
      <c r="DJ53" s="301">
        <v>815.82600000000002</v>
      </c>
      <c r="DK53" s="301">
        <v>819.70799999999997</v>
      </c>
      <c r="DL53" s="301">
        <v>857.94</v>
      </c>
      <c r="DM53" s="301">
        <v>955.44</v>
      </c>
      <c r="DN53" s="301">
        <v>847.19999999999993</v>
      </c>
      <c r="DO53" s="301">
        <v>788.56799999999998</v>
      </c>
      <c r="DP53" s="301">
        <v>747.2940000000001</v>
      </c>
      <c r="DQ53" s="301">
        <v>659.01</v>
      </c>
      <c r="DR53" s="301">
        <v>641.85599999999999</v>
      </c>
      <c r="DS53" s="301">
        <v>638.31000000000006</v>
      </c>
      <c r="DT53" s="301">
        <v>750.16200000000003</v>
      </c>
      <c r="DU53" s="301">
        <v>712.88400000000001</v>
      </c>
      <c r="DV53" s="301">
        <v>814.77</v>
      </c>
      <c r="DW53" s="301">
        <v>812.29200000000003</v>
      </c>
      <c r="DX53" s="301">
        <v>926.11200000000008</v>
      </c>
      <c r="DY53" s="301">
        <v>1134.2759999999998</v>
      </c>
      <c r="DZ53" s="301">
        <v>919.99199999999996</v>
      </c>
      <c r="EA53" s="301">
        <v>880.37400000000002</v>
      </c>
      <c r="EB53" s="301">
        <v>841.92</v>
      </c>
      <c r="EC53" s="301">
        <v>706.37400000000002</v>
      </c>
      <c r="ED53" s="301">
        <v>801.79200000000003</v>
      </c>
      <c r="EE53" s="301">
        <v>842.40000000000009</v>
      </c>
      <c r="EF53" s="301">
        <v>868.0440000000001</v>
      </c>
      <c r="EG53" s="301">
        <v>796.55399999999986</v>
      </c>
      <c r="EH53" s="301">
        <v>821.5440000000001</v>
      </c>
      <c r="EI53" s="301">
        <v>815.88599999999997</v>
      </c>
      <c r="EJ53" s="301">
        <v>836.67</v>
      </c>
      <c r="EK53" s="301">
        <v>837.76200000000006</v>
      </c>
      <c r="EL53" s="301">
        <v>885.58800000000008</v>
      </c>
      <c r="EM53" s="301">
        <v>891.46199999999999</v>
      </c>
      <c r="EN53" s="301">
        <v>1058.7719999999999</v>
      </c>
      <c r="EO53" s="301">
        <v>933.43200000000002</v>
      </c>
      <c r="EP53" s="301">
        <v>917.71199999999999</v>
      </c>
      <c r="EQ53" s="301">
        <v>895.33200000000011</v>
      </c>
      <c r="ER53" s="301">
        <v>908.45399999999995</v>
      </c>
      <c r="ES53" s="301">
        <v>874.92</v>
      </c>
      <c r="ET53" s="301">
        <v>913.62599999999998</v>
      </c>
      <c r="EU53" s="301">
        <v>914.02800000000002</v>
      </c>
      <c r="EV53" s="301">
        <v>987.10799999999995</v>
      </c>
      <c r="EW53" s="301">
        <v>1172.682</v>
      </c>
      <c r="EX53" s="301">
        <v>1029.9479999999999</v>
      </c>
      <c r="EY53" s="301">
        <v>1079.3820000000001</v>
      </c>
      <c r="EZ53" s="301">
        <v>1060.164</v>
      </c>
      <c r="FA53" s="301">
        <v>866.53199999999993</v>
      </c>
      <c r="FB53" s="301">
        <v>789.08999999999992</v>
      </c>
      <c r="FC53" s="301">
        <v>786.30599999999993</v>
      </c>
      <c r="FD53" s="301">
        <v>853.08</v>
      </c>
      <c r="FE53" s="301">
        <v>804.94200000000001</v>
      </c>
      <c r="FF53" s="301">
        <v>838.9559999999999</v>
      </c>
      <c r="FG53" s="301">
        <v>800.25</v>
      </c>
      <c r="FH53" s="301">
        <v>758.18999999999994</v>
      </c>
      <c r="FI53" s="301">
        <v>736.32600000000002</v>
      </c>
      <c r="FJ53" s="301">
        <v>678.28800000000001</v>
      </c>
      <c r="FK53" s="301">
        <v>744.87599999999998</v>
      </c>
      <c r="FL53" s="301">
        <v>709.11599999999999</v>
      </c>
      <c r="FM53" s="301">
        <v>649.92599999999993</v>
      </c>
      <c r="FN53" s="301">
        <v>595.62599999999998</v>
      </c>
      <c r="FO53" s="301">
        <v>573.97199999999998</v>
      </c>
      <c r="FP53" s="301">
        <v>604.51800000000003</v>
      </c>
      <c r="FQ53" s="301">
        <v>590.61</v>
      </c>
      <c r="FR53" s="301">
        <v>593.61</v>
      </c>
      <c r="FS53" s="301">
        <v>624.37199999999996</v>
      </c>
      <c r="FT53" s="301">
        <v>607.9559999999999</v>
      </c>
      <c r="FU53" s="301">
        <v>661.16399999999999</v>
      </c>
      <c r="FV53" s="301">
        <v>637.09199999999998</v>
      </c>
      <c r="FW53" s="301">
        <v>597.26400000000001</v>
      </c>
      <c r="FX53" s="301">
        <v>614.04</v>
      </c>
      <c r="FY53" s="301">
        <v>563.10599999999999</v>
      </c>
      <c r="FZ53" s="301">
        <v>499.30200000000002</v>
      </c>
      <c r="GA53" s="301">
        <v>562.2059999999999</v>
      </c>
      <c r="GB53" s="301">
        <v>566.18399999999997</v>
      </c>
      <c r="GC53" s="301">
        <v>499.74</v>
      </c>
      <c r="GD53" s="301">
        <v>518.97</v>
      </c>
      <c r="GE53" s="301">
        <v>507.76800000000003</v>
      </c>
      <c r="GF53" s="301">
        <v>515.91</v>
      </c>
      <c r="GG53" s="301">
        <v>565.56600000000003</v>
      </c>
      <c r="GH53" s="301">
        <v>533.32799999999997</v>
      </c>
      <c r="GI53" s="301">
        <v>592.30200000000002</v>
      </c>
      <c r="GJ53" s="301">
        <v>534.10199999999998</v>
      </c>
      <c r="GK53" s="301">
        <v>433.76400000000001</v>
      </c>
      <c r="GL53" s="301">
        <v>435.60599999999999</v>
      </c>
      <c r="GM53" s="301">
        <v>412.17599999999999</v>
      </c>
      <c r="GN53" s="301">
        <v>451.19399999999996</v>
      </c>
      <c r="GO53" s="301">
        <v>478.29599999999994</v>
      </c>
      <c r="GP53" s="301">
        <v>558.96</v>
      </c>
      <c r="GQ53" s="301">
        <v>526.34400000000005</v>
      </c>
      <c r="GR53" s="301">
        <v>521.94600000000003</v>
      </c>
      <c r="GS53" s="301">
        <v>599.59199999999998</v>
      </c>
      <c r="GT53" s="301">
        <v>529.10400000000004</v>
      </c>
      <c r="GU53" s="301">
        <v>602.75400000000002</v>
      </c>
      <c r="GV53" s="301">
        <v>596.50199999999995</v>
      </c>
      <c r="GW53" s="301">
        <v>481.09199999999998</v>
      </c>
      <c r="GX53" s="301">
        <v>550.25400000000002</v>
      </c>
      <c r="GY53" s="301">
        <v>508.24799999999999</v>
      </c>
      <c r="GZ53" s="301">
        <v>589.63200000000006</v>
      </c>
      <c r="HA53" s="301">
        <v>548.51400000000001</v>
      </c>
      <c r="HB53" s="301">
        <v>603.99599999999998</v>
      </c>
      <c r="HC53" s="301">
        <v>669.39599999999996</v>
      </c>
      <c r="HD53" s="301">
        <v>672.06600000000003</v>
      </c>
      <c r="HE53" s="301">
        <v>702.85199999999998</v>
      </c>
      <c r="HF53" s="301">
        <v>642.25800000000004</v>
      </c>
      <c r="HG53" s="301">
        <v>633.36599999999999</v>
      </c>
      <c r="HH53" s="301">
        <v>591.78600000000006</v>
      </c>
      <c r="HI53" s="301">
        <v>566.93999999999994</v>
      </c>
      <c r="HJ53" s="301">
        <v>554.43000000000006</v>
      </c>
      <c r="HK53" s="301">
        <v>508.72200000000004</v>
      </c>
      <c r="HL53" s="301">
        <v>544.90199999999993</v>
      </c>
      <c r="HM53" s="301">
        <v>534.89400000000001</v>
      </c>
      <c r="HN53" s="301">
        <v>730.18200000000002</v>
      </c>
      <c r="HO53" s="301">
        <v>688.22399999999993</v>
      </c>
      <c r="HP53" s="333">
        <v>682.35599999999999</v>
      </c>
      <c r="HQ53" s="333">
        <v>710.82600000000002</v>
      </c>
      <c r="HR53" s="333">
        <v>813.02399999999989</v>
      </c>
      <c r="HS53" s="333">
        <v>687.75600000000009</v>
      </c>
      <c r="HT53" s="333">
        <v>657.37800000000004</v>
      </c>
      <c r="HU53" s="333">
        <v>592.54200000000003</v>
      </c>
      <c r="HV53" s="301">
        <v>608.67599999999993</v>
      </c>
      <c r="HW53" s="301">
        <v>632.86799999999994</v>
      </c>
      <c r="HX53" s="301">
        <v>620.33399999999995</v>
      </c>
      <c r="HY53" s="301">
        <v>547.07400000000007</v>
      </c>
      <c r="HZ53" s="301">
        <v>582.20400000000006</v>
      </c>
      <c r="IA53" s="301">
        <v>607.83600000000001</v>
      </c>
      <c r="IB53" s="301">
        <v>580.05600000000004</v>
      </c>
      <c r="IC53" s="301">
        <v>691.33199999999999</v>
      </c>
      <c r="ID53" s="301">
        <v>573.68999999999994</v>
      </c>
      <c r="IE53" s="301">
        <v>654.43799999999999</v>
      </c>
      <c r="IF53" s="301">
        <v>573.15599999999995</v>
      </c>
      <c r="IG53" s="301">
        <v>521.70000000000005</v>
      </c>
      <c r="IH53" s="301">
        <v>523.26599999999996</v>
      </c>
      <c r="II53" s="301">
        <v>705.61200000000008</v>
      </c>
      <c r="IJ53" s="301">
        <v>634.47</v>
      </c>
      <c r="IK53" s="301">
        <v>615.91200000000003</v>
      </c>
      <c r="IL53" s="301">
        <v>726.30600000000004</v>
      </c>
      <c r="IM53" s="301">
        <v>665.95799999999997</v>
      </c>
      <c r="IN53" s="333">
        <v>710.71199999999999</v>
      </c>
      <c r="IO53" s="333">
        <v>741.40199999999993</v>
      </c>
      <c r="IP53" s="333">
        <v>733.30799999999999</v>
      </c>
      <c r="IQ53" s="333">
        <v>750.31799999999998</v>
      </c>
      <c r="IR53" s="333">
        <v>775.62000000000012</v>
      </c>
      <c r="IS53" s="333">
        <v>665.79</v>
      </c>
      <c r="IT53" s="333">
        <v>708.678</v>
      </c>
      <c r="IU53" s="333">
        <v>789.71399999999994</v>
      </c>
      <c r="IV53" s="333">
        <v>1109.0219999999999</v>
      </c>
      <c r="IW53" s="334">
        <v>968.21199999999999</v>
      </c>
      <c r="IX53" s="334">
        <v>1074.384</v>
      </c>
      <c r="IY53" s="334">
        <v>1026.9839999999999</v>
      </c>
      <c r="IZ53" s="334">
        <v>921.53399999999999</v>
      </c>
      <c r="JA53" s="334">
        <v>973.13599999999997</v>
      </c>
      <c r="JB53" s="334">
        <v>1101.106</v>
      </c>
      <c r="JC53" s="334">
        <v>1013.114</v>
      </c>
      <c r="JD53" s="334">
        <v>1057.126</v>
      </c>
      <c r="JE53" s="334">
        <v>1171.808</v>
      </c>
      <c r="JF53" s="334">
        <v>1179.8599999999999</v>
      </c>
      <c r="JG53" s="334">
        <v>1007.438</v>
      </c>
      <c r="JH53" s="334">
        <v>1010.986</v>
      </c>
      <c r="JI53" s="334">
        <v>1223.8979999999999</v>
      </c>
      <c r="JJ53" s="334">
        <v>1159.99</v>
      </c>
      <c r="JK53" s="335">
        <v>959.03800000000001</v>
      </c>
    </row>
    <row r="54" spans="1:673" x14ac:dyDescent="0.25">
      <c r="A54" s="303" t="s">
        <v>74</v>
      </c>
      <c r="B54" s="304">
        <v>1244.0340000000001</v>
      </c>
      <c r="C54" s="304">
        <v>1284.9659999999999</v>
      </c>
      <c r="D54" s="304">
        <v>1447.1880000000001</v>
      </c>
      <c r="E54" s="304">
        <v>1379.8440000000001</v>
      </c>
      <c r="F54" s="304">
        <v>1491.5160000000001</v>
      </c>
      <c r="G54" s="304">
        <v>1425.702</v>
      </c>
      <c r="H54" s="304">
        <v>1461.5880000000002</v>
      </c>
      <c r="I54" s="304">
        <v>1488.5160000000001</v>
      </c>
      <c r="J54" s="304">
        <v>1455.6480000000001</v>
      </c>
      <c r="K54" s="304">
        <v>1446.6779999999999</v>
      </c>
      <c r="L54" s="304">
        <v>1409.136</v>
      </c>
      <c r="M54" s="304">
        <v>1258.3799999999999</v>
      </c>
      <c r="N54" s="304">
        <v>1339.566</v>
      </c>
      <c r="O54" s="304">
        <v>1298.646</v>
      </c>
      <c r="P54" s="304">
        <v>1369.2059999999999</v>
      </c>
      <c r="Q54" s="304">
        <v>1316.232</v>
      </c>
      <c r="R54" s="304">
        <v>1243.086</v>
      </c>
      <c r="S54" s="304">
        <v>1323.624</v>
      </c>
      <c r="T54" s="304">
        <v>1485.0239999999999</v>
      </c>
      <c r="U54" s="304">
        <v>1396.5840000000001</v>
      </c>
      <c r="V54" s="304">
        <v>1351.962</v>
      </c>
      <c r="W54" s="304">
        <v>1495.5360000000001</v>
      </c>
      <c r="X54" s="304">
        <v>1477.4939999999999</v>
      </c>
      <c r="Y54" s="304">
        <v>1243.08</v>
      </c>
      <c r="Z54" s="304">
        <v>1167.18</v>
      </c>
      <c r="AA54" s="304">
        <v>1164.1559999999999</v>
      </c>
      <c r="AB54" s="304">
        <v>1290.5039999999999</v>
      </c>
      <c r="AC54" s="304">
        <v>1264.626</v>
      </c>
      <c r="AD54" s="304">
        <v>1314.2460000000001</v>
      </c>
      <c r="AE54" s="304">
        <v>1258.7280000000001</v>
      </c>
      <c r="AF54" s="304">
        <v>1363.0919999999999</v>
      </c>
      <c r="AG54" s="304">
        <v>1291.0500000000002</v>
      </c>
      <c r="AH54" s="304">
        <v>1312.3139999999999</v>
      </c>
      <c r="AI54" s="304">
        <v>1398.204</v>
      </c>
      <c r="AJ54" s="304">
        <v>1343.1960000000001</v>
      </c>
      <c r="AK54" s="304">
        <v>1294.2240000000002</v>
      </c>
      <c r="AL54" s="304">
        <v>1209.288</v>
      </c>
      <c r="AM54" s="304">
        <v>1342.59</v>
      </c>
      <c r="AN54" s="304">
        <v>1463.4179999999999</v>
      </c>
      <c r="AO54" s="304">
        <v>1336.998</v>
      </c>
      <c r="AP54" s="304">
        <v>1412.3340000000001</v>
      </c>
      <c r="AQ54" s="304">
        <v>1582.242</v>
      </c>
      <c r="AR54" s="304">
        <v>1528.4279999999999</v>
      </c>
      <c r="AS54" s="304">
        <v>1631.3340000000001</v>
      </c>
      <c r="AT54" s="304">
        <v>1661.6459999999997</v>
      </c>
      <c r="AU54" s="304">
        <v>1704.7020000000002</v>
      </c>
      <c r="AV54" s="304">
        <v>1677.66</v>
      </c>
      <c r="AW54" s="304">
        <v>1568.8980000000001</v>
      </c>
      <c r="AX54" s="304">
        <v>1473.6659999999999</v>
      </c>
      <c r="AY54" s="304">
        <v>1547.1959999999999</v>
      </c>
      <c r="AZ54" s="304">
        <v>1637.046</v>
      </c>
      <c r="BA54" s="304">
        <v>1670.4059999999999</v>
      </c>
      <c r="BB54" s="304">
        <v>1818.864</v>
      </c>
      <c r="BC54" s="304">
        <v>1724.8380000000002</v>
      </c>
      <c r="BD54" s="304">
        <v>1741.1999999999998</v>
      </c>
      <c r="BE54" s="304">
        <v>1870.4459999999999</v>
      </c>
      <c r="BF54" s="304">
        <v>1855.8420000000001</v>
      </c>
      <c r="BG54" s="304">
        <v>1961.7240000000002</v>
      </c>
      <c r="BH54" s="304">
        <v>1944.0240000000001</v>
      </c>
      <c r="BI54" s="304">
        <v>1689.8579999999997</v>
      </c>
      <c r="BJ54" s="304">
        <v>1555.386</v>
      </c>
      <c r="BK54" s="304">
        <v>1531.2240000000002</v>
      </c>
      <c r="BL54" s="304">
        <v>1758.018</v>
      </c>
      <c r="BM54" s="304">
        <v>1709.4180000000001</v>
      </c>
      <c r="BN54" s="304">
        <v>1670.1119999999999</v>
      </c>
      <c r="BO54" s="304">
        <v>1690.3019999999999</v>
      </c>
      <c r="BP54" s="304">
        <v>1625.556</v>
      </c>
      <c r="BQ54" s="304">
        <v>1721.0639999999999</v>
      </c>
      <c r="BR54" s="304">
        <v>1591.0320000000002</v>
      </c>
      <c r="BS54" s="304">
        <v>1631.4119999999998</v>
      </c>
      <c r="BT54" s="304">
        <v>1693.0139999999999</v>
      </c>
      <c r="BU54" s="304">
        <v>1501.6679999999999</v>
      </c>
      <c r="BV54" s="304">
        <v>1548.7919999999999</v>
      </c>
      <c r="BW54" s="304">
        <v>1576.578</v>
      </c>
      <c r="BX54" s="304">
        <v>1618.0439999999999</v>
      </c>
      <c r="BY54" s="304">
        <v>1621.4580000000001</v>
      </c>
      <c r="BZ54" s="304">
        <v>1772.7060000000001</v>
      </c>
      <c r="CA54" s="304">
        <v>1660.2840000000001</v>
      </c>
      <c r="CB54" s="304">
        <v>1752.8220000000001</v>
      </c>
      <c r="CC54" s="304">
        <v>1858.248</v>
      </c>
      <c r="CD54" s="304">
        <v>1892.6459999999997</v>
      </c>
      <c r="CE54" s="304">
        <v>1690.5840000000001</v>
      </c>
      <c r="CF54" s="304">
        <v>1808.4360000000001</v>
      </c>
      <c r="CG54" s="304">
        <v>1724.856</v>
      </c>
      <c r="CH54" s="304">
        <v>1756.3440000000001</v>
      </c>
      <c r="CI54" s="304">
        <v>1777.1220000000001</v>
      </c>
      <c r="CJ54" s="304">
        <v>1773.81</v>
      </c>
      <c r="CK54" s="304">
        <v>1877.94</v>
      </c>
      <c r="CL54" s="304">
        <v>2033.5859999999998</v>
      </c>
      <c r="CM54" s="304">
        <v>1865.9339999999997</v>
      </c>
      <c r="CN54" s="304">
        <v>2102.0280000000002</v>
      </c>
      <c r="CO54" s="304">
        <v>2216.37</v>
      </c>
      <c r="CP54" s="304">
        <v>2120.5920000000001</v>
      </c>
      <c r="CQ54" s="304">
        <v>2227.14</v>
      </c>
      <c r="CR54" s="304">
        <v>2123.9520000000002</v>
      </c>
      <c r="CS54" s="304">
        <v>2160.462</v>
      </c>
      <c r="CT54" s="304">
        <v>2283.288</v>
      </c>
      <c r="CU54" s="304">
        <v>2252.712</v>
      </c>
      <c r="CV54" s="304">
        <v>2028.9659999999999</v>
      </c>
      <c r="CW54" s="304">
        <v>1858.7400000000002</v>
      </c>
      <c r="CX54" s="304">
        <v>2031.1260000000002</v>
      </c>
      <c r="CY54" s="304">
        <v>1941.9180000000001</v>
      </c>
      <c r="CZ54" s="304">
        <v>2017.3440000000001</v>
      </c>
      <c r="DA54" s="304">
        <v>2021.0340000000001</v>
      </c>
      <c r="DB54" s="304">
        <v>1946.7060000000001</v>
      </c>
      <c r="DC54" s="304">
        <v>1983.7140000000002</v>
      </c>
      <c r="DD54" s="304">
        <v>1950.096</v>
      </c>
      <c r="DE54" s="304">
        <v>1965.2939999999999</v>
      </c>
      <c r="DF54" s="304">
        <v>1872.2400000000002</v>
      </c>
      <c r="DG54" s="304">
        <v>1883.91</v>
      </c>
      <c r="DH54" s="304">
        <v>2092.3500000000004</v>
      </c>
      <c r="DI54" s="304">
        <v>2073.174</v>
      </c>
      <c r="DJ54" s="304">
        <v>2264.2860000000001</v>
      </c>
      <c r="DK54" s="304">
        <v>2344.056</v>
      </c>
      <c r="DL54" s="304">
        <v>2384.7840000000001</v>
      </c>
      <c r="DM54" s="304">
        <v>2723.43</v>
      </c>
      <c r="DN54" s="304">
        <v>2652.7080000000001</v>
      </c>
      <c r="DO54" s="304">
        <v>2854.02</v>
      </c>
      <c r="DP54" s="304">
        <v>2786.88</v>
      </c>
      <c r="DQ54" s="304">
        <v>2702.8679999999999</v>
      </c>
      <c r="DR54" s="304">
        <v>2695.2599999999998</v>
      </c>
      <c r="DS54" s="304">
        <v>2715.2759999999998</v>
      </c>
      <c r="DT54" s="304">
        <v>3156.69</v>
      </c>
      <c r="DU54" s="304">
        <v>3039.7919999999999</v>
      </c>
      <c r="DV54" s="304">
        <v>3311.7060000000001</v>
      </c>
      <c r="DW54" s="304">
        <v>3269.5920000000001</v>
      </c>
      <c r="DX54" s="304">
        <v>3383.1419999999998</v>
      </c>
      <c r="DY54" s="304">
        <v>3623.1120000000001</v>
      </c>
      <c r="DZ54" s="304">
        <v>3279.0059999999999</v>
      </c>
      <c r="EA54" s="304">
        <v>3446.712</v>
      </c>
      <c r="EB54" s="304">
        <v>3257.4720000000002</v>
      </c>
      <c r="EC54" s="304">
        <v>2904.69</v>
      </c>
      <c r="ED54" s="304">
        <v>2891.3760000000002</v>
      </c>
      <c r="EE54" s="304">
        <v>2946.81</v>
      </c>
      <c r="EF54" s="304">
        <v>3275.7359999999999</v>
      </c>
      <c r="EG54" s="304">
        <v>2931.8220000000001</v>
      </c>
      <c r="EH54" s="304">
        <v>3246.2640000000001</v>
      </c>
      <c r="EI54" s="304">
        <v>2936.2740000000003</v>
      </c>
      <c r="EJ54" s="304">
        <v>2995.05</v>
      </c>
      <c r="EK54" s="304">
        <v>2883.2039999999997</v>
      </c>
      <c r="EL54" s="304">
        <v>2781.7979999999998</v>
      </c>
      <c r="EM54" s="304">
        <v>2959.8359999999998</v>
      </c>
      <c r="EN54" s="304">
        <v>2643.1079999999997</v>
      </c>
      <c r="EO54" s="304">
        <v>2451.1619999999998</v>
      </c>
      <c r="EP54" s="304">
        <v>2543.8739999999998</v>
      </c>
      <c r="EQ54" s="304">
        <v>2448.1320000000001</v>
      </c>
      <c r="ER54" s="304">
        <v>2694.75</v>
      </c>
      <c r="ES54" s="304">
        <v>2614.674</v>
      </c>
      <c r="ET54" s="304">
        <v>2993.424</v>
      </c>
      <c r="EU54" s="304">
        <v>2683.3500000000004</v>
      </c>
      <c r="EV54" s="304">
        <v>2765.136</v>
      </c>
      <c r="EW54" s="304">
        <v>2704.8779999999997</v>
      </c>
      <c r="EX54" s="304">
        <v>2640.5099999999998</v>
      </c>
      <c r="EY54" s="304">
        <v>2875.77</v>
      </c>
      <c r="EZ54" s="304">
        <v>2735.7359999999999</v>
      </c>
      <c r="FA54" s="304">
        <v>2557.5419999999999</v>
      </c>
      <c r="FB54" s="304">
        <v>2578.92</v>
      </c>
      <c r="FC54" s="304">
        <v>2410.89</v>
      </c>
      <c r="FD54" s="304">
        <v>2444.172</v>
      </c>
      <c r="FE54" s="304">
        <v>2322.4140000000002</v>
      </c>
      <c r="FF54" s="304">
        <v>2464.8180000000002</v>
      </c>
      <c r="FG54" s="304">
        <v>2477.7660000000001</v>
      </c>
      <c r="FH54" s="304">
        <v>2492.826</v>
      </c>
      <c r="FI54" s="304">
        <v>2276.0219999999999</v>
      </c>
      <c r="FJ54" s="304">
        <v>2386.752</v>
      </c>
      <c r="FK54" s="304">
        <v>2394.2280000000001</v>
      </c>
      <c r="FL54" s="304">
        <v>2386.2719999999999</v>
      </c>
      <c r="FM54" s="304">
        <v>2183.616</v>
      </c>
      <c r="FN54" s="304">
        <v>2054.1779999999999</v>
      </c>
      <c r="FO54" s="304">
        <v>2077.3679999999999</v>
      </c>
      <c r="FP54" s="304">
        <v>2151.5519999999997</v>
      </c>
      <c r="FQ54" s="304">
        <v>2000.9159999999999</v>
      </c>
      <c r="FR54" s="304">
        <v>1980.654</v>
      </c>
      <c r="FS54" s="304">
        <v>1963.518</v>
      </c>
      <c r="FT54" s="304">
        <v>1938.8999999999999</v>
      </c>
      <c r="FU54" s="304">
        <v>2134.0619999999999</v>
      </c>
      <c r="FV54" s="304">
        <v>2070.5700000000002</v>
      </c>
      <c r="FW54" s="304">
        <v>2116.3500000000004</v>
      </c>
      <c r="FX54" s="304">
        <v>2282.598</v>
      </c>
      <c r="FY54" s="304">
        <v>2149.0739999999996</v>
      </c>
      <c r="FZ54" s="304">
        <v>1986.2460000000001</v>
      </c>
      <c r="GA54" s="304">
        <v>1825.2840000000001</v>
      </c>
      <c r="GB54" s="304">
        <v>1767.6959999999999</v>
      </c>
      <c r="GC54" s="304">
        <v>1584.3239999999998</v>
      </c>
      <c r="GD54" s="304">
        <v>1785.8340000000001</v>
      </c>
      <c r="GE54" s="304">
        <v>1765.3619999999999</v>
      </c>
      <c r="GF54" s="304">
        <v>1675.6799999999998</v>
      </c>
      <c r="GG54" s="304">
        <v>1848.4079999999999</v>
      </c>
      <c r="GH54" s="304">
        <v>1689.5639999999999</v>
      </c>
      <c r="GI54" s="304">
        <v>1664.6999999999998</v>
      </c>
      <c r="GJ54" s="304">
        <v>1661.904</v>
      </c>
      <c r="GK54" s="304">
        <v>1568.2140000000002</v>
      </c>
      <c r="GL54" s="304">
        <v>1603.2360000000001</v>
      </c>
      <c r="GM54" s="304">
        <v>1695.4499999999998</v>
      </c>
      <c r="GN54" s="304">
        <v>1974.2400000000002</v>
      </c>
      <c r="GO54" s="304">
        <v>1869.0840000000001</v>
      </c>
      <c r="GP54" s="304">
        <v>1959.828</v>
      </c>
      <c r="GQ54" s="304">
        <v>1976.442</v>
      </c>
      <c r="GR54" s="304">
        <v>1795.9860000000001</v>
      </c>
      <c r="GS54" s="304">
        <v>2072.2139999999999</v>
      </c>
      <c r="GT54" s="304">
        <v>2151.7259999999997</v>
      </c>
      <c r="GU54" s="304">
        <v>2254.6440000000002</v>
      </c>
      <c r="GV54" s="304">
        <v>2281.14</v>
      </c>
      <c r="GW54" s="304">
        <v>2083.44</v>
      </c>
      <c r="GX54" s="304">
        <v>2097.3779999999997</v>
      </c>
      <c r="GY54" s="304">
        <v>2066.616</v>
      </c>
      <c r="GZ54" s="304">
        <v>2181.6239999999998</v>
      </c>
      <c r="HA54" s="304">
        <v>2203.7339999999999</v>
      </c>
      <c r="HB54" s="304">
        <v>2222.2020000000002</v>
      </c>
      <c r="HC54" s="304">
        <v>2154.8519999999999</v>
      </c>
      <c r="HD54" s="304">
        <v>2411.4180000000001</v>
      </c>
      <c r="HE54" s="304">
        <v>2396.6579999999999</v>
      </c>
      <c r="HF54" s="304">
        <v>2158.6320000000001</v>
      </c>
      <c r="HG54" s="304">
        <v>2278.8119999999999</v>
      </c>
      <c r="HH54" s="304">
        <v>2257.3380000000002</v>
      </c>
      <c r="HI54" s="304">
        <v>2119.2780000000002</v>
      </c>
      <c r="HJ54" s="304">
        <v>2249.0340000000001</v>
      </c>
      <c r="HK54" s="304">
        <v>2231.8500000000004</v>
      </c>
      <c r="HL54" s="304">
        <v>2300.94</v>
      </c>
      <c r="HM54" s="304">
        <v>2207.2559999999999</v>
      </c>
      <c r="HN54" s="304">
        <v>2388.018</v>
      </c>
      <c r="HO54" s="304">
        <v>2133.5160000000001</v>
      </c>
      <c r="HP54" s="304">
        <v>2379.0299999999997</v>
      </c>
      <c r="HQ54" s="304">
        <v>2188.1819999999998</v>
      </c>
      <c r="HR54" s="304">
        <v>2208.48</v>
      </c>
      <c r="HS54" s="304">
        <v>2193.4499999999998</v>
      </c>
      <c r="HT54" s="304">
        <v>2363.0219999999999</v>
      </c>
      <c r="HU54" s="304">
        <v>2345.7359999999999</v>
      </c>
      <c r="HV54" s="304">
        <v>2280.1980000000003</v>
      </c>
      <c r="HW54" s="304">
        <v>2313.1980000000003</v>
      </c>
      <c r="HX54" s="304">
        <v>2326.9920000000002</v>
      </c>
      <c r="HY54" s="304">
        <v>2211.846</v>
      </c>
      <c r="HZ54" s="304">
        <v>2279.172</v>
      </c>
      <c r="IA54" s="304">
        <v>2335.998</v>
      </c>
      <c r="IB54" s="304">
        <v>2484.7379999999998</v>
      </c>
      <c r="IC54" s="304">
        <v>2756.73</v>
      </c>
      <c r="ID54" s="304">
        <v>2601.66</v>
      </c>
      <c r="IE54" s="304">
        <v>2609.64</v>
      </c>
      <c r="IF54" s="304">
        <v>2621.1239999999998</v>
      </c>
      <c r="IG54" s="304">
        <v>2764.8359999999998</v>
      </c>
      <c r="IH54" s="304">
        <v>2892.6959999999999</v>
      </c>
      <c r="II54" s="304">
        <v>2733.558</v>
      </c>
      <c r="IJ54" s="304">
        <v>3055.41</v>
      </c>
      <c r="IK54" s="304">
        <v>2864.7660000000001</v>
      </c>
      <c r="IL54" s="304">
        <v>3054.5039999999999</v>
      </c>
      <c r="IM54" s="304">
        <v>3065.6880000000001</v>
      </c>
      <c r="IN54" s="12">
        <v>3048.2400000000002</v>
      </c>
      <c r="IO54" s="12">
        <v>3129.75</v>
      </c>
      <c r="IP54" s="12">
        <v>2893.5839999999998</v>
      </c>
      <c r="IQ54" s="12">
        <v>2940.27</v>
      </c>
      <c r="IR54" s="12">
        <v>2809.68</v>
      </c>
      <c r="IS54" s="12">
        <v>2629.7039999999997</v>
      </c>
      <c r="IT54" s="12">
        <v>2614.8720000000003</v>
      </c>
      <c r="IU54" s="12">
        <v>2653.212</v>
      </c>
      <c r="IV54" s="12">
        <v>2850.7259999999997</v>
      </c>
      <c r="IW54" s="12">
        <v>2248.8020000000001</v>
      </c>
      <c r="IX54" s="12">
        <v>2537.7280000000001</v>
      </c>
      <c r="IY54" s="12">
        <v>2748.6179999999999</v>
      </c>
      <c r="IZ54" s="12">
        <v>3375.64</v>
      </c>
      <c r="JA54" s="12">
        <v>3977.4879999999998</v>
      </c>
      <c r="JB54" s="12">
        <v>3662.94</v>
      </c>
      <c r="JC54" s="12">
        <v>3518.8180000000002</v>
      </c>
      <c r="JD54" s="12">
        <v>3467.0219999999999</v>
      </c>
      <c r="JE54" s="12">
        <v>3671.6280000000002</v>
      </c>
      <c r="JF54" s="12">
        <v>3612.306</v>
      </c>
      <c r="JG54" s="12">
        <v>3597.13</v>
      </c>
      <c r="JH54" s="12">
        <v>4754.63</v>
      </c>
      <c r="JI54" s="12">
        <v>5236.1880000000001</v>
      </c>
      <c r="JJ54" s="12">
        <v>5327.26</v>
      </c>
      <c r="JK54" s="336">
        <v>5279.8059999999996</v>
      </c>
    </row>
    <row r="55" spans="1:673" ht="15.75" thickBot="1" x14ac:dyDescent="0.3">
      <c r="A55" s="337" t="s">
        <v>163</v>
      </c>
      <c r="B55" s="338">
        <v>40167.18</v>
      </c>
      <c r="C55" s="338">
        <v>39917.67</v>
      </c>
      <c r="D55" s="338">
        <v>45839.520000000004</v>
      </c>
      <c r="E55" s="338">
        <v>41703.072</v>
      </c>
      <c r="F55" s="338">
        <v>44205.258000000002</v>
      </c>
      <c r="G55" s="338">
        <v>43146.486000000004</v>
      </c>
      <c r="H55" s="338">
        <v>43612.47</v>
      </c>
      <c r="I55" s="338">
        <v>44714.561999999998</v>
      </c>
      <c r="J55" s="338">
        <v>42404.585999999996</v>
      </c>
      <c r="K55" s="338">
        <v>43806.899999999994</v>
      </c>
      <c r="L55" s="338">
        <v>44061.51</v>
      </c>
      <c r="M55" s="338">
        <v>42315.881999999998</v>
      </c>
      <c r="N55" s="338">
        <v>42612.671999999999</v>
      </c>
      <c r="O55" s="338">
        <v>39013.164000000004</v>
      </c>
      <c r="P55" s="338">
        <v>42429.804000000004</v>
      </c>
      <c r="Q55" s="338">
        <v>41073.474000000002</v>
      </c>
      <c r="R55" s="338">
        <v>41345.07</v>
      </c>
      <c r="S55" s="338">
        <v>39549.894</v>
      </c>
      <c r="T55" s="338">
        <v>42973.32</v>
      </c>
      <c r="U55" s="338">
        <v>41163.983999999997</v>
      </c>
      <c r="V55" s="338">
        <v>42477.023999999998</v>
      </c>
      <c r="W55" s="338">
        <v>43224.408000000003</v>
      </c>
      <c r="X55" s="338">
        <v>43374.972000000002</v>
      </c>
      <c r="Y55" s="338">
        <v>41941.523999999998</v>
      </c>
      <c r="Z55" s="338">
        <v>41638.433999999994</v>
      </c>
      <c r="AA55" s="338">
        <v>41160.966</v>
      </c>
      <c r="AB55" s="338">
        <v>44991.479999999996</v>
      </c>
      <c r="AC55" s="338">
        <v>42653.850000000006</v>
      </c>
      <c r="AD55" s="338">
        <v>45612.81</v>
      </c>
      <c r="AE55" s="338">
        <v>43746.42</v>
      </c>
      <c r="AF55" s="338">
        <v>45563.813999999998</v>
      </c>
      <c r="AG55" s="338">
        <v>44949.408000000003</v>
      </c>
      <c r="AH55" s="338">
        <v>44333.159999999996</v>
      </c>
      <c r="AI55" s="338">
        <v>45598.92</v>
      </c>
      <c r="AJ55" s="338">
        <v>44814.384000000005</v>
      </c>
      <c r="AK55" s="338">
        <v>43875.504000000001</v>
      </c>
      <c r="AL55" s="338">
        <v>44261.453999999998</v>
      </c>
      <c r="AM55" s="338">
        <v>45707.952000000005</v>
      </c>
      <c r="AN55" s="338">
        <v>49019.01</v>
      </c>
      <c r="AO55" s="338">
        <v>46516.26</v>
      </c>
      <c r="AP55" s="338">
        <v>49095.227999999996</v>
      </c>
      <c r="AQ55" s="338">
        <v>49692.906000000003</v>
      </c>
      <c r="AR55" s="338">
        <v>49601.663999999997</v>
      </c>
      <c r="AS55" s="338">
        <v>49699.044000000009</v>
      </c>
      <c r="AT55" s="338">
        <v>50140.055999999997</v>
      </c>
      <c r="AU55" s="338">
        <v>50215.163999999997</v>
      </c>
      <c r="AV55" s="338">
        <v>50622.240000000005</v>
      </c>
      <c r="AW55" s="338">
        <v>48528.023999999998</v>
      </c>
      <c r="AX55" s="338">
        <v>47151.671999999999</v>
      </c>
      <c r="AY55" s="338">
        <v>47541.384000000005</v>
      </c>
      <c r="AZ55" s="338">
        <v>51063.725999999995</v>
      </c>
      <c r="BA55" s="338">
        <v>50496.671999999991</v>
      </c>
      <c r="BB55" s="338">
        <v>53290.338000000003</v>
      </c>
      <c r="BC55" s="338">
        <v>52548.978000000003</v>
      </c>
      <c r="BD55" s="338">
        <v>54503.603999999992</v>
      </c>
      <c r="BE55" s="338">
        <v>54065.574000000001</v>
      </c>
      <c r="BF55" s="338">
        <v>54289.512000000002</v>
      </c>
      <c r="BG55" s="338">
        <v>54792.966</v>
      </c>
      <c r="BH55" s="338">
        <v>56607.552000000003</v>
      </c>
      <c r="BI55" s="338">
        <v>53035.734000000004</v>
      </c>
      <c r="BJ55" s="338">
        <v>51832.151999999995</v>
      </c>
      <c r="BK55" s="338">
        <v>54404.034</v>
      </c>
      <c r="BL55" s="338">
        <v>59069.94</v>
      </c>
      <c r="BM55" s="338">
        <v>55785.072</v>
      </c>
      <c r="BN55" s="338">
        <v>62270.831999999995</v>
      </c>
      <c r="BO55" s="338">
        <v>61855.872000000003</v>
      </c>
      <c r="BP55" s="338">
        <v>61562.921999999991</v>
      </c>
      <c r="BQ55" s="338">
        <v>62207.466</v>
      </c>
      <c r="BR55" s="338">
        <v>61817.513999999996</v>
      </c>
      <c r="BS55" s="338">
        <v>62377.962</v>
      </c>
      <c r="BT55" s="338">
        <v>63135.894</v>
      </c>
      <c r="BU55" s="338">
        <v>59764.29</v>
      </c>
      <c r="BV55" s="338">
        <v>59287.86</v>
      </c>
      <c r="BW55" s="338">
        <v>62145.714000000007</v>
      </c>
      <c r="BX55" s="338">
        <v>65837.244000000006</v>
      </c>
      <c r="BY55" s="338">
        <v>62070.941999999995</v>
      </c>
      <c r="BZ55" s="338">
        <v>67154.262000000002</v>
      </c>
      <c r="CA55" s="338">
        <v>66094.986000000004</v>
      </c>
      <c r="CB55" s="338">
        <v>67003.025999999998</v>
      </c>
      <c r="CC55" s="338">
        <v>69270.084000000003</v>
      </c>
      <c r="CD55" s="338">
        <v>66611.754000000001</v>
      </c>
      <c r="CE55" s="338">
        <v>65497.17</v>
      </c>
      <c r="CF55" s="338">
        <v>67679.027999999991</v>
      </c>
      <c r="CG55" s="338">
        <v>61560.678</v>
      </c>
      <c r="CH55" s="338">
        <v>63267.455999999991</v>
      </c>
      <c r="CI55" s="338">
        <v>65403.81</v>
      </c>
      <c r="CJ55" s="338">
        <v>66618.066000000006</v>
      </c>
      <c r="CK55" s="338">
        <v>67841.117999999988</v>
      </c>
      <c r="CL55" s="338">
        <v>71364.612000000008</v>
      </c>
      <c r="CM55" s="338">
        <v>71279.069999999992</v>
      </c>
      <c r="CN55" s="338">
        <v>74463.084000000003</v>
      </c>
      <c r="CO55" s="338">
        <v>77140.236000000004</v>
      </c>
      <c r="CP55" s="338">
        <v>75092.051999999996</v>
      </c>
      <c r="CQ55" s="338">
        <v>77772.600000000006</v>
      </c>
      <c r="CR55" s="338">
        <v>73745.700000000012</v>
      </c>
      <c r="CS55" s="338">
        <v>68453.66399999999</v>
      </c>
      <c r="CT55" s="338">
        <v>67056.312000000005</v>
      </c>
      <c r="CU55" s="338">
        <v>66766.896000000008</v>
      </c>
      <c r="CV55" s="338">
        <v>70813.271999999997</v>
      </c>
      <c r="CW55" s="338">
        <v>68591.334000000003</v>
      </c>
      <c r="CX55" s="338">
        <v>70295.207999999999</v>
      </c>
      <c r="CY55" s="338">
        <v>68165.981999999989</v>
      </c>
      <c r="CZ55" s="338">
        <v>68813.525999999998</v>
      </c>
      <c r="DA55" s="338">
        <v>67323.191999999995</v>
      </c>
      <c r="DB55" s="338">
        <v>65728.38</v>
      </c>
      <c r="DC55" s="338">
        <v>67691.694000000003</v>
      </c>
      <c r="DD55" s="338">
        <v>65896.554000000004</v>
      </c>
      <c r="DE55" s="338">
        <v>64033.686000000002</v>
      </c>
      <c r="DF55" s="338">
        <v>62117.04</v>
      </c>
      <c r="DG55" s="338">
        <v>64937.736000000004</v>
      </c>
      <c r="DH55" s="338">
        <v>70219.661999999997</v>
      </c>
      <c r="DI55" s="338">
        <v>68110.524000000005</v>
      </c>
      <c r="DJ55" s="338">
        <v>70731.462</v>
      </c>
      <c r="DK55" s="338">
        <v>72070.481999999989</v>
      </c>
      <c r="DL55" s="338">
        <v>74514.641999999993</v>
      </c>
      <c r="DM55" s="338">
        <v>76321.584000000003</v>
      </c>
      <c r="DN55" s="338">
        <v>74703.617999999988</v>
      </c>
      <c r="DO55" s="338">
        <v>77680.572</v>
      </c>
      <c r="DP55" s="338">
        <v>79505.717999999993</v>
      </c>
      <c r="DQ55" s="338">
        <v>74077.686000000002</v>
      </c>
      <c r="DR55" s="338">
        <v>74746.698000000004</v>
      </c>
      <c r="DS55" s="338">
        <v>74965.962</v>
      </c>
      <c r="DT55" s="338">
        <v>82242.65400000001</v>
      </c>
      <c r="DU55" s="338">
        <v>79736.19</v>
      </c>
      <c r="DV55" s="338">
        <v>88773.641999999993</v>
      </c>
      <c r="DW55" s="338">
        <v>86702.622000000003</v>
      </c>
      <c r="DX55" s="338">
        <v>88320.054000000004</v>
      </c>
      <c r="DY55" s="338">
        <v>92354.063999999998</v>
      </c>
      <c r="DZ55" s="338">
        <v>90722.856</v>
      </c>
      <c r="EA55" s="338">
        <v>92505.072</v>
      </c>
      <c r="EB55" s="338">
        <v>93601.77</v>
      </c>
      <c r="EC55" s="338">
        <v>87230.513999999996</v>
      </c>
      <c r="ED55" s="338">
        <v>88883.292000000001</v>
      </c>
      <c r="EE55" s="338">
        <v>93527.225999999995</v>
      </c>
      <c r="EF55" s="338">
        <v>99279.426000000007</v>
      </c>
      <c r="EG55" s="338">
        <v>96186.797999999995</v>
      </c>
      <c r="EH55" s="338">
        <v>102752.64599999999</v>
      </c>
      <c r="EI55" s="338">
        <v>98672.016000000003</v>
      </c>
      <c r="EJ55" s="338">
        <v>102270.93</v>
      </c>
      <c r="EK55" s="338">
        <v>104769.03600000001</v>
      </c>
      <c r="EL55" s="338">
        <v>100137.88800000001</v>
      </c>
      <c r="EM55" s="338">
        <v>103409.83800000002</v>
      </c>
      <c r="EN55" s="338">
        <v>99645.437999999995</v>
      </c>
      <c r="EO55" s="338">
        <v>93612.203999999998</v>
      </c>
      <c r="EP55" s="338">
        <v>98474.423999999999</v>
      </c>
      <c r="EQ55" s="338">
        <v>100455.79200000002</v>
      </c>
      <c r="ER55" s="338">
        <v>102869.712</v>
      </c>
      <c r="ES55" s="338">
        <v>104407.806</v>
      </c>
      <c r="ET55" s="338">
        <v>104641.21800000001</v>
      </c>
      <c r="EU55" s="338">
        <v>101678.72400000002</v>
      </c>
      <c r="EV55" s="338">
        <v>105669.204</v>
      </c>
      <c r="EW55" s="338">
        <v>107296.17</v>
      </c>
      <c r="EX55" s="338">
        <v>100419.03</v>
      </c>
      <c r="EY55" s="338">
        <v>102926.11199999999</v>
      </c>
      <c r="EZ55" s="338">
        <v>101138.766</v>
      </c>
      <c r="FA55" s="338">
        <v>90156.498000000007</v>
      </c>
      <c r="FB55" s="338">
        <v>91214.202000000005</v>
      </c>
      <c r="FC55" s="338">
        <v>90691.680000000008</v>
      </c>
      <c r="FD55" s="338">
        <v>98949.935999999987</v>
      </c>
      <c r="FE55" s="338">
        <v>94313.430000000008</v>
      </c>
      <c r="FF55" s="338">
        <v>99407.394</v>
      </c>
      <c r="FG55" s="338">
        <v>94518.33600000001</v>
      </c>
      <c r="FH55" s="338">
        <v>96588.858000000007</v>
      </c>
      <c r="FI55" s="338">
        <v>95988.617999999988</v>
      </c>
      <c r="FJ55" s="338">
        <v>94713.437999999995</v>
      </c>
      <c r="FK55" s="338">
        <v>99816.72</v>
      </c>
      <c r="FL55" s="338">
        <v>96743.069999999992</v>
      </c>
      <c r="FM55" s="338">
        <v>89975.981999999989</v>
      </c>
      <c r="FN55" s="338">
        <v>88698.72</v>
      </c>
      <c r="FO55" s="338">
        <v>87920.418000000005</v>
      </c>
      <c r="FP55" s="338">
        <v>94157.478000000003</v>
      </c>
      <c r="FQ55" s="338">
        <v>88753.224000000002</v>
      </c>
      <c r="FR55" s="338">
        <v>89946.504000000001</v>
      </c>
      <c r="FS55" s="338">
        <v>89196.678</v>
      </c>
      <c r="FT55" s="338">
        <v>90636.450000000012</v>
      </c>
      <c r="FU55" s="338">
        <v>90121.518000000011</v>
      </c>
      <c r="FV55" s="338">
        <v>88627.055999999997</v>
      </c>
      <c r="FW55" s="338">
        <v>90583.656000000003</v>
      </c>
      <c r="FX55" s="338">
        <v>88057.572</v>
      </c>
      <c r="FY55" s="338">
        <v>83790.834000000003</v>
      </c>
      <c r="FZ55" s="338">
        <v>82117.266000000003</v>
      </c>
      <c r="GA55" s="338">
        <v>83216.682000000001</v>
      </c>
      <c r="GB55" s="338">
        <v>83852.592000000004</v>
      </c>
      <c r="GC55" s="338">
        <v>81775.62</v>
      </c>
      <c r="GD55" s="338">
        <v>86113.955999999991</v>
      </c>
      <c r="GE55" s="338">
        <v>82441.001999999993</v>
      </c>
      <c r="GF55" s="338">
        <v>85037.525999999998</v>
      </c>
      <c r="GG55" s="338">
        <v>85956.09599999999</v>
      </c>
      <c r="GH55" s="338">
        <v>81090.69</v>
      </c>
      <c r="GI55" s="338">
        <v>84444.966</v>
      </c>
      <c r="GJ55" s="338">
        <v>86007.450000000012</v>
      </c>
      <c r="GK55" s="338">
        <v>79941.75</v>
      </c>
      <c r="GL55" s="338">
        <v>81749.285999999993</v>
      </c>
      <c r="GM55" s="338">
        <v>81782.004000000001</v>
      </c>
      <c r="GN55" s="338">
        <v>87716.316000000006</v>
      </c>
      <c r="GO55" s="338">
        <v>83544.527999999991</v>
      </c>
      <c r="GP55" s="338">
        <v>90022.391999999993</v>
      </c>
      <c r="GQ55" s="338">
        <v>85784.603999999992</v>
      </c>
      <c r="GR55" s="338">
        <v>88282.092000000004</v>
      </c>
      <c r="GS55" s="338">
        <v>89231.15400000001</v>
      </c>
      <c r="GT55" s="338">
        <v>86200.187999999995</v>
      </c>
      <c r="GU55" s="338">
        <v>90860.567999999999</v>
      </c>
      <c r="GV55" s="338">
        <v>91167.305999999997</v>
      </c>
      <c r="GW55" s="338">
        <v>83808.534</v>
      </c>
      <c r="GX55" s="338">
        <v>86908.74</v>
      </c>
      <c r="GY55" s="338">
        <v>86830.11</v>
      </c>
      <c r="GZ55" s="338">
        <v>94334.952000000005</v>
      </c>
      <c r="HA55" s="338">
        <v>91039.284</v>
      </c>
      <c r="HB55" s="338">
        <v>96462.486000000004</v>
      </c>
      <c r="HC55" s="338">
        <v>92624.61</v>
      </c>
      <c r="HD55" s="338">
        <v>98179.433999999994</v>
      </c>
      <c r="HE55" s="338">
        <v>97158.941999999995</v>
      </c>
      <c r="HF55" s="338">
        <v>92581.967999999993</v>
      </c>
      <c r="HG55" s="338">
        <v>100819.13999999998</v>
      </c>
      <c r="HH55" s="338">
        <v>100780.512</v>
      </c>
      <c r="HI55" s="338">
        <v>92924.268000000011</v>
      </c>
      <c r="HJ55" s="338">
        <v>96278.790000000008</v>
      </c>
      <c r="HK55" s="338">
        <v>95177.676000000007</v>
      </c>
      <c r="HL55" s="338">
        <v>100817.568</v>
      </c>
      <c r="HM55" s="338">
        <v>98650.008000000002</v>
      </c>
      <c r="HN55" s="338">
        <v>105681.99600000001</v>
      </c>
      <c r="HO55" s="338">
        <v>100284.444</v>
      </c>
      <c r="HP55" s="338">
        <v>107976.342</v>
      </c>
      <c r="HQ55" s="338">
        <v>104163.85800000001</v>
      </c>
      <c r="HR55" s="338">
        <v>100907.07</v>
      </c>
      <c r="HS55" s="338">
        <v>107061.65400000001</v>
      </c>
      <c r="HT55" s="338">
        <v>106888.44600000001</v>
      </c>
      <c r="HU55" s="338">
        <v>97622.28</v>
      </c>
      <c r="HV55" s="338">
        <v>100682.454</v>
      </c>
      <c r="HW55" s="338">
        <v>103313.886</v>
      </c>
      <c r="HX55" s="338">
        <v>107749.29000000001</v>
      </c>
      <c r="HY55" s="338">
        <v>101081.51400000001</v>
      </c>
      <c r="HZ55" s="338">
        <v>107444.29200000002</v>
      </c>
      <c r="IA55" s="338">
        <v>108100.902</v>
      </c>
      <c r="IB55" s="338">
        <v>112715.99400000001</v>
      </c>
      <c r="IC55" s="338">
        <v>113397.84599999999</v>
      </c>
      <c r="ID55" s="338">
        <v>111234.58200000001</v>
      </c>
      <c r="IE55" s="338">
        <v>113734.308</v>
      </c>
      <c r="IF55" s="338">
        <v>115611.894</v>
      </c>
      <c r="IG55" s="338">
        <v>105689.72400000002</v>
      </c>
      <c r="IH55" s="338">
        <v>109061.77799999999</v>
      </c>
      <c r="II55" s="338">
        <v>107171.226</v>
      </c>
      <c r="IJ55" s="338">
        <v>123295.59</v>
      </c>
      <c r="IK55" s="338">
        <v>115064.17800000001</v>
      </c>
      <c r="IL55" s="338">
        <v>120645.954</v>
      </c>
      <c r="IM55" s="338">
        <v>119410.17</v>
      </c>
      <c r="IN55" s="339">
        <v>118034.08800000002</v>
      </c>
      <c r="IO55" s="339">
        <v>123490.908</v>
      </c>
      <c r="IP55" s="339">
        <v>119817.57</v>
      </c>
      <c r="IQ55" s="339">
        <v>121722.48000000001</v>
      </c>
      <c r="IR55" s="339">
        <v>123136.08</v>
      </c>
      <c r="IS55" s="339">
        <v>111069.64199999999</v>
      </c>
      <c r="IT55" s="339">
        <v>112099.21800000001</v>
      </c>
      <c r="IU55" s="339">
        <v>113554.45199999999</v>
      </c>
      <c r="IV55" s="339">
        <v>121624.17600000001</v>
      </c>
      <c r="IW55" s="340">
        <v>121303.406</v>
      </c>
      <c r="IX55" s="340">
        <v>127215.106</v>
      </c>
      <c r="IY55" s="340">
        <v>126838.448</v>
      </c>
      <c r="IZ55" s="340">
        <v>126375.208</v>
      </c>
      <c r="JA55" s="340">
        <v>130074.864</v>
      </c>
      <c r="JB55" s="340">
        <v>134199.372</v>
      </c>
      <c r="JC55" s="340">
        <v>132887.10200000001</v>
      </c>
      <c r="JD55" s="340">
        <v>134325.33199999999</v>
      </c>
      <c r="JE55" s="340">
        <v>138316.95000000001</v>
      </c>
      <c r="JF55" s="340">
        <v>139151.54999999999</v>
      </c>
      <c r="JG55" s="340">
        <v>132250.43799999999</v>
      </c>
      <c r="JH55" s="340">
        <v>130040.106</v>
      </c>
      <c r="JI55" s="340">
        <v>136918.014</v>
      </c>
      <c r="JJ55" s="340">
        <v>139438.71799999999</v>
      </c>
      <c r="JK55" s="341">
        <v>138320.432</v>
      </c>
    </row>
    <row r="56" spans="1:673" x14ac:dyDescent="0.25">
      <c r="A56" s="316"/>
      <c r="B56" s="343"/>
      <c r="C56" s="343"/>
      <c r="D56" s="343"/>
      <c r="E56" s="343"/>
      <c r="F56" s="343"/>
      <c r="G56" s="343"/>
      <c r="H56" s="343"/>
      <c r="I56" s="343"/>
      <c r="J56" s="343"/>
      <c r="K56" s="343"/>
      <c r="L56" s="343"/>
      <c r="M56" s="343"/>
      <c r="N56" s="343"/>
      <c r="O56" s="343"/>
      <c r="P56" s="343"/>
      <c r="Q56" s="343"/>
      <c r="R56" s="343"/>
      <c r="S56" s="343"/>
      <c r="T56" s="343"/>
      <c r="U56" s="343"/>
      <c r="V56" s="343"/>
      <c r="W56" s="343"/>
      <c r="X56" s="343"/>
      <c r="Y56" s="343"/>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3"/>
      <c r="BU56" s="343"/>
      <c r="BV56" s="343"/>
      <c r="BW56" s="343"/>
      <c r="BX56" s="343"/>
      <c r="BY56" s="343"/>
      <c r="BZ56" s="343"/>
      <c r="CA56" s="343"/>
      <c r="CB56" s="343"/>
      <c r="CC56" s="343"/>
      <c r="CD56" s="343"/>
      <c r="CE56" s="343"/>
      <c r="CF56" s="343"/>
      <c r="CG56" s="343"/>
      <c r="CH56" s="343"/>
      <c r="CI56" s="343"/>
      <c r="CJ56" s="343"/>
      <c r="CK56" s="343"/>
      <c r="CL56" s="343"/>
      <c r="CM56" s="343"/>
      <c r="CN56" s="343"/>
      <c r="CO56" s="343"/>
      <c r="CP56" s="343"/>
      <c r="CQ56" s="343"/>
      <c r="CR56" s="343"/>
      <c r="CS56" s="343"/>
      <c r="CT56" s="343"/>
      <c r="CU56" s="343"/>
      <c r="CV56" s="343"/>
      <c r="CW56" s="343"/>
      <c r="CX56" s="343"/>
      <c r="CY56" s="343"/>
      <c r="CZ56" s="343"/>
      <c r="DA56" s="343"/>
      <c r="DB56" s="343"/>
      <c r="DC56" s="343"/>
      <c r="DD56" s="343"/>
      <c r="DE56" s="343"/>
      <c r="DF56" s="343"/>
      <c r="DG56" s="343"/>
      <c r="DH56" s="343"/>
      <c r="DI56" s="343"/>
      <c r="DJ56" s="343"/>
      <c r="DK56" s="343"/>
      <c r="DL56" s="343"/>
      <c r="DM56" s="343"/>
      <c r="DN56" s="343"/>
      <c r="DO56" s="343"/>
      <c r="DP56" s="343"/>
      <c r="DQ56" s="343"/>
      <c r="DR56" s="343"/>
      <c r="DS56" s="343"/>
      <c r="DT56" s="343"/>
      <c r="DU56" s="343"/>
      <c r="DV56" s="343"/>
      <c r="DW56" s="343"/>
      <c r="DX56" s="343"/>
      <c r="DY56" s="343"/>
      <c r="DZ56" s="343"/>
      <c r="EA56" s="343"/>
      <c r="EB56" s="343"/>
      <c r="EC56" s="343"/>
      <c r="ED56" s="343"/>
      <c r="EE56" s="343"/>
      <c r="EF56" s="343"/>
      <c r="EG56" s="343"/>
      <c r="EH56" s="343"/>
      <c r="EI56" s="343"/>
      <c r="EJ56" s="343"/>
      <c r="EK56" s="343"/>
      <c r="EL56" s="343"/>
      <c r="EM56" s="343"/>
      <c r="EN56" s="343"/>
      <c r="EO56" s="343"/>
      <c r="EP56" s="343"/>
      <c r="EQ56" s="343"/>
      <c r="ER56" s="343"/>
      <c r="ES56" s="343"/>
      <c r="ET56" s="343"/>
      <c r="EU56" s="343"/>
      <c r="EV56" s="343"/>
      <c r="EW56" s="343"/>
      <c r="EX56" s="343"/>
      <c r="EY56" s="343"/>
      <c r="EZ56" s="343"/>
      <c r="FA56" s="343"/>
      <c r="FB56" s="343"/>
      <c r="FC56" s="343"/>
      <c r="FD56" s="343"/>
      <c r="FE56" s="343"/>
      <c r="FF56" s="343"/>
      <c r="FG56" s="343"/>
      <c r="FH56" s="343"/>
      <c r="FI56" s="343"/>
      <c r="FJ56" s="343"/>
      <c r="FK56" s="343"/>
      <c r="FL56" s="343"/>
      <c r="FM56" s="343"/>
      <c r="FN56" s="343"/>
      <c r="FO56" s="343"/>
      <c r="FP56" s="343"/>
      <c r="FQ56" s="343"/>
      <c r="FR56" s="343"/>
      <c r="FS56" s="343"/>
      <c r="FT56" s="343"/>
      <c r="FU56" s="343"/>
      <c r="FV56" s="343"/>
      <c r="FW56" s="343"/>
      <c r="FX56" s="343"/>
      <c r="FY56" s="343"/>
      <c r="GE56" s="343"/>
      <c r="GK56" s="343"/>
      <c r="GQ56" s="343"/>
      <c r="GW56" s="343"/>
      <c r="HC56" s="12"/>
      <c r="IA56" s="322"/>
      <c r="IB56" s="322"/>
      <c r="IC56" s="322"/>
      <c r="ID56" s="322"/>
      <c r="IE56" s="322"/>
      <c r="IF56" s="322"/>
      <c r="IG56" s="322"/>
      <c r="IH56" s="322"/>
      <c r="II56" s="322"/>
      <c r="IJ56" s="322"/>
      <c r="IK56" s="322"/>
      <c r="IL56" s="322"/>
      <c r="IM56" s="322"/>
      <c r="IN56" s="3"/>
    </row>
    <row r="57" spans="1:673" s="87" customFormat="1" ht="14.45" hidden="1" customHeight="1" x14ac:dyDescent="0.25">
      <c r="AJ57"/>
      <c r="AK57"/>
      <c r="AL57"/>
      <c r="AM57"/>
      <c r="AN57"/>
      <c r="AO57"/>
      <c r="AP57"/>
      <c r="AQ57"/>
      <c r="AR57"/>
      <c r="AS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row>
    <row r="58" spans="1:673" s="3" customFormat="1" ht="14.45" hidden="1" customHeight="1" x14ac:dyDescent="0.25">
      <c r="B58" s="3">
        <f t="shared" ref="B58:BM58" si="0">YEAR(B42)</f>
        <v>2001</v>
      </c>
      <c r="C58" s="3">
        <f t="shared" si="0"/>
        <v>2001</v>
      </c>
      <c r="D58" s="3">
        <f t="shared" si="0"/>
        <v>2001</v>
      </c>
      <c r="E58" s="3">
        <f t="shared" si="0"/>
        <v>2001</v>
      </c>
      <c r="F58" s="3">
        <f t="shared" si="0"/>
        <v>2001</v>
      </c>
      <c r="G58" s="3">
        <f t="shared" si="0"/>
        <v>2001</v>
      </c>
      <c r="H58" s="3">
        <f t="shared" si="0"/>
        <v>2001</v>
      </c>
      <c r="I58" s="3">
        <f t="shared" si="0"/>
        <v>2001</v>
      </c>
      <c r="J58" s="3">
        <f t="shared" si="0"/>
        <v>2001</v>
      </c>
      <c r="K58" s="3">
        <f t="shared" si="0"/>
        <v>2001</v>
      </c>
      <c r="L58" s="3">
        <f t="shared" si="0"/>
        <v>2001</v>
      </c>
      <c r="M58" s="3">
        <f t="shared" si="0"/>
        <v>2001</v>
      </c>
      <c r="N58" s="3">
        <f t="shared" si="0"/>
        <v>2002</v>
      </c>
      <c r="O58" s="3">
        <f t="shared" si="0"/>
        <v>2002</v>
      </c>
      <c r="P58" s="3">
        <f t="shared" si="0"/>
        <v>2002</v>
      </c>
      <c r="Q58" s="3">
        <f t="shared" si="0"/>
        <v>2002</v>
      </c>
      <c r="R58" s="3">
        <f t="shared" si="0"/>
        <v>2002</v>
      </c>
      <c r="S58" s="3">
        <f t="shared" si="0"/>
        <v>2002</v>
      </c>
      <c r="T58" s="3">
        <f t="shared" si="0"/>
        <v>2002</v>
      </c>
      <c r="U58" s="3">
        <f t="shared" si="0"/>
        <v>2002</v>
      </c>
      <c r="V58" s="3">
        <f t="shared" si="0"/>
        <v>2002</v>
      </c>
      <c r="W58" s="3">
        <f t="shared" si="0"/>
        <v>2002</v>
      </c>
      <c r="X58" s="3">
        <f t="shared" si="0"/>
        <v>2002</v>
      </c>
      <c r="Y58" s="3">
        <f t="shared" si="0"/>
        <v>2002</v>
      </c>
      <c r="Z58" s="3">
        <f t="shared" si="0"/>
        <v>2003</v>
      </c>
      <c r="AA58" s="3">
        <f t="shared" si="0"/>
        <v>2003</v>
      </c>
      <c r="AB58" s="3">
        <f t="shared" si="0"/>
        <v>2003</v>
      </c>
      <c r="AC58" s="3">
        <f t="shared" si="0"/>
        <v>2003</v>
      </c>
      <c r="AD58" s="3">
        <f t="shared" si="0"/>
        <v>2003</v>
      </c>
      <c r="AE58" s="3">
        <f t="shared" si="0"/>
        <v>2003</v>
      </c>
      <c r="AF58" s="3">
        <f t="shared" si="0"/>
        <v>2003</v>
      </c>
      <c r="AG58" s="3">
        <f t="shared" si="0"/>
        <v>2003</v>
      </c>
      <c r="AH58" s="3">
        <f t="shared" si="0"/>
        <v>2003</v>
      </c>
      <c r="AI58" s="3">
        <f t="shared" si="0"/>
        <v>2003</v>
      </c>
      <c r="AJ58" s="3">
        <f t="shared" si="0"/>
        <v>2003</v>
      </c>
      <c r="AK58" s="3">
        <f t="shared" si="0"/>
        <v>2003</v>
      </c>
      <c r="AL58" s="3">
        <f t="shared" si="0"/>
        <v>2004</v>
      </c>
      <c r="AM58" s="3">
        <f t="shared" si="0"/>
        <v>2004</v>
      </c>
      <c r="AN58" s="3">
        <f t="shared" si="0"/>
        <v>2004</v>
      </c>
      <c r="AO58" s="3">
        <f t="shared" si="0"/>
        <v>2004</v>
      </c>
      <c r="AP58" s="3">
        <f t="shared" si="0"/>
        <v>2004</v>
      </c>
      <c r="AQ58" s="3">
        <f t="shared" si="0"/>
        <v>2004</v>
      </c>
      <c r="AR58" s="3">
        <f t="shared" si="0"/>
        <v>2004</v>
      </c>
      <c r="AS58" s="3">
        <f t="shared" si="0"/>
        <v>2004</v>
      </c>
      <c r="AT58" s="3">
        <f t="shared" si="0"/>
        <v>2004</v>
      </c>
      <c r="AU58" s="3">
        <f t="shared" si="0"/>
        <v>2004</v>
      </c>
      <c r="AV58" s="3">
        <f t="shared" si="0"/>
        <v>2004</v>
      </c>
      <c r="AW58" s="3">
        <f t="shared" si="0"/>
        <v>2004</v>
      </c>
      <c r="AX58" s="3">
        <f t="shared" si="0"/>
        <v>2005</v>
      </c>
      <c r="AY58" s="3">
        <f t="shared" si="0"/>
        <v>2005</v>
      </c>
      <c r="AZ58" s="3">
        <f t="shared" si="0"/>
        <v>2005</v>
      </c>
      <c r="BA58" s="3">
        <f t="shared" si="0"/>
        <v>2005</v>
      </c>
      <c r="BB58" s="3">
        <f t="shared" si="0"/>
        <v>2005</v>
      </c>
      <c r="BC58" s="3">
        <f t="shared" si="0"/>
        <v>2005</v>
      </c>
      <c r="BD58" s="3">
        <f t="shared" si="0"/>
        <v>2005</v>
      </c>
      <c r="BE58" s="3">
        <f t="shared" si="0"/>
        <v>2005</v>
      </c>
      <c r="BF58" s="3">
        <f t="shared" si="0"/>
        <v>2005</v>
      </c>
      <c r="BG58" s="3">
        <f t="shared" si="0"/>
        <v>2005</v>
      </c>
      <c r="BH58" s="3">
        <f t="shared" si="0"/>
        <v>2005</v>
      </c>
      <c r="BI58" s="3">
        <f t="shared" si="0"/>
        <v>2005</v>
      </c>
      <c r="BJ58" s="3">
        <f t="shared" si="0"/>
        <v>2006</v>
      </c>
      <c r="BK58" s="3">
        <f t="shared" si="0"/>
        <v>2006</v>
      </c>
      <c r="BL58" s="3">
        <f t="shared" si="0"/>
        <v>2006</v>
      </c>
      <c r="BM58" s="3">
        <f t="shared" si="0"/>
        <v>2006</v>
      </c>
      <c r="BN58" s="3">
        <f t="shared" ref="BN58:DY58" si="1">YEAR(BN42)</f>
        <v>2006</v>
      </c>
      <c r="BO58" s="3">
        <f t="shared" si="1"/>
        <v>2006</v>
      </c>
      <c r="BP58" s="3">
        <f t="shared" si="1"/>
        <v>2006</v>
      </c>
      <c r="BQ58" s="3">
        <f t="shared" si="1"/>
        <v>2006</v>
      </c>
      <c r="BR58" s="3">
        <f t="shared" si="1"/>
        <v>2006</v>
      </c>
      <c r="BS58" s="3">
        <f t="shared" si="1"/>
        <v>2006</v>
      </c>
      <c r="BT58" s="3">
        <f t="shared" si="1"/>
        <v>2006</v>
      </c>
      <c r="BU58" s="3">
        <f t="shared" si="1"/>
        <v>2006</v>
      </c>
      <c r="BV58" s="3">
        <f t="shared" si="1"/>
        <v>2007</v>
      </c>
      <c r="BW58" s="3">
        <f t="shared" si="1"/>
        <v>2007</v>
      </c>
      <c r="BX58" s="3">
        <f t="shared" si="1"/>
        <v>2007</v>
      </c>
      <c r="BY58" s="3">
        <f t="shared" si="1"/>
        <v>2007</v>
      </c>
      <c r="BZ58" s="3">
        <f t="shared" si="1"/>
        <v>2007</v>
      </c>
      <c r="CA58" s="3">
        <f t="shared" si="1"/>
        <v>2007</v>
      </c>
      <c r="CB58" s="3">
        <f t="shared" si="1"/>
        <v>2007</v>
      </c>
      <c r="CC58" s="3">
        <f t="shared" si="1"/>
        <v>2007</v>
      </c>
      <c r="CD58" s="3">
        <f t="shared" si="1"/>
        <v>2007</v>
      </c>
      <c r="CE58" s="3">
        <f t="shared" si="1"/>
        <v>2007</v>
      </c>
      <c r="CF58" s="3">
        <f t="shared" si="1"/>
        <v>2007</v>
      </c>
      <c r="CG58" s="3">
        <f t="shared" si="1"/>
        <v>2007</v>
      </c>
      <c r="CH58" s="3">
        <f t="shared" si="1"/>
        <v>2008</v>
      </c>
      <c r="CI58" s="3">
        <f t="shared" si="1"/>
        <v>2008</v>
      </c>
      <c r="CJ58" s="3">
        <f t="shared" si="1"/>
        <v>2008</v>
      </c>
      <c r="CK58" s="3">
        <f t="shared" si="1"/>
        <v>2008</v>
      </c>
      <c r="CL58" s="3">
        <f t="shared" si="1"/>
        <v>2008</v>
      </c>
      <c r="CM58" s="3">
        <f t="shared" si="1"/>
        <v>2008</v>
      </c>
      <c r="CN58" s="3">
        <f t="shared" si="1"/>
        <v>2008</v>
      </c>
      <c r="CO58" s="3">
        <f t="shared" si="1"/>
        <v>2008</v>
      </c>
      <c r="CP58" s="3">
        <f t="shared" si="1"/>
        <v>2008</v>
      </c>
      <c r="CQ58" s="3">
        <f t="shared" si="1"/>
        <v>2008</v>
      </c>
      <c r="CR58" s="3">
        <f t="shared" si="1"/>
        <v>2008</v>
      </c>
      <c r="CS58" s="3">
        <f t="shared" si="1"/>
        <v>2008</v>
      </c>
      <c r="CT58" s="3">
        <f t="shared" si="1"/>
        <v>2009</v>
      </c>
      <c r="CU58" s="3">
        <f t="shared" si="1"/>
        <v>2009</v>
      </c>
      <c r="CV58" s="3">
        <f t="shared" si="1"/>
        <v>2009</v>
      </c>
      <c r="CW58" s="3">
        <f t="shared" si="1"/>
        <v>2009</v>
      </c>
      <c r="CX58" s="3">
        <f t="shared" si="1"/>
        <v>2009</v>
      </c>
      <c r="CY58" s="3">
        <f t="shared" si="1"/>
        <v>2009</v>
      </c>
      <c r="CZ58" s="3">
        <f t="shared" si="1"/>
        <v>2009</v>
      </c>
      <c r="DA58" s="3">
        <f t="shared" si="1"/>
        <v>2009</v>
      </c>
      <c r="DB58" s="3">
        <f t="shared" si="1"/>
        <v>2009</v>
      </c>
      <c r="DC58" s="3">
        <f t="shared" si="1"/>
        <v>2009</v>
      </c>
      <c r="DD58" s="3">
        <f t="shared" si="1"/>
        <v>2009</v>
      </c>
      <c r="DE58" s="3">
        <f t="shared" si="1"/>
        <v>2009</v>
      </c>
      <c r="DF58" s="3">
        <f t="shared" si="1"/>
        <v>2010</v>
      </c>
      <c r="DG58" s="3">
        <f t="shared" si="1"/>
        <v>2010</v>
      </c>
      <c r="DH58" s="3">
        <f t="shared" si="1"/>
        <v>2010</v>
      </c>
      <c r="DI58" s="3">
        <f t="shared" si="1"/>
        <v>2010</v>
      </c>
      <c r="DJ58" s="3">
        <f t="shared" si="1"/>
        <v>2010</v>
      </c>
      <c r="DK58" s="3">
        <f t="shared" si="1"/>
        <v>2010</v>
      </c>
      <c r="DL58" s="3">
        <f t="shared" si="1"/>
        <v>2010</v>
      </c>
      <c r="DM58" s="3">
        <f t="shared" si="1"/>
        <v>2010</v>
      </c>
      <c r="DN58" s="3">
        <f t="shared" si="1"/>
        <v>2010</v>
      </c>
      <c r="DO58" s="3">
        <f t="shared" si="1"/>
        <v>2010</v>
      </c>
      <c r="DP58" s="3">
        <f t="shared" si="1"/>
        <v>2010</v>
      </c>
      <c r="DQ58" s="3">
        <f t="shared" si="1"/>
        <v>2010</v>
      </c>
      <c r="DR58" s="3">
        <f t="shared" si="1"/>
        <v>2011</v>
      </c>
      <c r="DS58" s="3">
        <f t="shared" si="1"/>
        <v>2011</v>
      </c>
      <c r="DT58" s="3">
        <f t="shared" si="1"/>
        <v>2011</v>
      </c>
      <c r="DU58" s="3">
        <f t="shared" si="1"/>
        <v>2011</v>
      </c>
      <c r="DV58" s="3">
        <f t="shared" si="1"/>
        <v>2011</v>
      </c>
      <c r="DW58" s="3">
        <f t="shared" si="1"/>
        <v>2011</v>
      </c>
      <c r="DX58" s="3">
        <f t="shared" si="1"/>
        <v>2011</v>
      </c>
      <c r="DY58" s="3">
        <f t="shared" si="1"/>
        <v>2011</v>
      </c>
      <c r="DZ58" s="3">
        <f t="shared" ref="DZ58:GK58" si="2">YEAR(DZ42)</f>
        <v>2011</v>
      </c>
      <c r="EA58" s="3">
        <f t="shared" si="2"/>
        <v>2011</v>
      </c>
      <c r="EB58" s="3">
        <f t="shared" si="2"/>
        <v>2011</v>
      </c>
      <c r="EC58" s="3">
        <f t="shared" si="2"/>
        <v>2011</v>
      </c>
      <c r="ED58" s="3">
        <f t="shared" si="2"/>
        <v>2012</v>
      </c>
      <c r="EE58" s="3">
        <f t="shared" si="2"/>
        <v>2012</v>
      </c>
      <c r="EF58" s="3">
        <f t="shared" si="2"/>
        <v>2012</v>
      </c>
      <c r="EG58" s="3">
        <f t="shared" si="2"/>
        <v>2012</v>
      </c>
      <c r="EH58" s="3">
        <f t="shared" si="2"/>
        <v>2012</v>
      </c>
      <c r="EI58" s="3">
        <f t="shared" si="2"/>
        <v>2012</v>
      </c>
      <c r="EJ58" s="3">
        <f t="shared" si="2"/>
        <v>2012</v>
      </c>
      <c r="EK58" s="3">
        <f t="shared" si="2"/>
        <v>2012</v>
      </c>
      <c r="EL58" s="3">
        <f t="shared" si="2"/>
        <v>2012</v>
      </c>
      <c r="EM58" s="3">
        <f t="shared" si="2"/>
        <v>2012</v>
      </c>
      <c r="EN58" s="3">
        <f t="shared" si="2"/>
        <v>2012</v>
      </c>
      <c r="EO58" s="3">
        <f t="shared" si="2"/>
        <v>2012</v>
      </c>
      <c r="EP58" s="3">
        <f t="shared" si="2"/>
        <v>2013</v>
      </c>
      <c r="EQ58" s="3">
        <f t="shared" si="2"/>
        <v>2013</v>
      </c>
      <c r="ER58" s="3">
        <f t="shared" si="2"/>
        <v>2013</v>
      </c>
      <c r="ES58" s="3">
        <f t="shared" si="2"/>
        <v>2013</v>
      </c>
      <c r="ET58" s="3">
        <f t="shared" si="2"/>
        <v>2013</v>
      </c>
      <c r="EU58" s="3">
        <f t="shared" si="2"/>
        <v>2013</v>
      </c>
      <c r="EV58" s="3">
        <f t="shared" si="2"/>
        <v>2013</v>
      </c>
      <c r="EW58" s="3">
        <f t="shared" si="2"/>
        <v>2013</v>
      </c>
      <c r="EX58" s="3">
        <f t="shared" si="2"/>
        <v>2013</v>
      </c>
      <c r="EY58" s="3">
        <f t="shared" si="2"/>
        <v>2013</v>
      </c>
      <c r="EZ58" s="3">
        <f t="shared" si="2"/>
        <v>2013</v>
      </c>
      <c r="FA58" s="3">
        <f t="shared" si="2"/>
        <v>2013</v>
      </c>
      <c r="FB58" s="3">
        <f t="shared" si="2"/>
        <v>2014</v>
      </c>
      <c r="FC58" s="3">
        <f t="shared" si="2"/>
        <v>2014</v>
      </c>
      <c r="FD58" s="3">
        <f t="shared" si="2"/>
        <v>2014</v>
      </c>
      <c r="FE58" s="3">
        <f t="shared" si="2"/>
        <v>2014</v>
      </c>
      <c r="FF58" s="3">
        <f t="shared" si="2"/>
        <v>2014</v>
      </c>
      <c r="FG58" s="3">
        <f t="shared" si="2"/>
        <v>2014</v>
      </c>
      <c r="FH58" s="3">
        <f t="shared" si="2"/>
        <v>2014</v>
      </c>
      <c r="FI58" s="3">
        <f t="shared" si="2"/>
        <v>2014</v>
      </c>
      <c r="FJ58" s="3">
        <f t="shared" si="2"/>
        <v>2014</v>
      </c>
      <c r="FK58" s="3">
        <f t="shared" si="2"/>
        <v>2014</v>
      </c>
      <c r="FL58" s="3">
        <f t="shared" si="2"/>
        <v>2014</v>
      </c>
      <c r="FM58" s="3">
        <f t="shared" si="2"/>
        <v>2014</v>
      </c>
      <c r="FN58" s="3">
        <f t="shared" si="2"/>
        <v>2015</v>
      </c>
      <c r="FO58" s="3">
        <f t="shared" si="2"/>
        <v>2015</v>
      </c>
      <c r="FP58" s="3">
        <f t="shared" si="2"/>
        <v>2015</v>
      </c>
      <c r="FQ58" s="3">
        <f t="shared" si="2"/>
        <v>2015</v>
      </c>
      <c r="FR58" s="3">
        <f t="shared" si="2"/>
        <v>2015</v>
      </c>
      <c r="FS58" s="3">
        <f t="shared" si="2"/>
        <v>2015</v>
      </c>
      <c r="FT58" s="3">
        <f t="shared" si="2"/>
        <v>2015</v>
      </c>
      <c r="FU58" s="3">
        <f t="shared" si="2"/>
        <v>2015</v>
      </c>
      <c r="FV58" s="3">
        <f t="shared" si="2"/>
        <v>2015</v>
      </c>
      <c r="FW58" s="3">
        <f t="shared" si="2"/>
        <v>2015</v>
      </c>
      <c r="FX58" s="3">
        <f t="shared" si="2"/>
        <v>2015</v>
      </c>
      <c r="FY58" s="3">
        <f t="shared" si="2"/>
        <v>2015</v>
      </c>
      <c r="FZ58" s="3">
        <f t="shared" si="2"/>
        <v>2016</v>
      </c>
      <c r="GA58" s="3">
        <f t="shared" si="2"/>
        <v>2016</v>
      </c>
      <c r="GB58" s="3">
        <f t="shared" si="2"/>
        <v>2016</v>
      </c>
      <c r="GC58" s="3">
        <f t="shared" si="2"/>
        <v>2016</v>
      </c>
      <c r="GD58" s="3">
        <f t="shared" si="2"/>
        <v>2016</v>
      </c>
      <c r="GE58" s="3">
        <f t="shared" si="2"/>
        <v>2016</v>
      </c>
      <c r="GF58" s="3">
        <f t="shared" si="2"/>
        <v>2016</v>
      </c>
      <c r="GG58" s="3">
        <f t="shared" si="2"/>
        <v>2016</v>
      </c>
      <c r="GH58" s="3">
        <f t="shared" si="2"/>
        <v>2016</v>
      </c>
      <c r="GI58" s="3">
        <f t="shared" si="2"/>
        <v>2016</v>
      </c>
      <c r="GJ58" s="3">
        <f t="shared" si="2"/>
        <v>2016</v>
      </c>
      <c r="GK58" s="3">
        <f t="shared" si="2"/>
        <v>2016</v>
      </c>
      <c r="GL58" s="3">
        <f t="shared" ref="GL58:IZ58" si="3">YEAR(GL42)</f>
        <v>2017</v>
      </c>
      <c r="GM58" s="3">
        <f t="shared" si="3"/>
        <v>2017</v>
      </c>
      <c r="GN58" s="3">
        <f t="shared" si="3"/>
        <v>2017</v>
      </c>
      <c r="GO58" s="3">
        <f t="shared" si="3"/>
        <v>2017</v>
      </c>
      <c r="GP58" s="3">
        <f t="shared" si="3"/>
        <v>2017</v>
      </c>
      <c r="GQ58" s="3">
        <f t="shared" si="3"/>
        <v>2017</v>
      </c>
      <c r="GR58" s="3">
        <f t="shared" si="3"/>
        <v>2017</v>
      </c>
      <c r="GS58" s="3">
        <f t="shared" si="3"/>
        <v>2017</v>
      </c>
      <c r="GT58" s="3">
        <f t="shared" si="3"/>
        <v>2017</v>
      </c>
      <c r="GU58" s="3">
        <f t="shared" si="3"/>
        <v>2017</v>
      </c>
      <c r="GV58" s="3">
        <f t="shared" si="3"/>
        <v>2017</v>
      </c>
      <c r="GW58" s="3">
        <f t="shared" si="3"/>
        <v>2017</v>
      </c>
      <c r="GX58" s="3">
        <f t="shared" si="3"/>
        <v>2018</v>
      </c>
      <c r="GY58" s="3">
        <f t="shared" si="3"/>
        <v>2018</v>
      </c>
      <c r="GZ58" s="3">
        <f t="shared" si="3"/>
        <v>2018</v>
      </c>
      <c r="HA58" s="3">
        <f t="shared" si="3"/>
        <v>2018</v>
      </c>
      <c r="HB58" s="3">
        <f t="shared" si="3"/>
        <v>2018</v>
      </c>
      <c r="HC58" s="3">
        <f t="shared" si="3"/>
        <v>2018</v>
      </c>
      <c r="HD58" s="3">
        <f t="shared" si="3"/>
        <v>2018</v>
      </c>
      <c r="HE58" s="3">
        <f t="shared" si="3"/>
        <v>2018</v>
      </c>
      <c r="HF58" s="3">
        <f t="shared" si="3"/>
        <v>2018</v>
      </c>
      <c r="HG58" s="3">
        <f t="shared" si="3"/>
        <v>2018</v>
      </c>
      <c r="HH58" s="3">
        <f t="shared" si="3"/>
        <v>2018</v>
      </c>
      <c r="HI58" s="3">
        <f t="shared" si="3"/>
        <v>2018</v>
      </c>
      <c r="HJ58" s="3">
        <f t="shared" si="3"/>
        <v>2019</v>
      </c>
      <c r="HK58" s="3">
        <f t="shared" si="3"/>
        <v>2019</v>
      </c>
      <c r="HL58" s="3">
        <f t="shared" si="3"/>
        <v>2019</v>
      </c>
      <c r="HM58" s="3">
        <f t="shared" si="3"/>
        <v>2019</v>
      </c>
      <c r="HN58" s="3">
        <f t="shared" si="3"/>
        <v>2019</v>
      </c>
      <c r="HO58" s="3">
        <f t="shared" si="3"/>
        <v>2019</v>
      </c>
      <c r="HP58" s="3">
        <f t="shared" si="3"/>
        <v>2019</v>
      </c>
      <c r="HQ58" s="3">
        <f t="shared" si="3"/>
        <v>2019</v>
      </c>
      <c r="HR58" s="3">
        <f t="shared" si="3"/>
        <v>2019</v>
      </c>
      <c r="HS58" s="3">
        <f t="shared" si="3"/>
        <v>2019</v>
      </c>
      <c r="HT58" s="3">
        <f t="shared" si="3"/>
        <v>2019</v>
      </c>
      <c r="HU58" s="3">
        <f t="shared" si="3"/>
        <v>2019</v>
      </c>
      <c r="HV58" s="3">
        <f t="shared" si="3"/>
        <v>2020</v>
      </c>
      <c r="HW58" s="3">
        <f t="shared" si="3"/>
        <v>2020</v>
      </c>
      <c r="HX58" s="3">
        <f t="shared" si="3"/>
        <v>2020</v>
      </c>
      <c r="HY58" s="3">
        <f t="shared" si="3"/>
        <v>2020</v>
      </c>
      <c r="HZ58" s="3">
        <f t="shared" si="3"/>
        <v>2020</v>
      </c>
      <c r="IA58" s="3">
        <f t="shared" si="3"/>
        <v>2020</v>
      </c>
      <c r="IB58" s="3">
        <f t="shared" si="3"/>
        <v>2020</v>
      </c>
      <c r="IC58" s="3">
        <f t="shared" si="3"/>
        <v>2020</v>
      </c>
      <c r="ID58" s="3">
        <f t="shared" si="3"/>
        <v>2020</v>
      </c>
      <c r="IE58" s="3">
        <f t="shared" si="3"/>
        <v>2020</v>
      </c>
      <c r="IF58" s="3">
        <f t="shared" si="3"/>
        <v>2020</v>
      </c>
      <c r="IG58" s="3">
        <f t="shared" si="3"/>
        <v>2020</v>
      </c>
      <c r="IH58" s="3">
        <f t="shared" si="3"/>
        <v>2021</v>
      </c>
      <c r="II58" s="3">
        <f t="shared" si="3"/>
        <v>2021</v>
      </c>
      <c r="IJ58" s="3">
        <f t="shared" si="3"/>
        <v>2021</v>
      </c>
      <c r="IK58" s="3">
        <f t="shared" si="3"/>
        <v>2021</v>
      </c>
      <c r="IL58" s="3">
        <f t="shared" si="3"/>
        <v>2021</v>
      </c>
      <c r="IM58" s="3">
        <f t="shared" si="3"/>
        <v>2021</v>
      </c>
      <c r="IN58" s="3">
        <f t="shared" si="3"/>
        <v>2021</v>
      </c>
      <c r="IO58" s="3">
        <f t="shared" si="3"/>
        <v>2021</v>
      </c>
      <c r="IP58" s="3">
        <f t="shared" si="3"/>
        <v>2021</v>
      </c>
      <c r="IQ58" s="3">
        <f t="shared" si="3"/>
        <v>2021</v>
      </c>
      <c r="IR58" s="3">
        <f t="shared" si="3"/>
        <v>2021</v>
      </c>
      <c r="IS58" s="3">
        <f t="shared" si="3"/>
        <v>2021</v>
      </c>
      <c r="IT58" s="3">
        <f t="shared" si="3"/>
        <v>2022</v>
      </c>
      <c r="IU58" s="3">
        <f t="shared" si="3"/>
        <v>2022</v>
      </c>
      <c r="IV58" s="3">
        <f t="shared" si="3"/>
        <v>2022</v>
      </c>
      <c r="IW58" s="3">
        <f t="shared" si="3"/>
        <v>2022</v>
      </c>
      <c r="IX58" s="3">
        <f t="shared" si="3"/>
        <v>2022</v>
      </c>
      <c r="IY58" s="3">
        <f t="shared" si="3"/>
        <v>2022</v>
      </c>
      <c r="IZ58" s="3">
        <f t="shared" si="3"/>
        <v>2023</v>
      </c>
      <c r="JA58" s="3">
        <f t="shared" ref="JA58:JG58" si="4">YEAR(JA42)</f>
        <v>2023</v>
      </c>
      <c r="JB58" s="3">
        <f t="shared" si="4"/>
        <v>2023</v>
      </c>
      <c r="JC58" s="3">
        <f t="shared" si="4"/>
        <v>2023</v>
      </c>
      <c r="JD58" s="3">
        <f t="shared" si="4"/>
        <v>2024</v>
      </c>
      <c r="JG58" s="3">
        <f t="shared" si="4"/>
        <v>2024</v>
      </c>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s="3">
        <f t="shared" ref="TD58:VM58" si="5">YEAR(TD42)</f>
        <v>1900</v>
      </c>
      <c r="TE58" s="3">
        <f t="shared" si="5"/>
        <v>1900</v>
      </c>
      <c r="TF58" s="3">
        <f t="shared" si="5"/>
        <v>1900</v>
      </c>
      <c r="TG58" s="3">
        <f t="shared" si="5"/>
        <v>1900</v>
      </c>
      <c r="TH58" s="3">
        <f t="shared" si="5"/>
        <v>1900</v>
      </c>
      <c r="TI58" s="3">
        <f t="shared" si="5"/>
        <v>1900</v>
      </c>
      <c r="TJ58" s="3">
        <f t="shared" si="5"/>
        <v>1900</v>
      </c>
      <c r="TK58" s="3">
        <f t="shared" si="5"/>
        <v>1900</v>
      </c>
      <c r="TL58" s="3">
        <f t="shared" si="5"/>
        <v>1900</v>
      </c>
      <c r="TM58" s="3">
        <f t="shared" si="5"/>
        <v>1900</v>
      </c>
      <c r="TN58" s="3">
        <f t="shared" si="5"/>
        <v>1900</v>
      </c>
      <c r="TO58" s="3">
        <f t="shared" si="5"/>
        <v>1900</v>
      </c>
      <c r="TP58" s="3">
        <f t="shared" si="5"/>
        <v>1900</v>
      </c>
      <c r="TQ58" s="3">
        <f t="shared" si="5"/>
        <v>1900</v>
      </c>
      <c r="TR58" s="3">
        <f t="shared" si="5"/>
        <v>1900</v>
      </c>
      <c r="TS58" s="3">
        <f t="shared" si="5"/>
        <v>1900</v>
      </c>
      <c r="TT58" s="3">
        <f t="shared" si="5"/>
        <v>1900</v>
      </c>
      <c r="TU58" s="3">
        <f t="shared" si="5"/>
        <v>1900</v>
      </c>
      <c r="TV58" s="3">
        <f t="shared" si="5"/>
        <v>1900</v>
      </c>
      <c r="TW58" s="3">
        <f t="shared" si="5"/>
        <v>1900</v>
      </c>
      <c r="TX58" s="3">
        <f t="shared" si="5"/>
        <v>1900</v>
      </c>
      <c r="TY58" s="3">
        <f t="shared" si="5"/>
        <v>1900</v>
      </c>
      <c r="TZ58" s="3">
        <f t="shared" si="5"/>
        <v>1900</v>
      </c>
      <c r="UA58" s="3">
        <f t="shared" si="5"/>
        <v>1900</v>
      </c>
      <c r="UB58" s="3">
        <f t="shared" si="5"/>
        <v>1900</v>
      </c>
      <c r="UC58" s="3">
        <f t="shared" si="5"/>
        <v>1900</v>
      </c>
      <c r="UD58" s="3">
        <f t="shared" si="5"/>
        <v>1900</v>
      </c>
      <c r="UE58" s="3">
        <f t="shared" si="5"/>
        <v>1900</v>
      </c>
      <c r="UF58" s="3">
        <f t="shared" si="5"/>
        <v>1900</v>
      </c>
      <c r="UG58" s="3">
        <f t="shared" si="5"/>
        <v>1900</v>
      </c>
      <c r="UH58" s="3">
        <f t="shared" si="5"/>
        <v>1900</v>
      </c>
      <c r="UI58" s="3">
        <f t="shared" si="5"/>
        <v>1900</v>
      </c>
      <c r="UJ58" s="3">
        <f t="shared" si="5"/>
        <v>1900</v>
      </c>
      <c r="UK58" s="3">
        <f t="shared" si="5"/>
        <v>1900</v>
      </c>
      <c r="UL58" s="3">
        <f t="shared" si="5"/>
        <v>1900</v>
      </c>
      <c r="UM58" s="3">
        <f t="shared" si="5"/>
        <v>1900</v>
      </c>
      <c r="UN58" s="3">
        <f t="shared" si="5"/>
        <v>1900</v>
      </c>
      <c r="UO58" s="3">
        <f t="shared" si="5"/>
        <v>1900</v>
      </c>
      <c r="UP58" s="3">
        <f t="shared" si="5"/>
        <v>1900</v>
      </c>
      <c r="UQ58" s="3">
        <f t="shared" si="5"/>
        <v>1900</v>
      </c>
      <c r="UR58" s="3">
        <f t="shared" si="5"/>
        <v>1900</v>
      </c>
      <c r="US58" s="3">
        <f t="shared" si="5"/>
        <v>1900</v>
      </c>
      <c r="UT58" s="3">
        <f t="shared" si="5"/>
        <v>1900</v>
      </c>
      <c r="UU58" s="3">
        <f t="shared" si="5"/>
        <v>1900</v>
      </c>
      <c r="UV58" s="3">
        <f t="shared" si="5"/>
        <v>1900</v>
      </c>
      <c r="UW58" s="3">
        <f t="shared" si="5"/>
        <v>1900</v>
      </c>
      <c r="UX58" s="3">
        <f t="shared" si="5"/>
        <v>1900</v>
      </c>
      <c r="UY58" s="3">
        <f t="shared" si="5"/>
        <v>1900</v>
      </c>
      <c r="UZ58" s="3">
        <f t="shared" si="5"/>
        <v>1900</v>
      </c>
      <c r="VA58" s="3">
        <f t="shared" si="5"/>
        <v>1900</v>
      </c>
      <c r="VB58" s="3">
        <f t="shared" si="5"/>
        <v>1900</v>
      </c>
      <c r="VC58" s="3">
        <f t="shared" si="5"/>
        <v>1900</v>
      </c>
      <c r="VD58" s="3">
        <f t="shared" si="5"/>
        <v>1900</v>
      </c>
      <c r="VE58" s="3">
        <f t="shared" si="5"/>
        <v>1900</v>
      </c>
      <c r="VF58" s="3">
        <f t="shared" si="5"/>
        <v>1900</v>
      </c>
      <c r="VG58" s="3">
        <f t="shared" si="5"/>
        <v>1900</v>
      </c>
      <c r="VH58" s="3">
        <f t="shared" si="5"/>
        <v>1900</v>
      </c>
      <c r="VI58" s="3">
        <f t="shared" si="5"/>
        <v>1900</v>
      </c>
      <c r="VJ58" s="3">
        <f t="shared" si="5"/>
        <v>1900</v>
      </c>
      <c r="VK58" s="3">
        <f t="shared" si="5"/>
        <v>1900</v>
      </c>
      <c r="VL58" s="3">
        <f t="shared" si="5"/>
        <v>1900</v>
      </c>
      <c r="VM58" s="3">
        <f t="shared" si="5"/>
        <v>1900</v>
      </c>
      <c r="VN58" s="3">
        <f t="shared" ref="VN58:XY58" si="6">YEAR(VN42)</f>
        <v>1900</v>
      </c>
      <c r="VO58" s="3">
        <f t="shared" si="6"/>
        <v>1900</v>
      </c>
      <c r="VP58" s="3">
        <f t="shared" si="6"/>
        <v>1900</v>
      </c>
      <c r="VQ58" s="3">
        <f t="shared" si="6"/>
        <v>1900</v>
      </c>
      <c r="VR58" s="3">
        <f t="shared" si="6"/>
        <v>1900</v>
      </c>
      <c r="VS58" s="3">
        <f t="shared" si="6"/>
        <v>1900</v>
      </c>
      <c r="VT58" s="3">
        <f t="shared" si="6"/>
        <v>1900</v>
      </c>
      <c r="VU58" s="3">
        <f t="shared" si="6"/>
        <v>1900</v>
      </c>
      <c r="VV58" s="3">
        <f t="shared" si="6"/>
        <v>1900</v>
      </c>
      <c r="VW58" s="3">
        <f t="shared" si="6"/>
        <v>1900</v>
      </c>
      <c r="VX58" s="3">
        <f t="shared" si="6"/>
        <v>1900</v>
      </c>
      <c r="VY58" s="3">
        <f t="shared" si="6"/>
        <v>1900</v>
      </c>
      <c r="VZ58" s="3">
        <f t="shared" si="6"/>
        <v>1900</v>
      </c>
      <c r="WA58" s="3">
        <f t="shared" si="6"/>
        <v>1900</v>
      </c>
      <c r="WB58" s="3">
        <f t="shared" si="6"/>
        <v>1900</v>
      </c>
      <c r="WC58" s="3">
        <f t="shared" si="6"/>
        <v>1900</v>
      </c>
      <c r="WD58" s="3">
        <f t="shared" si="6"/>
        <v>1900</v>
      </c>
      <c r="WE58" s="3">
        <f t="shared" si="6"/>
        <v>1900</v>
      </c>
      <c r="WF58" s="3">
        <f t="shared" si="6"/>
        <v>1900</v>
      </c>
      <c r="WG58" s="3">
        <f t="shared" si="6"/>
        <v>1900</v>
      </c>
      <c r="WH58" s="3">
        <f t="shared" si="6"/>
        <v>1900</v>
      </c>
      <c r="WI58" s="3">
        <f t="shared" si="6"/>
        <v>1900</v>
      </c>
      <c r="WJ58" s="3">
        <f t="shared" si="6"/>
        <v>1900</v>
      </c>
      <c r="WK58" s="3">
        <f t="shared" si="6"/>
        <v>1900</v>
      </c>
      <c r="WL58" s="3">
        <f t="shared" si="6"/>
        <v>1900</v>
      </c>
      <c r="WM58" s="3">
        <f t="shared" si="6"/>
        <v>1900</v>
      </c>
      <c r="WN58" s="3">
        <f t="shared" si="6"/>
        <v>1900</v>
      </c>
      <c r="WO58" s="3">
        <f t="shared" si="6"/>
        <v>1900</v>
      </c>
      <c r="WP58" s="3">
        <f t="shared" si="6"/>
        <v>1900</v>
      </c>
      <c r="WQ58" s="3">
        <f t="shared" si="6"/>
        <v>1900</v>
      </c>
      <c r="WR58" s="3">
        <f t="shared" si="6"/>
        <v>1900</v>
      </c>
      <c r="WS58" s="3">
        <f t="shared" si="6"/>
        <v>1900</v>
      </c>
      <c r="WT58" s="3">
        <f t="shared" si="6"/>
        <v>1900</v>
      </c>
      <c r="WU58" s="3">
        <f t="shared" si="6"/>
        <v>1900</v>
      </c>
      <c r="WV58" s="3">
        <f t="shared" si="6"/>
        <v>1900</v>
      </c>
      <c r="WW58" s="3">
        <f t="shared" si="6"/>
        <v>1900</v>
      </c>
      <c r="WX58" s="3">
        <f t="shared" si="6"/>
        <v>1900</v>
      </c>
      <c r="WY58" s="3">
        <f t="shared" si="6"/>
        <v>1900</v>
      </c>
      <c r="WZ58" s="3">
        <f t="shared" si="6"/>
        <v>1900</v>
      </c>
      <c r="XA58" s="3">
        <f t="shared" si="6"/>
        <v>1900</v>
      </c>
      <c r="XB58" s="3">
        <f t="shared" si="6"/>
        <v>1900</v>
      </c>
      <c r="XC58" s="3">
        <f t="shared" si="6"/>
        <v>1900</v>
      </c>
      <c r="XD58" s="3">
        <f t="shared" si="6"/>
        <v>1900</v>
      </c>
      <c r="XE58" s="3">
        <f t="shared" si="6"/>
        <v>1900</v>
      </c>
      <c r="XF58" s="3">
        <f t="shared" si="6"/>
        <v>1900</v>
      </c>
      <c r="XG58" s="3">
        <f t="shared" si="6"/>
        <v>1900</v>
      </c>
      <c r="XH58" s="3">
        <f t="shared" si="6"/>
        <v>1900</v>
      </c>
      <c r="XI58" s="3">
        <f t="shared" si="6"/>
        <v>1900</v>
      </c>
      <c r="XJ58" s="3">
        <f t="shared" si="6"/>
        <v>1900</v>
      </c>
      <c r="XK58" s="3">
        <f t="shared" si="6"/>
        <v>1900</v>
      </c>
      <c r="XL58" s="3">
        <f t="shared" si="6"/>
        <v>1900</v>
      </c>
      <c r="XM58" s="3">
        <f t="shared" si="6"/>
        <v>1900</v>
      </c>
      <c r="XN58" s="3">
        <f t="shared" si="6"/>
        <v>1900</v>
      </c>
      <c r="XO58" s="3">
        <f t="shared" si="6"/>
        <v>1900</v>
      </c>
      <c r="XP58" s="3">
        <f t="shared" si="6"/>
        <v>1900</v>
      </c>
      <c r="XQ58" s="3">
        <f t="shared" si="6"/>
        <v>1900</v>
      </c>
      <c r="XR58" s="3">
        <f t="shared" si="6"/>
        <v>1900</v>
      </c>
      <c r="XS58" s="3">
        <f t="shared" si="6"/>
        <v>1900</v>
      </c>
      <c r="XT58" s="3">
        <f t="shared" si="6"/>
        <v>1900</v>
      </c>
      <c r="XU58" s="3">
        <f t="shared" si="6"/>
        <v>1900</v>
      </c>
      <c r="XV58" s="3">
        <f t="shared" si="6"/>
        <v>1900</v>
      </c>
      <c r="XW58" s="3">
        <f t="shared" si="6"/>
        <v>1900</v>
      </c>
      <c r="XX58" s="3">
        <f t="shared" si="6"/>
        <v>1900</v>
      </c>
      <c r="XY58" s="3">
        <f t="shared" si="6"/>
        <v>1900</v>
      </c>
      <c r="XZ58" s="3">
        <f t="shared" ref="XZ58:YW58" si="7">YEAR(XZ42)</f>
        <v>1900</v>
      </c>
      <c r="YA58" s="3">
        <f t="shared" si="7"/>
        <v>1900</v>
      </c>
      <c r="YB58" s="3">
        <f t="shared" si="7"/>
        <v>1900</v>
      </c>
      <c r="YC58" s="3">
        <f t="shared" si="7"/>
        <v>1900</v>
      </c>
      <c r="YD58" s="3">
        <f t="shared" si="7"/>
        <v>1900</v>
      </c>
      <c r="YE58" s="3">
        <f t="shared" si="7"/>
        <v>1900</v>
      </c>
      <c r="YF58" s="3">
        <f t="shared" si="7"/>
        <v>1900</v>
      </c>
      <c r="YG58" s="3">
        <f t="shared" si="7"/>
        <v>1900</v>
      </c>
      <c r="YH58" s="3">
        <f t="shared" si="7"/>
        <v>1900</v>
      </c>
      <c r="YI58" s="3">
        <f t="shared" si="7"/>
        <v>1900</v>
      </c>
      <c r="YJ58" s="3">
        <f t="shared" si="7"/>
        <v>1900</v>
      </c>
      <c r="YK58" s="3">
        <f t="shared" si="7"/>
        <v>1900</v>
      </c>
      <c r="YL58" s="3">
        <f t="shared" si="7"/>
        <v>1900</v>
      </c>
      <c r="YM58" s="3">
        <f t="shared" si="7"/>
        <v>1900</v>
      </c>
      <c r="YN58" s="3">
        <f t="shared" si="7"/>
        <v>1900</v>
      </c>
      <c r="YO58" s="3">
        <f t="shared" si="7"/>
        <v>1900</v>
      </c>
      <c r="YP58" s="3">
        <f t="shared" si="7"/>
        <v>1900</v>
      </c>
      <c r="YQ58" s="3">
        <f t="shared" si="7"/>
        <v>1900</v>
      </c>
      <c r="YR58" s="3">
        <f t="shared" si="7"/>
        <v>1900</v>
      </c>
      <c r="YS58" s="3">
        <f t="shared" si="7"/>
        <v>1900</v>
      </c>
      <c r="YT58" s="3">
        <f t="shared" si="7"/>
        <v>1900</v>
      </c>
      <c r="YU58" s="3">
        <f t="shared" si="7"/>
        <v>1900</v>
      </c>
      <c r="YV58" s="3">
        <f t="shared" si="7"/>
        <v>1900</v>
      </c>
      <c r="YW58" s="3">
        <f t="shared" si="7"/>
        <v>1900</v>
      </c>
    </row>
    <row r="59" spans="1:673" s="345" customFormat="1" ht="15" hidden="1" customHeight="1" thickBot="1" x14ac:dyDescent="0.3">
      <c r="A59" s="344" t="s">
        <v>175</v>
      </c>
      <c r="B59" s="345" t="str">
        <f t="shared" ref="B59:BM59" si="8">IF(MONTH(B42)&gt;6,"2","1")</f>
        <v>1</v>
      </c>
      <c r="C59" s="345" t="str">
        <f t="shared" si="8"/>
        <v>1</v>
      </c>
      <c r="D59" s="345" t="str">
        <f t="shared" si="8"/>
        <v>1</v>
      </c>
      <c r="E59" s="345" t="str">
        <f t="shared" si="8"/>
        <v>1</v>
      </c>
      <c r="F59" s="345" t="str">
        <f t="shared" si="8"/>
        <v>1</v>
      </c>
      <c r="G59" s="345" t="str">
        <f t="shared" si="8"/>
        <v>1</v>
      </c>
      <c r="H59" s="345" t="str">
        <f t="shared" si="8"/>
        <v>2</v>
      </c>
      <c r="I59" s="345" t="str">
        <f t="shared" si="8"/>
        <v>2</v>
      </c>
      <c r="J59" s="345" t="str">
        <f t="shared" si="8"/>
        <v>2</v>
      </c>
      <c r="K59" s="345" t="str">
        <f t="shared" si="8"/>
        <v>2</v>
      </c>
      <c r="L59" s="345" t="str">
        <f t="shared" si="8"/>
        <v>2</v>
      </c>
      <c r="M59" s="345" t="str">
        <f t="shared" si="8"/>
        <v>2</v>
      </c>
      <c r="N59" s="345" t="str">
        <f t="shared" si="8"/>
        <v>1</v>
      </c>
      <c r="O59" s="345" t="str">
        <f t="shared" si="8"/>
        <v>1</v>
      </c>
      <c r="P59" s="345" t="str">
        <f t="shared" si="8"/>
        <v>1</v>
      </c>
      <c r="Q59" s="345" t="str">
        <f t="shared" si="8"/>
        <v>1</v>
      </c>
      <c r="R59" s="345" t="str">
        <f t="shared" si="8"/>
        <v>1</v>
      </c>
      <c r="S59" s="345" t="str">
        <f t="shared" si="8"/>
        <v>1</v>
      </c>
      <c r="T59" s="345" t="str">
        <f t="shared" si="8"/>
        <v>2</v>
      </c>
      <c r="U59" s="345" t="str">
        <f t="shared" si="8"/>
        <v>2</v>
      </c>
      <c r="V59" s="345" t="str">
        <f t="shared" si="8"/>
        <v>2</v>
      </c>
      <c r="W59" s="345" t="str">
        <f t="shared" si="8"/>
        <v>2</v>
      </c>
      <c r="X59" s="345" t="str">
        <f t="shared" si="8"/>
        <v>2</v>
      </c>
      <c r="Y59" s="345" t="str">
        <f t="shared" si="8"/>
        <v>2</v>
      </c>
      <c r="Z59" s="345" t="str">
        <f t="shared" si="8"/>
        <v>1</v>
      </c>
      <c r="AA59" s="345" t="str">
        <f t="shared" si="8"/>
        <v>1</v>
      </c>
      <c r="AB59" s="345" t="str">
        <f t="shared" si="8"/>
        <v>1</v>
      </c>
      <c r="AC59" s="345" t="str">
        <f t="shared" si="8"/>
        <v>1</v>
      </c>
      <c r="AD59" s="345" t="str">
        <f t="shared" si="8"/>
        <v>1</v>
      </c>
      <c r="AE59" s="345" t="str">
        <f t="shared" si="8"/>
        <v>1</v>
      </c>
      <c r="AF59" s="345" t="str">
        <f t="shared" si="8"/>
        <v>2</v>
      </c>
      <c r="AG59" s="345" t="str">
        <f t="shared" si="8"/>
        <v>2</v>
      </c>
      <c r="AH59" s="345" t="str">
        <f t="shared" si="8"/>
        <v>2</v>
      </c>
      <c r="AI59" s="345" t="str">
        <f t="shared" si="8"/>
        <v>2</v>
      </c>
      <c r="AJ59" s="345" t="str">
        <f t="shared" si="8"/>
        <v>2</v>
      </c>
      <c r="AK59" s="345" t="str">
        <f t="shared" si="8"/>
        <v>2</v>
      </c>
      <c r="AL59" s="345" t="str">
        <f t="shared" si="8"/>
        <v>1</v>
      </c>
      <c r="AM59" s="345" t="str">
        <f t="shared" si="8"/>
        <v>1</v>
      </c>
      <c r="AN59" s="345" t="str">
        <f t="shared" si="8"/>
        <v>1</v>
      </c>
      <c r="AO59" s="345" t="str">
        <f t="shared" si="8"/>
        <v>1</v>
      </c>
      <c r="AP59" s="345" t="str">
        <f t="shared" si="8"/>
        <v>1</v>
      </c>
      <c r="AQ59" s="345" t="str">
        <f t="shared" si="8"/>
        <v>1</v>
      </c>
      <c r="AR59" s="345" t="str">
        <f t="shared" si="8"/>
        <v>2</v>
      </c>
      <c r="AS59" s="345" t="str">
        <f t="shared" si="8"/>
        <v>2</v>
      </c>
      <c r="AT59" s="345" t="str">
        <f t="shared" si="8"/>
        <v>2</v>
      </c>
      <c r="AU59" s="345" t="str">
        <f t="shared" si="8"/>
        <v>2</v>
      </c>
      <c r="AV59" s="345" t="str">
        <f t="shared" si="8"/>
        <v>2</v>
      </c>
      <c r="AW59" s="345" t="str">
        <f t="shared" si="8"/>
        <v>2</v>
      </c>
      <c r="AX59" s="345" t="str">
        <f t="shared" si="8"/>
        <v>1</v>
      </c>
      <c r="AY59" s="345" t="str">
        <f t="shared" si="8"/>
        <v>1</v>
      </c>
      <c r="AZ59" s="345" t="str">
        <f t="shared" si="8"/>
        <v>1</v>
      </c>
      <c r="BA59" s="345" t="str">
        <f t="shared" si="8"/>
        <v>1</v>
      </c>
      <c r="BB59" s="345" t="str">
        <f t="shared" si="8"/>
        <v>1</v>
      </c>
      <c r="BC59" s="345" t="str">
        <f t="shared" si="8"/>
        <v>1</v>
      </c>
      <c r="BD59" s="345" t="str">
        <f t="shared" si="8"/>
        <v>2</v>
      </c>
      <c r="BE59" s="345" t="str">
        <f t="shared" si="8"/>
        <v>2</v>
      </c>
      <c r="BF59" s="345" t="str">
        <f t="shared" si="8"/>
        <v>2</v>
      </c>
      <c r="BG59" s="345" t="str">
        <f t="shared" si="8"/>
        <v>2</v>
      </c>
      <c r="BH59" s="345" t="str">
        <f t="shared" si="8"/>
        <v>2</v>
      </c>
      <c r="BI59" s="345" t="str">
        <f t="shared" si="8"/>
        <v>2</v>
      </c>
      <c r="BJ59" s="345" t="str">
        <f t="shared" si="8"/>
        <v>1</v>
      </c>
      <c r="BK59" s="345" t="str">
        <f t="shared" si="8"/>
        <v>1</v>
      </c>
      <c r="BL59" s="345" t="str">
        <f t="shared" si="8"/>
        <v>1</v>
      </c>
      <c r="BM59" s="345" t="str">
        <f t="shared" si="8"/>
        <v>1</v>
      </c>
      <c r="BN59" s="345" t="str">
        <f t="shared" ref="BN59:DY59" si="9">IF(MONTH(BN42)&gt;6,"2","1")</f>
        <v>1</v>
      </c>
      <c r="BO59" s="345" t="str">
        <f t="shared" si="9"/>
        <v>1</v>
      </c>
      <c r="BP59" s="345" t="str">
        <f t="shared" si="9"/>
        <v>2</v>
      </c>
      <c r="BQ59" s="345" t="str">
        <f t="shared" si="9"/>
        <v>2</v>
      </c>
      <c r="BR59" s="345" t="str">
        <f t="shared" si="9"/>
        <v>2</v>
      </c>
      <c r="BS59" s="345" t="str">
        <f t="shared" si="9"/>
        <v>2</v>
      </c>
      <c r="BT59" s="345" t="str">
        <f t="shared" si="9"/>
        <v>2</v>
      </c>
      <c r="BU59" s="345" t="str">
        <f t="shared" si="9"/>
        <v>2</v>
      </c>
      <c r="BV59" s="345" t="str">
        <f t="shared" si="9"/>
        <v>1</v>
      </c>
      <c r="BW59" s="345" t="str">
        <f t="shared" si="9"/>
        <v>1</v>
      </c>
      <c r="BX59" s="345" t="str">
        <f t="shared" si="9"/>
        <v>1</v>
      </c>
      <c r="BY59" s="345" t="str">
        <f t="shared" si="9"/>
        <v>1</v>
      </c>
      <c r="BZ59" s="345" t="str">
        <f t="shared" si="9"/>
        <v>1</v>
      </c>
      <c r="CA59" s="345" t="str">
        <f t="shared" si="9"/>
        <v>1</v>
      </c>
      <c r="CB59" s="345" t="str">
        <f t="shared" si="9"/>
        <v>2</v>
      </c>
      <c r="CC59" s="345" t="str">
        <f t="shared" si="9"/>
        <v>2</v>
      </c>
      <c r="CD59" s="345" t="str">
        <f t="shared" si="9"/>
        <v>2</v>
      </c>
      <c r="CE59" s="345" t="str">
        <f t="shared" si="9"/>
        <v>2</v>
      </c>
      <c r="CF59" s="345" t="str">
        <f t="shared" si="9"/>
        <v>2</v>
      </c>
      <c r="CG59" s="345" t="str">
        <f t="shared" si="9"/>
        <v>2</v>
      </c>
      <c r="CH59" s="345" t="str">
        <f t="shared" si="9"/>
        <v>1</v>
      </c>
      <c r="CI59" s="345" t="str">
        <f t="shared" si="9"/>
        <v>1</v>
      </c>
      <c r="CJ59" s="345" t="str">
        <f t="shared" si="9"/>
        <v>1</v>
      </c>
      <c r="CK59" s="345" t="str">
        <f t="shared" si="9"/>
        <v>1</v>
      </c>
      <c r="CL59" s="345" t="str">
        <f t="shared" si="9"/>
        <v>1</v>
      </c>
      <c r="CM59" s="345" t="str">
        <f t="shared" si="9"/>
        <v>1</v>
      </c>
      <c r="CN59" s="345" t="str">
        <f t="shared" si="9"/>
        <v>2</v>
      </c>
      <c r="CO59" s="345" t="str">
        <f t="shared" si="9"/>
        <v>2</v>
      </c>
      <c r="CP59" s="345" t="str">
        <f t="shared" si="9"/>
        <v>2</v>
      </c>
      <c r="CQ59" s="345" t="str">
        <f t="shared" si="9"/>
        <v>2</v>
      </c>
      <c r="CR59" s="345" t="str">
        <f t="shared" si="9"/>
        <v>2</v>
      </c>
      <c r="CS59" s="345" t="str">
        <f t="shared" si="9"/>
        <v>2</v>
      </c>
      <c r="CT59" s="345" t="str">
        <f t="shared" si="9"/>
        <v>1</v>
      </c>
      <c r="CU59" s="345" t="str">
        <f t="shared" si="9"/>
        <v>1</v>
      </c>
      <c r="CV59" s="345" t="str">
        <f t="shared" si="9"/>
        <v>1</v>
      </c>
      <c r="CW59" s="345" t="str">
        <f t="shared" si="9"/>
        <v>1</v>
      </c>
      <c r="CX59" s="345" t="str">
        <f t="shared" si="9"/>
        <v>1</v>
      </c>
      <c r="CY59" s="345" t="str">
        <f t="shared" si="9"/>
        <v>1</v>
      </c>
      <c r="CZ59" s="345" t="str">
        <f t="shared" si="9"/>
        <v>2</v>
      </c>
      <c r="DA59" s="345" t="str">
        <f t="shared" si="9"/>
        <v>2</v>
      </c>
      <c r="DB59" s="345" t="str">
        <f t="shared" si="9"/>
        <v>2</v>
      </c>
      <c r="DC59" s="345" t="str">
        <f t="shared" si="9"/>
        <v>2</v>
      </c>
      <c r="DD59" s="345" t="str">
        <f t="shared" si="9"/>
        <v>2</v>
      </c>
      <c r="DE59" s="345" t="str">
        <f t="shared" si="9"/>
        <v>2</v>
      </c>
      <c r="DF59" s="345" t="str">
        <f t="shared" si="9"/>
        <v>1</v>
      </c>
      <c r="DG59" s="345" t="str">
        <f t="shared" si="9"/>
        <v>1</v>
      </c>
      <c r="DH59" s="345" t="str">
        <f t="shared" si="9"/>
        <v>1</v>
      </c>
      <c r="DI59" s="345" t="str">
        <f t="shared" si="9"/>
        <v>1</v>
      </c>
      <c r="DJ59" s="345" t="str">
        <f t="shared" si="9"/>
        <v>1</v>
      </c>
      <c r="DK59" s="345" t="str">
        <f t="shared" si="9"/>
        <v>1</v>
      </c>
      <c r="DL59" s="345" t="str">
        <f t="shared" si="9"/>
        <v>2</v>
      </c>
      <c r="DM59" s="345" t="str">
        <f t="shared" si="9"/>
        <v>2</v>
      </c>
      <c r="DN59" s="345" t="str">
        <f t="shared" si="9"/>
        <v>2</v>
      </c>
      <c r="DO59" s="345" t="str">
        <f t="shared" si="9"/>
        <v>2</v>
      </c>
      <c r="DP59" s="345" t="str">
        <f t="shared" si="9"/>
        <v>2</v>
      </c>
      <c r="DQ59" s="345" t="str">
        <f t="shared" si="9"/>
        <v>2</v>
      </c>
      <c r="DR59" s="345" t="str">
        <f t="shared" si="9"/>
        <v>1</v>
      </c>
      <c r="DS59" s="345" t="str">
        <f t="shared" si="9"/>
        <v>1</v>
      </c>
      <c r="DT59" s="345" t="str">
        <f t="shared" si="9"/>
        <v>1</v>
      </c>
      <c r="DU59" s="345" t="str">
        <f t="shared" si="9"/>
        <v>1</v>
      </c>
      <c r="DV59" s="345" t="str">
        <f t="shared" si="9"/>
        <v>1</v>
      </c>
      <c r="DW59" s="345" t="str">
        <f t="shared" si="9"/>
        <v>1</v>
      </c>
      <c r="DX59" s="345" t="str">
        <f t="shared" si="9"/>
        <v>2</v>
      </c>
      <c r="DY59" s="345" t="str">
        <f t="shared" si="9"/>
        <v>2</v>
      </c>
      <c r="DZ59" s="345" t="str">
        <f t="shared" ref="DZ59:GK59" si="10">IF(MONTH(DZ42)&gt;6,"2","1")</f>
        <v>2</v>
      </c>
      <c r="EA59" s="345" t="str">
        <f t="shared" si="10"/>
        <v>2</v>
      </c>
      <c r="EB59" s="345" t="str">
        <f t="shared" si="10"/>
        <v>2</v>
      </c>
      <c r="EC59" s="345" t="str">
        <f t="shared" si="10"/>
        <v>2</v>
      </c>
      <c r="ED59" s="345" t="str">
        <f t="shared" si="10"/>
        <v>1</v>
      </c>
      <c r="EE59" s="345" t="str">
        <f t="shared" si="10"/>
        <v>1</v>
      </c>
      <c r="EF59" s="345" t="str">
        <f t="shared" si="10"/>
        <v>1</v>
      </c>
      <c r="EG59" s="345" t="str">
        <f t="shared" si="10"/>
        <v>1</v>
      </c>
      <c r="EH59" s="345" t="str">
        <f t="shared" si="10"/>
        <v>1</v>
      </c>
      <c r="EI59" s="345" t="str">
        <f t="shared" si="10"/>
        <v>1</v>
      </c>
      <c r="EJ59" s="345" t="str">
        <f t="shared" si="10"/>
        <v>2</v>
      </c>
      <c r="EK59" s="345" t="str">
        <f t="shared" si="10"/>
        <v>2</v>
      </c>
      <c r="EL59" s="345" t="str">
        <f t="shared" si="10"/>
        <v>2</v>
      </c>
      <c r="EM59" s="345" t="str">
        <f t="shared" si="10"/>
        <v>2</v>
      </c>
      <c r="EN59" s="345" t="str">
        <f t="shared" si="10"/>
        <v>2</v>
      </c>
      <c r="EO59" s="345" t="str">
        <f t="shared" si="10"/>
        <v>2</v>
      </c>
      <c r="EP59" s="345" t="str">
        <f t="shared" si="10"/>
        <v>1</v>
      </c>
      <c r="EQ59" s="345" t="str">
        <f t="shared" si="10"/>
        <v>1</v>
      </c>
      <c r="ER59" s="345" t="str">
        <f t="shared" si="10"/>
        <v>1</v>
      </c>
      <c r="ES59" s="345" t="str">
        <f t="shared" si="10"/>
        <v>1</v>
      </c>
      <c r="ET59" s="345" t="str">
        <f t="shared" si="10"/>
        <v>1</v>
      </c>
      <c r="EU59" s="345" t="str">
        <f t="shared" si="10"/>
        <v>1</v>
      </c>
      <c r="EV59" s="345" t="str">
        <f t="shared" si="10"/>
        <v>2</v>
      </c>
      <c r="EW59" s="345" t="str">
        <f t="shared" si="10"/>
        <v>2</v>
      </c>
      <c r="EX59" s="345" t="str">
        <f t="shared" si="10"/>
        <v>2</v>
      </c>
      <c r="EY59" s="345" t="str">
        <f t="shared" si="10"/>
        <v>2</v>
      </c>
      <c r="EZ59" s="345" t="str">
        <f t="shared" si="10"/>
        <v>2</v>
      </c>
      <c r="FA59" s="345" t="str">
        <f t="shared" si="10"/>
        <v>2</v>
      </c>
      <c r="FB59" s="345" t="str">
        <f t="shared" si="10"/>
        <v>1</v>
      </c>
      <c r="FC59" s="345" t="str">
        <f t="shared" si="10"/>
        <v>1</v>
      </c>
      <c r="FD59" s="345" t="str">
        <f t="shared" si="10"/>
        <v>1</v>
      </c>
      <c r="FE59" s="345" t="str">
        <f t="shared" si="10"/>
        <v>1</v>
      </c>
      <c r="FF59" s="345" t="str">
        <f t="shared" si="10"/>
        <v>1</v>
      </c>
      <c r="FG59" s="345" t="str">
        <f t="shared" si="10"/>
        <v>1</v>
      </c>
      <c r="FH59" s="345" t="str">
        <f t="shared" si="10"/>
        <v>2</v>
      </c>
      <c r="FI59" s="345" t="str">
        <f t="shared" si="10"/>
        <v>2</v>
      </c>
      <c r="FJ59" s="345" t="str">
        <f t="shared" si="10"/>
        <v>2</v>
      </c>
      <c r="FK59" s="345" t="str">
        <f t="shared" si="10"/>
        <v>2</v>
      </c>
      <c r="FL59" s="345" t="str">
        <f t="shared" si="10"/>
        <v>2</v>
      </c>
      <c r="FM59" s="345" t="str">
        <f t="shared" si="10"/>
        <v>2</v>
      </c>
      <c r="FN59" s="345" t="str">
        <f t="shared" si="10"/>
        <v>1</v>
      </c>
      <c r="FO59" s="345" t="str">
        <f t="shared" si="10"/>
        <v>1</v>
      </c>
      <c r="FP59" s="345" t="str">
        <f t="shared" si="10"/>
        <v>1</v>
      </c>
      <c r="FQ59" s="345" t="str">
        <f t="shared" si="10"/>
        <v>1</v>
      </c>
      <c r="FR59" s="345" t="str">
        <f t="shared" si="10"/>
        <v>1</v>
      </c>
      <c r="FS59" s="345" t="str">
        <f t="shared" si="10"/>
        <v>1</v>
      </c>
      <c r="FT59" s="345" t="str">
        <f t="shared" si="10"/>
        <v>2</v>
      </c>
      <c r="FU59" s="345" t="str">
        <f t="shared" si="10"/>
        <v>2</v>
      </c>
      <c r="FV59" s="345" t="str">
        <f t="shared" si="10"/>
        <v>2</v>
      </c>
      <c r="FW59" s="345" t="str">
        <f t="shared" si="10"/>
        <v>2</v>
      </c>
      <c r="FX59" s="345" t="str">
        <f t="shared" si="10"/>
        <v>2</v>
      </c>
      <c r="FY59" s="345" t="str">
        <f t="shared" si="10"/>
        <v>2</v>
      </c>
      <c r="FZ59" s="345" t="str">
        <f t="shared" si="10"/>
        <v>1</v>
      </c>
      <c r="GA59" s="345" t="str">
        <f t="shared" si="10"/>
        <v>1</v>
      </c>
      <c r="GB59" s="345" t="str">
        <f t="shared" si="10"/>
        <v>1</v>
      </c>
      <c r="GC59" s="345" t="str">
        <f t="shared" si="10"/>
        <v>1</v>
      </c>
      <c r="GD59" s="345" t="str">
        <f t="shared" si="10"/>
        <v>1</v>
      </c>
      <c r="GE59" s="345" t="str">
        <f t="shared" si="10"/>
        <v>1</v>
      </c>
      <c r="GF59" s="345" t="str">
        <f t="shared" si="10"/>
        <v>2</v>
      </c>
      <c r="GG59" s="345" t="str">
        <f t="shared" si="10"/>
        <v>2</v>
      </c>
      <c r="GH59" s="345" t="str">
        <f t="shared" si="10"/>
        <v>2</v>
      </c>
      <c r="GI59" s="345" t="str">
        <f t="shared" si="10"/>
        <v>2</v>
      </c>
      <c r="GJ59" s="345" t="str">
        <f t="shared" si="10"/>
        <v>2</v>
      </c>
      <c r="GK59" s="345" t="str">
        <f t="shared" si="10"/>
        <v>2</v>
      </c>
      <c r="GL59" s="345" t="str">
        <f t="shared" ref="GL59:IN59" si="11">IF(MONTH(GL42)&gt;6,"2","1")</f>
        <v>1</v>
      </c>
      <c r="GM59" s="345" t="str">
        <f t="shared" si="11"/>
        <v>1</v>
      </c>
      <c r="GN59" s="345" t="str">
        <f t="shared" si="11"/>
        <v>1</v>
      </c>
      <c r="GO59" s="345" t="str">
        <f t="shared" si="11"/>
        <v>1</v>
      </c>
      <c r="GP59" s="345" t="str">
        <f t="shared" si="11"/>
        <v>1</v>
      </c>
      <c r="GQ59" s="345" t="str">
        <f t="shared" si="11"/>
        <v>1</v>
      </c>
      <c r="GR59" s="345" t="str">
        <f t="shared" si="11"/>
        <v>2</v>
      </c>
      <c r="GS59" s="345" t="str">
        <f t="shared" si="11"/>
        <v>2</v>
      </c>
      <c r="GT59" s="345" t="str">
        <f t="shared" si="11"/>
        <v>2</v>
      </c>
      <c r="GU59" s="345" t="str">
        <f t="shared" si="11"/>
        <v>2</v>
      </c>
      <c r="GV59" s="345" t="str">
        <f t="shared" si="11"/>
        <v>2</v>
      </c>
      <c r="GW59" s="345" t="str">
        <f t="shared" si="11"/>
        <v>2</v>
      </c>
      <c r="GX59" s="345" t="str">
        <f t="shared" si="11"/>
        <v>1</v>
      </c>
      <c r="GY59" s="345" t="str">
        <f t="shared" si="11"/>
        <v>1</v>
      </c>
      <c r="GZ59" s="345" t="str">
        <f t="shared" si="11"/>
        <v>1</v>
      </c>
      <c r="HA59" s="345" t="str">
        <f t="shared" si="11"/>
        <v>1</v>
      </c>
      <c r="HB59" s="345" t="str">
        <f t="shared" si="11"/>
        <v>1</v>
      </c>
      <c r="HC59" s="345" t="str">
        <f t="shared" si="11"/>
        <v>1</v>
      </c>
      <c r="HD59" s="345" t="str">
        <f t="shared" si="11"/>
        <v>2</v>
      </c>
      <c r="HE59" s="345" t="str">
        <f t="shared" si="11"/>
        <v>2</v>
      </c>
      <c r="HF59" s="345" t="str">
        <f t="shared" si="11"/>
        <v>2</v>
      </c>
      <c r="HG59" s="345" t="str">
        <f t="shared" si="11"/>
        <v>2</v>
      </c>
      <c r="HH59" s="345" t="str">
        <f t="shared" si="11"/>
        <v>2</v>
      </c>
      <c r="HI59" s="345" t="str">
        <f t="shared" si="11"/>
        <v>2</v>
      </c>
      <c r="HJ59" s="345" t="str">
        <f t="shared" si="11"/>
        <v>1</v>
      </c>
      <c r="HK59" s="345" t="str">
        <f t="shared" si="11"/>
        <v>1</v>
      </c>
      <c r="HL59" s="345" t="str">
        <f t="shared" si="11"/>
        <v>1</v>
      </c>
      <c r="HM59" s="345" t="str">
        <f t="shared" si="11"/>
        <v>1</v>
      </c>
      <c r="HN59" s="345" t="str">
        <f t="shared" si="11"/>
        <v>1</v>
      </c>
      <c r="HO59" s="345" t="str">
        <f t="shared" si="11"/>
        <v>1</v>
      </c>
      <c r="HP59" s="345" t="str">
        <f t="shared" si="11"/>
        <v>2</v>
      </c>
      <c r="HQ59" s="345" t="str">
        <f t="shared" si="11"/>
        <v>2</v>
      </c>
      <c r="HR59" s="345" t="str">
        <f t="shared" si="11"/>
        <v>2</v>
      </c>
      <c r="HS59" s="345" t="str">
        <f t="shared" si="11"/>
        <v>2</v>
      </c>
      <c r="HT59" s="345" t="str">
        <f t="shared" si="11"/>
        <v>2</v>
      </c>
      <c r="HU59" s="345" t="str">
        <f t="shared" si="11"/>
        <v>2</v>
      </c>
      <c r="HV59" s="345" t="str">
        <f t="shared" si="11"/>
        <v>1</v>
      </c>
      <c r="HW59" s="345" t="str">
        <f t="shared" si="11"/>
        <v>1</v>
      </c>
      <c r="HX59" s="345" t="str">
        <f t="shared" si="11"/>
        <v>1</v>
      </c>
      <c r="HY59" s="345" t="str">
        <f t="shared" si="11"/>
        <v>1</v>
      </c>
      <c r="HZ59" s="345" t="str">
        <f t="shared" si="11"/>
        <v>1</v>
      </c>
      <c r="IA59" s="345" t="str">
        <f t="shared" si="11"/>
        <v>1</v>
      </c>
      <c r="IB59" s="345" t="str">
        <f t="shared" si="11"/>
        <v>2</v>
      </c>
      <c r="IC59" s="345" t="str">
        <f t="shared" si="11"/>
        <v>2</v>
      </c>
      <c r="ID59" s="345" t="str">
        <f t="shared" si="11"/>
        <v>2</v>
      </c>
      <c r="IE59" s="345" t="str">
        <f t="shared" si="11"/>
        <v>2</v>
      </c>
      <c r="IF59" s="345" t="str">
        <f t="shared" si="11"/>
        <v>2</v>
      </c>
      <c r="IG59" s="345" t="str">
        <f t="shared" si="11"/>
        <v>2</v>
      </c>
      <c r="IH59" s="345" t="str">
        <f t="shared" si="11"/>
        <v>1</v>
      </c>
      <c r="II59" s="345" t="str">
        <f t="shared" si="11"/>
        <v>1</v>
      </c>
      <c r="IJ59" s="345" t="str">
        <f t="shared" si="11"/>
        <v>1</v>
      </c>
      <c r="IK59" s="345" t="str">
        <f t="shared" si="11"/>
        <v>1</v>
      </c>
      <c r="IL59" s="345" t="str">
        <f t="shared" si="11"/>
        <v>1</v>
      </c>
      <c r="IM59" s="345" t="str">
        <f t="shared" si="11"/>
        <v>1</v>
      </c>
      <c r="IN59" s="345" t="str">
        <f t="shared" si="11"/>
        <v>2</v>
      </c>
      <c r="IO59" s="345">
        <v>2</v>
      </c>
      <c r="IP59" s="345">
        <v>2</v>
      </c>
      <c r="IQ59" s="345">
        <v>2</v>
      </c>
      <c r="IR59" s="345">
        <v>2</v>
      </c>
      <c r="IS59" s="345">
        <v>2</v>
      </c>
      <c r="IT59" s="345" t="str">
        <f t="shared" ref="IT59:JG59" si="12">IF(MONTH(IT42)&gt;6,"2","1")</f>
        <v>1</v>
      </c>
      <c r="IU59" s="345" t="str">
        <f t="shared" si="12"/>
        <v>1</v>
      </c>
      <c r="IV59" s="345" t="str">
        <f t="shared" si="12"/>
        <v>1</v>
      </c>
      <c r="IW59" s="345" t="str">
        <f t="shared" si="12"/>
        <v>1</v>
      </c>
      <c r="IX59" s="345" t="str">
        <f t="shared" si="12"/>
        <v>2</v>
      </c>
      <c r="IY59" s="345" t="str">
        <f t="shared" si="12"/>
        <v>2</v>
      </c>
      <c r="IZ59" s="345" t="str">
        <f t="shared" si="12"/>
        <v>1</v>
      </c>
      <c r="JA59" s="345" t="str">
        <f t="shared" si="12"/>
        <v>1</v>
      </c>
      <c r="JB59" s="345" t="str">
        <f t="shared" si="12"/>
        <v>2</v>
      </c>
      <c r="JC59" s="345" t="str">
        <f t="shared" si="12"/>
        <v>2</v>
      </c>
      <c r="JD59" s="345" t="str">
        <f t="shared" si="12"/>
        <v>1</v>
      </c>
      <c r="JG59" s="345" t="str">
        <f t="shared" si="12"/>
        <v>2</v>
      </c>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s="345" t="str">
        <f t="shared" ref="TD59:VF59" si="13">IF(MONTH(TD42)&gt;6,"2","1")</f>
        <v>1</v>
      </c>
      <c r="TE59" s="345" t="str">
        <f t="shared" si="13"/>
        <v>1</v>
      </c>
      <c r="TF59" s="345" t="str">
        <f t="shared" si="13"/>
        <v>1</v>
      </c>
      <c r="TG59" s="345" t="str">
        <f t="shared" si="13"/>
        <v>1</v>
      </c>
      <c r="TH59" s="345" t="str">
        <f t="shared" si="13"/>
        <v>1</v>
      </c>
      <c r="TI59" s="345" t="str">
        <f t="shared" si="13"/>
        <v>1</v>
      </c>
      <c r="TJ59" s="345" t="str">
        <f t="shared" si="13"/>
        <v>1</v>
      </c>
      <c r="TK59" s="345" t="str">
        <f t="shared" si="13"/>
        <v>1</v>
      </c>
      <c r="TL59" s="345" t="str">
        <f t="shared" si="13"/>
        <v>1</v>
      </c>
      <c r="TM59" s="345" t="str">
        <f t="shared" si="13"/>
        <v>1</v>
      </c>
      <c r="TN59" s="345" t="str">
        <f t="shared" si="13"/>
        <v>1</v>
      </c>
      <c r="TO59" s="345" t="str">
        <f t="shared" si="13"/>
        <v>1</v>
      </c>
      <c r="TP59" s="345" t="str">
        <f t="shared" si="13"/>
        <v>1</v>
      </c>
      <c r="TQ59" s="345" t="str">
        <f t="shared" si="13"/>
        <v>1</v>
      </c>
      <c r="TR59" s="345" t="str">
        <f t="shared" si="13"/>
        <v>1</v>
      </c>
      <c r="TS59" s="345" t="str">
        <f t="shared" si="13"/>
        <v>1</v>
      </c>
      <c r="TT59" s="345" t="str">
        <f t="shared" si="13"/>
        <v>1</v>
      </c>
      <c r="TU59" s="345" t="str">
        <f t="shared" si="13"/>
        <v>1</v>
      </c>
      <c r="TV59" s="345" t="str">
        <f t="shared" si="13"/>
        <v>1</v>
      </c>
      <c r="TW59" s="345" t="str">
        <f t="shared" si="13"/>
        <v>1</v>
      </c>
      <c r="TX59" s="345" t="str">
        <f t="shared" si="13"/>
        <v>1</v>
      </c>
      <c r="TY59" s="345" t="str">
        <f t="shared" si="13"/>
        <v>1</v>
      </c>
      <c r="TZ59" s="345" t="str">
        <f t="shared" si="13"/>
        <v>1</v>
      </c>
      <c r="UA59" s="345" t="str">
        <f t="shared" si="13"/>
        <v>1</v>
      </c>
      <c r="UB59" s="345" t="str">
        <f t="shared" si="13"/>
        <v>1</v>
      </c>
      <c r="UC59" s="345" t="str">
        <f t="shared" si="13"/>
        <v>1</v>
      </c>
      <c r="UD59" s="345" t="str">
        <f t="shared" si="13"/>
        <v>1</v>
      </c>
      <c r="UE59" s="345" t="str">
        <f t="shared" si="13"/>
        <v>1</v>
      </c>
      <c r="UF59" s="345" t="str">
        <f t="shared" si="13"/>
        <v>1</v>
      </c>
      <c r="UG59" s="345" t="str">
        <f t="shared" si="13"/>
        <v>1</v>
      </c>
      <c r="UH59" s="345" t="str">
        <f t="shared" si="13"/>
        <v>1</v>
      </c>
      <c r="UI59" s="345" t="str">
        <f t="shared" si="13"/>
        <v>1</v>
      </c>
      <c r="UJ59" s="345" t="str">
        <f t="shared" si="13"/>
        <v>1</v>
      </c>
      <c r="UK59" s="345" t="str">
        <f t="shared" si="13"/>
        <v>1</v>
      </c>
      <c r="UL59" s="345" t="str">
        <f t="shared" si="13"/>
        <v>1</v>
      </c>
      <c r="UM59" s="345" t="str">
        <f t="shared" si="13"/>
        <v>1</v>
      </c>
      <c r="UN59" s="345" t="str">
        <f t="shared" si="13"/>
        <v>1</v>
      </c>
      <c r="UO59" s="345" t="str">
        <f t="shared" si="13"/>
        <v>1</v>
      </c>
      <c r="UP59" s="345" t="str">
        <f t="shared" si="13"/>
        <v>1</v>
      </c>
      <c r="UQ59" s="345" t="str">
        <f t="shared" si="13"/>
        <v>1</v>
      </c>
      <c r="UR59" s="345" t="str">
        <f t="shared" si="13"/>
        <v>1</v>
      </c>
      <c r="US59" s="345" t="str">
        <f t="shared" si="13"/>
        <v>1</v>
      </c>
      <c r="UT59" s="345" t="str">
        <f t="shared" si="13"/>
        <v>1</v>
      </c>
      <c r="UU59" s="345" t="str">
        <f t="shared" si="13"/>
        <v>1</v>
      </c>
      <c r="UV59" s="345" t="str">
        <f t="shared" si="13"/>
        <v>1</v>
      </c>
      <c r="UW59" s="345" t="str">
        <f t="shared" si="13"/>
        <v>1</v>
      </c>
      <c r="UX59" s="345" t="str">
        <f t="shared" si="13"/>
        <v>1</v>
      </c>
      <c r="UY59" s="345" t="str">
        <f t="shared" si="13"/>
        <v>1</v>
      </c>
      <c r="UZ59" s="345" t="str">
        <f t="shared" si="13"/>
        <v>1</v>
      </c>
      <c r="VA59" s="345" t="str">
        <f t="shared" si="13"/>
        <v>1</v>
      </c>
      <c r="VB59" s="345" t="str">
        <f t="shared" si="13"/>
        <v>1</v>
      </c>
      <c r="VC59" s="345" t="str">
        <f t="shared" si="13"/>
        <v>1</v>
      </c>
      <c r="VD59" s="345" t="str">
        <f t="shared" si="13"/>
        <v>1</v>
      </c>
      <c r="VE59" s="345" t="str">
        <f t="shared" si="13"/>
        <v>1</v>
      </c>
      <c r="VF59" s="345" t="str">
        <f t="shared" si="13"/>
        <v>1</v>
      </c>
      <c r="VG59" s="345" t="str">
        <f t="shared" ref="VG59:XR59" si="14">IF(MONTH(VG42)&gt;6,"2","1")</f>
        <v>1</v>
      </c>
      <c r="VH59" s="345" t="str">
        <f t="shared" si="14"/>
        <v>1</v>
      </c>
      <c r="VI59" s="345" t="str">
        <f t="shared" si="14"/>
        <v>1</v>
      </c>
      <c r="VJ59" s="345" t="str">
        <f t="shared" si="14"/>
        <v>1</v>
      </c>
      <c r="VK59" s="345" t="str">
        <f t="shared" si="14"/>
        <v>1</v>
      </c>
      <c r="VL59" s="345" t="str">
        <f t="shared" si="14"/>
        <v>1</v>
      </c>
      <c r="VM59" s="345" t="str">
        <f t="shared" si="14"/>
        <v>1</v>
      </c>
      <c r="VN59" s="345" t="str">
        <f t="shared" si="14"/>
        <v>1</v>
      </c>
      <c r="VO59" s="345" t="str">
        <f t="shared" si="14"/>
        <v>1</v>
      </c>
      <c r="VP59" s="345" t="str">
        <f t="shared" si="14"/>
        <v>1</v>
      </c>
      <c r="VQ59" s="345" t="str">
        <f t="shared" si="14"/>
        <v>1</v>
      </c>
      <c r="VR59" s="345" t="str">
        <f t="shared" si="14"/>
        <v>1</v>
      </c>
      <c r="VS59" s="345" t="str">
        <f t="shared" si="14"/>
        <v>1</v>
      </c>
      <c r="VT59" s="345" t="str">
        <f t="shared" si="14"/>
        <v>1</v>
      </c>
      <c r="VU59" s="345" t="str">
        <f t="shared" si="14"/>
        <v>1</v>
      </c>
      <c r="VV59" s="345" t="str">
        <f t="shared" si="14"/>
        <v>1</v>
      </c>
      <c r="VW59" s="345" t="str">
        <f t="shared" si="14"/>
        <v>1</v>
      </c>
      <c r="VX59" s="345" t="str">
        <f t="shared" si="14"/>
        <v>1</v>
      </c>
      <c r="VY59" s="345" t="str">
        <f t="shared" si="14"/>
        <v>1</v>
      </c>
      <c r="VZ59" s="345" t="str">
        <f t="shared" si="14"/>
        <v>1</v>
      </c>
      <c r="WA59" s="345" t="str">
        <f t="shared" si="14"/>
        <v>1</v>
      </c>
      <c r="WB59" s="345" t="str">
        <f t="shared" si="14"/>
        <v>1</v>
      </c>
      <c r="WC59" s="345" t="str">
        <f t="shared" si="14"/>
        <v>1</v>
      </c>
      <c r="WD59" s="345" t="str">
        <f t="shared" si="14"/>
        <v>1</v>
      </c>
      <c r="WE59" s="345" t="str">
        <f t="shared" si="14"/>
        <v>1</v>
      </c>
      <c r="WF59" s="345" t="str">
        <f t="shared" si="14"/>
        <v>1</v>
      </c>
      <c r="WG59" s="345" t="str">
        <f t="shared" si="14"/>
        <v>1</v>
      </c>
      <c r="WH59" s="345" t="str">
        <f t="shared" si="14"/>
        <v>1</v>
      </c>
      <c r="WI59" s="345" t="str">
        <f t="shared" si="14"/>
        <v>1</v>
      </c>
      <c r="WJ59" s="345" t="str">
        <f t="shared" si="14"/>
        <v>1</v>
      </c>
      <c r="WK59" s="345" t="str">
        <f t="shared" si="14"/>
        <v>1</v>
      </c>
      <c r="WL59" s="345" t="str">
        <f t="shared" si="14"/>
        <v>1</v>
      </c>
      <c r="WM59" s="345" t="str">
        <f t="shared" si="14"/>
        <v>1</v>
      </c>
      <c r="WN59" s="345" t="str">
        <f t="shared" si="14"/>
        <v>1</v>
      </c>
      <c r="WO59" s="345" t="str">
        <f t="shared" si="14"/>
        <v>1</v>
      </c>
      <c r="WP59" s="345" t="str">
        <f t="shared" si="14"/>
        <v>1</v>
      </c>
      <c r="WQ59" s="345" t="str">
        <f t="shared" si="14"/>
        <v>1</v>
      </c>
      <c r="WR59" s="345" t="str">
        <f t="shared" si="14"/>
        <v>1</v>
      </c>
      <c r="WS59" s="345" t="str">
        <f t="shared" si="14"/>
        <v>1</v>
      </c>
      <c r="WT59" s="345" t="str">
        <f t="shared" si="14"/>
        <v>1</v>
      </c>
      <c r="WU59" s="345" t="str">
        <f t="shared" si="14"/>
        <v>1</v>
      </c>
      <c r="WV59" s="345" t="str">
        <f t="shared" si="14"/>
        <v>1</v>
      </c>
      <c r="WW59" s="345" t="str">
        <f t="shared" si="14"/>
        <v>1</v>
      </c>
      <c r="WX59" s="345" t="str">
        <f t="shared" si="14"/>
        <v>1</v>
      </c>
      <c r="WY59" s="345" t="str">
        <f t="shared" si="14"/>
        <v>1</v>
      </c>
      <c r="WZ59" s="345" t="str">
        <f t="shared" si="14"/>
        <v>1</v>
      </c>
      <c r="XA59" s="345" t="str">
        <f t="shared" si="14"/>
        <v>1</v>
      </c>
      <c r="XB59" s="345" t="str">
        <f t="shared" si="14"/>
        <v>1</v>
      </c>
      <c r="XC59" s="345" t="str">
        <f t="shared" si="14"/>
        <v>1</v>
      </c>
      <c r="XD59" s="345" t="str">
        <f t="shared" si="14"/>
        <v>1</v>
      </c>
      <c r="XE59" s="345" t="str">
        <f t="shared" si="14"/>
        <v>1</v>
      </c>
      <c r="XF59" s="345" t="str">
        <f t="shared" si="14"/>
        <v>1</v>
      </c>
      <c r="XG59" s="345" t="str">
        <f t="shared" si="14"/>
        <v>1</v>
      </c>
      <c r="XH59" s="345" t="str">
        <f t="shared" si="14"/>
        <v>1</v>
      </c>
      <c r="XI59" s="345" t="str">
        <f t="shared" si="14"/>
        <v>1</v>
      </c>
      <c r="XJ59" s="345" t="str">
        <f t="shared" si="14"/>
        <v>1</v>
      </c>
      <c r="XK59" s="345" t="str">
        <f t="shared" si="14"/>
        <v>1</v>
      </c>
      <c r="XL59" s="345" t="str">
        <f t="shared" si="14"/>
        <v>1</v>
      </c>
      <c r="XM59" s="345" t="str">
        <f t="shared" si="14"/>
        <v>1</v>
      </c>
      <c r="XN59" s="345" t="str">
        <f t="shared" si="14"/>
        <v>1</v>
      </c>
      <c r="XO59" s="345" t="str">
        <f t="shared" si="14"/>
        <v>1</v>
      </c>
      <c r="XP59" s="345" t="str">
        <f t="shared" si="14"/>
        <v>1</v>
      </c>
      <c r="XQ59" s="345" t="str">
        <f t="shared" si="14"/>
        <v>1</v>
      </c>
      <c r="XR59" s="345" t="str">
        <f t="shared" si="14"/>
        <v>1</v>
      </c>
      <c r="XS59" s="345" t="str">
        <f t="shared" ref="XS59:YW59" si="15">IF(MONTH(XS42)&gt;6,"2","1")</f>
        <v>1</v>
      </c>
      <c r="XT59" s="345" t="str">
        <f t="shared" si="15"/>
        <v>1</v>
      </c>
      <c r="XU59" s="345" t="str">
        <f t="shared" si="15"/>
        <v>1</v>
      </c>
      <c r="XV59" s="345" t="str">
        <f t="shared" si="15"/>
        <v>1</v>
      </c>
      <c r="XW59" s="345" t="str">
        <f t="shared" si="15"/>
        <v>1</v>
      </c>
      <c r="XX59" s="345" t="str">
        <f t="shared" si="15"/>
        <v>1</v>
      </c>
      <c r="XY59" s="345" t="str">
        <f t="shared" si="15"/>
        <v>1</v>
      </c>
      <c r="XZ59" s="345" t="str">
        <f t="shared" si="15"/>
        <v>1</v>
      </c>
      <c r="YA59" s="345" t="str">
        <f t="shared" si="15"/>
        <v>1</v>
      </c>
      <c r="YB59" s="345" t="str">
        <f t="shared" si="15"/>
        <v>1</v>
      </c>
      <c r="YC59" s="345" t="str">
        <f t="shared" si="15"/>
        <v>1</v>
      </c>
      <c r="YD59" s="345" t="str">
        <f t="shared" si="15"/>
        <v>1</v>
      </c>
      <c r="YE59" s="345" t="str">
        <f t="shared" si="15"/>
        <v>1</v>
      </c>
      <c r="YF59" s="345" t="str">
        <f t="shared" si="15"/>
        <v>1</v>
      </c>
      <c r="YG59" s="345" t="str">
        <f t="shared" si="15"/>
        <v>1</v>
      </c>
      <c r="YH59" s="345" t="str">
        <f t="shared" si="15"/>
        <v>1</v>
      </c>
      <c r="YI59" s="345" t="str">
        <f t="shared" si="15"/>
        <v>1</v>
      </c>
      <c r="YJ59" s="345" t="str">
        <f t="shared" si="15"/>
        <v>1</v>
      </c>
      <c r="YK59" s="345" t="str">
        <f t="shared" si="15"/>
        <v>1</v>
      </c>
      <c r="YL59" s="345" t="str">
        <f t="shared" si="15"/>
        <v>1</v>
      </c>
      <c r="YM59" s="345" t="str">
        <f t="shared" si="15"/>
        <v>1</v>
      </c>
      <c r="YN59" s="345" t="str">
        <f t="shared" si="15"/>
        <v>1</v>
      </c>
      <c r="YO59" s="345" t="str">
        <f t="shared" si="15"/>
        <v>1</v>
      </c>
      <c r="YP59" s="345" t="str">
        <f t="shared" si="15"/>
        <v>1</v>
      </c>
      <c r="YQ59" s="345" t="str">
        <f t="shared" si="15"/>
        <v>1</v>
      </c>
      <c r="YR59" s="345" t="str">
        <f t="shared" si="15"/>
        <v>1</v>
      </c>
      <c r="YS59" s="345" t="str">
        <f t="shared" si="15"/>
        <v>1</v>
      </c>
      <c r="YT59" s="345" t="str">
        <f t="shared" si="15"/>
        <v>1</v>
      </c>
      <c r="YU59" s="345" t="str">
        <f t="shared" si="15"/>
        <v>1</v>
      </c>
      <c r="YV59" s="345" t="str">
        <f t="shared" si="15"/>
        <v>1</v>
      </c>
      <c r="YW59" s="345" t="str">
        <f t="shared" si="15"/>
        <v>1</v>
      </c>
    </row>
    <row r="60" spans="1:673" ht="15" hidden="1" customHeight="1" thickBot="1" x14ac:dyDescent="0.3">
      <c r="A60" s="346" t="s">
        <v>63</v>
      </c>
      <c r="B60" s="347" t="s">
        <v>176</v>
      </c>
      <c r="C60" s="347" t="s">
        <v>177</v>
      </c>
      <c r="D60" s="347" t="s">
        <v>178</v>
      </c>
      <c r="E60" s="347" t="s">
        <v>179</v>
      </c>
      <c r="F60" s="347" t="s">
        <v>180</v>
      </c>
      <c r="G60" s="347" t="s">
        <v>181</v>
      </c>
      <c r="H60" s="347" t="s">
        <v>182</v>
      </c>
      <c r="I60" s="347" t="s">
        <v>183</v>
      </c>
      <c r="J60" s="347" t="s">
        <v>184</v>
      </c>
      <c r="K60" s="347" t="s">
        <v>185</v>
      </c>
      <c r="L60" s="347" t="s">
        <v>186</v>
      </c>
      <c r="M60" s="347" t="s">
        <v>187</v>
      </c>
      <c r="N60" s="347" t="s">
        <v>188</v>
      </c>
      <c r="O60" s="347" t="s">
        <v>189</v>
      </c>
      <c r="P60" s="347" t="s">
        <v>190</v>
      </c>
      <c r="Q60" s="347" t="s">
        <v>191</v>
      </c>
      <c r="R60" s="347" t="s">
        <v>192</v>
      </c>
      <c r="S60" s="347" t="s">
        <v>193</v>
      </c>
      <c r="T60" s="347" t="s">
        <v>194</v>
      </c>
      <c r="U60" s="347" t="s">
        <v>195</v>
      </c>
      <c r="V60" s="347" t="s">
        <v>196</v>
      </c>
      <c r="W60" s="347" t="s">
        <v>197</v>
      </c>
      <c r="X60" s="347" t="s">
        <v>198</v>
      </c>
      <c r="Y60" s="347" t="s">
        <v>199</v>
      </c>
      <c r="Z60" s="347" t="s">
        <v>200</v>
      </c>
      <c r="AA60" s="347" t="s">
        <v>201</v>
      </c>
      <c r="AB60" s="347" t="s">
        <v>202</v>
      </c>
      <c r="AC60" s="347" t="s">
        <v>203</v>
      </c>
      <c r="AD60" s="347" t="s">
        <v>204</v>
      </c>
      <c r="AE60" s="347" t="s">
        <v>205</v>
      </c>
      <c r="AF60" s="347" t="s">
        <v>206</v>
      </c>
      <c r="AG60" s="347" t="s">
        <v>207</v>
      </c>
      <c r="AH60" s="347" t="s">
        <v>208</v>
      </c>
      <c r="AI60" s="347" t="s">
        <v>209</v>
      </c>
      <c r="AJ60" s="347" t="s">
        <v>210</v>
      </c>
      <c r="AK60" s="347" t="s">
        <v>211</v>
      </c>
      <c r="AL60" s="348" t="s">
        <v>212</v>
      </c>
      <c r="AM60" s="348" t="s">
        <v>213</v>
      </c>
      <c r="AN60" s="348" t="s">
        <v>214</v>
      </c>
      <c r="AO60" s="348" t="s">
        <v>215</v>
      </c>
      <c r="AP60" s="348" t="s">
        <v>216</v>
      </c>
      <c r="AQ60" s="348" t="s">
        <v>217</v>
      </c>
      <c r="AR60" s="348" t="s">
        <v>218</v>
      </c>
      <c r="AS60" s="348"/>
      <c r="AT60" s="348"/>
      <c r="AU60" s="348"/>
      <c r="AV60" s="348"/>
      <c r="AW60" s="348"/>
      <c r="AX60" s="348"/>
      <c r="AY60" s="348"/>
      <c r="AZ60" s="348"/>
      <c r="BA60" s="348"/>
      <c r="BB60" s="348"/>
      <c r="BC60" s="349"/>
      <c r="BD60" s="349"/>
      <c r="BE60" s="349"/>
      <c r="BF60" s="349"/>
      <c r="BG60" s="349"/>
      <c r="BH60" s="349"/>
      <c r="BI60" s="349"/>
      <c r="BJ60" s="349"/>
      <c r="BK60" s="349"/>
      <c r="BL60" s="349"/>
      <c r="BM60" s="349"/>
      <c r="BN60" s="349"/>
      <c r="BO60" s="349"/>
      <c r="BP60" s="349"/>
      <c r="BQ60" s="349"/>
      <c r="BR60" s="349"/>
      <c r="BS60" s="349"/>
      <c r="FY60" s="12"/>
      <c r="GE60" s="12"/>
      <c r="GK60" s="12"/>
      <c r="GQ60" s="12"/>
      <c r="GW60" s="1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3"/>
      <c r="IO60" s="2"/>
      <c r="IP60" s="2"/>
      <c r="IQ60" s="2"/>
      <c r="IR60" s="2"/>
      <c r="IS60" s="2"/>
      <c r="IT60" s="2"/>
      <c r="IU60" s="2"/>
      <c r="IV60" s="2"/>
      <c r="IW60" s="2"/>
      <c r="IX60" s="2"/>
      <c r="IY60" s="2"/>
      <c r="IZ60" s="2"/>
      <c r="JA60" s="2"/>
      <c r="JB60" s="2"/>
      <c r="JC60" s="2"/>
      <c r="JD60" s="2"/>
      <c r="JE60" s="2"/>
      <c r="JF60" s="2"/>
      <c r="JG60" s="2"/>
      <c r="JH60" s="2"/>
      <c r="JI60" s="2"/>
      <c r="JJ60" s="2"/>
      <c r="JK60" s="2"/>
    </row>
    <row r="61" spans="1:673" s="87" customFormat="1" ht="14.45" hidden="1" customHeight="1" x14ac:dyDescent="0.25">
      <c r="A61" s="350" t="s">
        <v>219</v>
      </c>
      <c r="B61" s="304">
        <f t="shared" ref="B61:AG61" si="16">AVERAGEIFS($B46:$YU46,$B$59:$YU$59,RIGHT(LEFT(B$60,2),1),$B$58:$YU$58,RIGHT(B$60,4))</f>
        <v>1336.914</v>
      </c>
      <c r="C61" s="304">
        <f t="shared" si="16"/>
        <v>1319.9279999999999</v>
      </c>
      <c r="D61" s="304">
        <f t="shared" si="16"/>
        <v>1252.511</v>
      </c>
      <c r="E61" s="304">
        <f t="shared" si="16"/>
        <v>1375.2030000000002</v>
      </c>
      <c r="F61" s="304">
        <f t="shared" si="16"/>
        <v>1479.4639999999999</v>
      </c>
      <c r="G61" s="304">
        <f t="shared" si="16"/>
        <v>1272.9490000000001</v>
      </c>
      <c r="H61" s="304">
        <f t="shared" si="16"/>
        <v>991.72200000000009</v>
      </c>
      <c r="I61" s="304">
        <f t="shared" si="16"/>
        <v>1329.2830000000001</v>
      </c>
      <c r="J61" s="304">
        <f t="shared" si="16"/>
        <v>1421.3</v>
      </c>
      <c r="K61" s="304">
        <f t="shared" si="16"/>
        <v>1838.5019999999997</v>
      </c>
      <c r="L61" s="304">
        <f t="shared" si="16"/>
        <v>1965.7020000000002</v>
      </c>
      <c r="M61" s="304">
        <f t="shared" si="16"/>
        <v>2221.5139999999997</v>
      </c>
      <c r="N61" s="304">
        <f t="shared" si="16"/>
        <v>2468.5570000000002</v>
      </c>
      <c r="O61" s="304">
        <f t="shared" si="16"/>
        <v>2459.2470000000003</v>
      </c>
      <c r="P61" s="304">
        <f t="shared" si="16"/>
        <v>2563.1889999999999</v>
      </c>
      <c r="Q61" s="304">
        <f t="shared" si="16"/>
        <v>2348.0800000000004</v>
      </c>
      <c r="R61" s="304">
        <f t="shared" si="16"/>
        <v>1456.896</v>
      </c>
      <c r="S61" s="304">
        <f t="shared" si="16"/>
        <v>1495.2340000000002</v>
      </c>
      <c r="T61" s="304">
        <f t="shared" si="16"/>
        <v>1835.6760000000002</v>
      </c>
      <c r="U61" s="304">
        <f t="shared" si="16"/>
        <v>1963.7529999999999</v>
      </c>
      <c r="V61" s="304">
        <f t="shared" si="16"/>
        <v>2119.0149999999999</v>
      </c>
      <c r="W61" s="304">
        <f t="shared" si="16"/>
        <v>2483.7000000000003</v>
      </c>
      <c r="X61" s="304">
        <f t="shared" si="16"/>
        <v>2756.2819999999997</v>
      </c>
      <c r="Y61" s="304">
        <f t="shared" si="16"/>
        <v>2706.2559999999999</v>
      </c>
      <c r="Z61" s="304">
        <f t="shared" si="16"/>
        <v>2455.8049999999998</v>
      </c>
      <c r="AA61" s="304">
        <f t="shared" si="16"/>
        <v>2478.373</v>
      </c>
      <c r="AB61" s="304">
        <f t="shared" si="16"/>
        <v>2255.1170000000002</v>
      </c>
      <c r="AC61" s="304">
        <f t="shared" si="16"/>
        <v>2324.7739999999999</v>
      </c>
      <c r="AD61" s="304">
        <f t="shared" si="16"/>
        <v>2143.8200000000002</v>
      </c>
      <c r="AE61" s="304">
        <f t="shared" si="16"/>
        <v>2043.702</v>
      </c>
      <c r="AF61" s="304">
        <f t="shared" si="16"/>
        <v>1875.8040000000001</v>
      </c>
      <c r="AG61" s="304">
        <f t="shared" si="16"/>
        <v>1858.566</v>
      </c>
      <c r="AH61" s="304">
        <f t="shared" ref="AH61:BB61" si="17">AVERAGEIFS($B46:$YU46,$B$59:$YU$59,RIGHT(LEFT(AH$60,2),1),$B$58:$YU$58,RIGHT(AH$60,4))</f>
        <v>1920.8509999999999</v>
      </c>
      <c r="AI61" s="304">
        <f t="shared" si="17"/>
        <v>2159.0619999999999</v>
      </c>
      <c r="AJ61" s="304">
        <f t="shared" si="17"/>
        <v>2135.6079999999997</v>
      </c>
      <c r="AK61" s="304">
        <f t="shared" si="17"/>
        <v>2198.8920000000003</v>
      </c>
      <c r="AL61" s="304">
        <f t="shared" si="17"/>
        <v>2312.779</v>
      </c>
      <c r="AM61" s="304">
        <f t="shared" si="17"/>
        <v>2256.605</v>
      </c>
      <c r="AN61" s="304">
        <f t="shared" si="17"/>
        <v>1893.7210000000002</v>
      </c>
      <c r="AO61" s="304">
        <f t="shared" si="17"/>
        <v>1898.2259999999997</v>
      </c>
      <c r="AP61" s="304">
        <f t="shared" si="17"/>
        <v>1867.9849999999999</v>
      </c>
      <c r="AQ61" s="304">
        <f t="shared" si="17"/>
        <v>2070.2669999999998</v>
      </c>
      <c r="AR61" s="304">
        <f t="shared" si="17"/>
        <v>2016.0749999999998</v>
      </c>
      <c r="AS61" s="304">
        <f t="shared" si="17"/>
        <v>1602.5273333333334</v>
      </c>
      <c r="AT61" s="304">
        <f t="shared" si="17"/>
        <v>1602.5273333333334</v>
      </c>
      <c r="AU61" s="304">
        <f t="shared" si="17"/>
        <v>1602.5273333333334</v>
      </c>
      <c r="AV61" s="304">
        <f t="shared" si="17"/>
        <v>1602.5273333333334</v>
      </c>
      <c r="AW61" s="304">
        <f t="shared" si="17"/>
        <v>1602.5273333333334</v>
      </c>
      <c r="AX61" s="304">
        <f t="shared" si="17"/>
        <v>1602.5273333333334</v>
      </c>
      <c r="AY61" s="304">
        <f t="shared" si="17"/>
        <v>1602.5273333333334</v>
      </c>
      <c r="AZ61" s="304">
        <f t="shared" si="17"/>
        <v>1602.5273333333334</v>
      </c>
      <c r="BA61" s="304">
        <f t="shared" si="17"/>
        <v>1602.5273333333334</v>
      </c>
      <c r="BB61" s="305">
        <f t="shared" si="17"/>
        <v>1602.5273333333334</v>
      </c>
      <c r="BC61" s="324"/>
      <c r="BD61" s="324"/>
      <c r="BE61" s="324"/>
      <c r="BF61" s="324"/>
      <c r="BG61" s="324"/>
      <c r="BH61" s="324"/>
      <c r="BI61" s="324"/>
      <c r="BJ61" s="324"/>
      <c r="BK61" s="324"/>
      <c r="BL61" s="324"/>
      <c r="BM61" s="324"/>
      <c r="BN61" s="324"/>
      <c r="BO61" s="324"/>
      <c r="BP61" s="324"/>
      <c r="BQ61" s="324"/>
      <c r="BR61" s="324"/>
      <c r="BS61" s="324"/>
      <c r="FY61" s="304"/>
      <c r="GE61" s="304"/>
      <c r="GK61" s="304"/>
      <c r="GQ61" s="304"/>
      <c r="GW61" s="304"/>
      <c r="IN61" s="3"/>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row>
    <row r="62" spans="1:673" ht="14.45" hidden="1" customHeight="1" x14ac:dyDescent="0.25">
      <c r="A62" s="351" t="s">
        <v>220</v>
      </c>
      <c r="B62" s="301">
        <f t="shared" ref="B62:AG62" si="18">AVERAGEIFS($B43:$YU43,$B$59:$YU$59,RIGHT(LEFT(B$60,2),1),$B$58:$YU$58,RIGHT(B$60,4))</f>
        <v>5830.7710000000006</v>
      </c>
      <c r="C62" s="301">
        <f t="shared" si="18"/>
        <v>6172.4449999999997</v>
      </c>
      <c r="D62" s="301">
        <f t="shared" si="18"/>
        <v>6191.68</v>
      </c>
      <c r="E62" s="301">
        <f t="shared" si="18"/>
        <v>6327.0129999999999</v>
      </c>
      <c r="F62" s="301">
        <f t="shared" si="18"/>
        <v>6271.5279999999993</v>
      </c>
      <c r="G62" s="301">
        <f t="shared" si="18"/>
        <v>6382.0720000000001</v>
      </c>
      <c r="H62" s="301">
        <f t="shared" si="18"/>
        <v>6485.7649999999994</v>
      </c>
      <c r="I62" s="301">
        <f t="shared" si="18"/>
        <v>7323.9350000000004</v>
      </c>
      <c r="J62" s="301">
        <f t="shared" si="18"/>
        <v>8305.3919999999998</v>
      </c>
      <c r="K62" s="301">
        <f t="shared" si="18"/>
        <v>9165.3720000000012</v>
      </c>
      <c r="L62" s="301">
        <f t="shared" si="18"/>
        <v>9212.4490000000005</v>
      </c>
      <c r="M62" s="301">
        <f t="shared" si="18"/>
        <v>8168.5260000000007</v>
      </c>
      <c r="N62" s="301">
        <f t="shared" si="18"/>
        <v>7976.3139999999994</v>
      </c>
      <c r="O62" s="301">
        <f t="shared" si="18"/>
        <v>8049.8450000000003</v>
      </c>
      <c r="P62" s="301">
        <f t="shared" si="18"/>
        <v>7779.4880000000003</v>
      </c>
      <c r="Q62" s="301">
        <f t="shared" si="18"/>
        <v>7954.4730000000009</v>
      </c>
      <c r="R62" s="301">
        <f t="shared" si="18"/>
        <v>7951.6469999999999</v>
      </c>
      <c r="S62" s="301">
        <f t="shared" si="18"/>
        <v>8332.8700000000008</v>
      </c>
      <c r="T62" s="301">
        <f t="shared" si="18"/>
        <v>9079.3430000000026</v>
      </c>
      <c r="U62" s="301">
        <f t="shared" si="18"/>
        <v>10429.769</v>
      </c>
      <c r="V62" s="301">
        <f t="shared" si="18"/>
        <v>11758.436</v>
      </c>
      <c r="W62" s="301">
        <f t="shared" si="18"/>
        <v>11562.442000000001</v>
      </c>
      <c r="X62" s="301">
        <f t="shared" si="18"/>
        <v>9179.7199999999993</v>
      </c>
      <c r="Y62" s="301">
        <f t="shared" si="18"/>
        <v>7246.4949999999999</v>
      </c>
      <c r="Z62" s="301">
        <f t="shared" si="18"/>
        <v>7253.3309999999992</v>
      </c>
      <c r="AA62" s="301">
        <f t="shared" si="18"/>
        <v>7170.0080000000007</v>
      </c>
      <c r="AB62" s="301">
        <f t="shared" si="18"/>
        <v>7216.9970000000003</v>
      </c>
      <c r="AC62" s="301">
        <f t="shared" si="18"/>
        <v>6998.3329999999996</v>
      </c>
      <c r="AD62" s="301">
        <f t="shared" si="18"/>
        <v>7034.6980000000003</v>
      </c>
      <c r="AE62" s="301">
        <f t="shared" si="18"/>
        <v>7041.0859999999993</v>
      </c>
      <c r="AF62" s="301">
        <f t="shared" si="18"/>
        <v>6197.0380000000005</v>
      </c>
      <c r="AG62" s="301">
        <f t="shared" si="18"/>
        <v>6107.9320000000007</v>
      </c>
      <c r="AH62" s="301">
        <f t="shared" ref="AH62:BB62" si="19">AVERAGEIFS($B43:$YU43,$B$59:$YU$59,RIGHT(LEFT(AH$60,2),1),$B$58:$YU$58,RIGHT(AH$60,4))</f>
        <v>6182.1870000000008</v>
      </c>
      <c r="AI62" s="301">
        <f t="shared" si="19"/>
        <v>6355.0770000000002</v>
      </c>
      <c r="AJ62" s="301">
        <f t="shared" si="19"/>
        <v>6608.6709999999994</v>
      </c>
      <c r="AK62" s="301">
        <f t="shared" si="19"/>
        <v>6639.6879999999992</v>
      </c>
      <c r="AL62" s="301">
        <f t="shared" si="19"/>
        <v>7207.8529999999992</v>
      </c>
      <c r="AM62" s="301">
        <f t="shared" si="19"/>
        <v>6906.3630000000003</v>
      </c>
      <c r="AN62" s="301">
        <f t="shared" si="19"/>
        <v>6622.9009999999989</v>
      </c>
      <c r="AO62" s="301">
        <f t="shared" si="19"/>
        <v>6870.02</v>
      </c>
      <c r="AP62" s="301">
        <f t="shared" si="19"/>
        <v>6809.5379999999996</v>
      </c>
      <c r="AQ62" s="301">
        <f t="shared" si="19"/>
        <v>6892.0760000000009</v>
      </c>
      <c r="AR62" s="301">
        <f t="shared" si="19"/>
        <v>6554.5350000000008</v>
      </c>
      <c r="AS62" s="301">
        <f t="shared" si="19"/>
        <v>6666.6346666666677</v>
      </c>
      <c r="AT62" s="301">
        <f t="shared" si="19"/>
        <v>6666.6346666666677</v>
      </c>
      <c r="AU62" s="301">
        <f t="shared" si="19"/>
        <v>6666.6346666666677</v>
      </c>
      <c r="AV62" s="301">
        <f t="shared" si="19"/>
        <v>6666.6346666666677</v>
      </c>
      <c r="AW62" s="301">
        <f t="shared" si="19"/>
        <v>6666.6346666666677</v>
      </c>
      <c r="AX62" s="301">
        <f t="shared" si="19"/>
        <v>6666.6346666666677</v>
      </c>
      <c r="AY62" s="301">
        <f t="shared" si="19"/>
        <v>6666.6346666666677</v>
      </c>
      <c r="AZ62" s="301">
        <f t="shared" si="19"/>
        <v>6666.6346666666677</v>
      </c>
      <c r="BA62" s="301">
        <f t="shared" si="19"/>
        <v>6666.6346666666677</v>
      </c>
      <c r="BB62" s="302">
        <f t="shared" si="19"/>
        <v>6666.6346666666677</v>
      </c>
      <c r="BC62" s="324"/>
      <c r="BD62" s="324"/>
      <c r="BE62" s="324"/>
      <c r="BF62" s="324"/>
      <c r="BG62" s="324"/>
      <c r="BH62" s="324"/>
      <c r="BI62" s="324"/>
      <c r="BJ62" s="324"/>
      <c r="BK62" s="324"/>
      <c r="BL62" s="324"/>
      <c r="BM62" s="324"/>
      <c r="BN62" s="324"/>
      <c r="BO62" s="324"/>
      <c r="BP62" s="324"/>
      <c r="BQ62" s="324"/>
      <c r="BR62" s="324"/>
      <c r="BS62" s="324"/>
      <c r="FY62" s="12"/>
      <c r="GE62" s="12"/>
      <c r="GK62" s="12"/>
      <c r="GQ62" s="12"/>
      <c r="GW62" s="1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3"/>
      <c r="IO62" s="2"/>
      <c r="IP62" s="2"/>
      <c r="IQ62" s="2"/>
      <c r="IR62" s="2"/>
      <c r="IS62" s="2"/>
      <c r="IT62" s="2"/>
      <c r="IU62" s="2"/>
      <c r="IV62" s="2"/>
      <c r="IW62" s="2"/>
      <c r="IX62" s="2"/>
      <c r="IY62" s="2"/>
      <c r="IZ62" s="2"/>
      <c r="JA62" s="2"/>
      <c r="JB62" s="2"/>
      <c r="JC62" s="2"/>
      <c r="JD62" s="2"/>
      <c r="JE62" s="2"/>
      <c r="JF62" s="2"/>
      <c r="JG62" s="2"/>
      <c r="JH62" s="2"/>
      <c r="JI62" s="2"/>
      <c r="JJ62" s="2"/>
      <c r="JK62" s="2"/>
    </row>
    <row r="63" spans="1:673" ht="14.45" hidden="1" customHeight="1" x14ac:dyDescent="0.25">
      <c r="A63" s="351" t="s">
        <v>221</v>
      </c>
      <c r="B63" s="304">
        <f t="shared" ref="B63:AG63" si="20">AVERAGEIFS($B44:$YU44,$B$59:$YU$59,RIGHT(LEFT(B$60,2),1),$B$58:$YU$58,RIGHT(B$60,4))</f>
        <v>603.51600000000008</v>
      </c>
      <c r="C63" s="304">
        <f t="shared" si="20"/>
        <v>583.56899999999996</v>
      </c>
      <c r="D63" s="304">
        <f t="shared" si="20"/>
        <v>568.23400000000004</v>
      </c>
      <c r="E63" s="304">
        <f t="shared" si="20"/>
        <v>557.41999999999996</v>
      </c>
      <c r="F63" s="304">
        <f t="shared" si="20"/>
        <v>537.30399999999997</v>
      </c>
      <c r="G63" s="304">
        <f t="shared" si="20"/>
        <v>550.697</v>
      </c>
      <c r="H63" s="304">
        <f t="shared" si="20"/>
        <v>527.04899999999998</v>
      </c>
      <c r="I63" s="304">
        <f t="shared" si="20"/>
        <v>561.75600000000009</v>
      </c>
      <c r="J63" s="304">
        <f t="shared" si="20"/>
        <v>545.43700000000001</v>
      </c>
      <c r="K63" s="304">
        <f t="shared" si="20"/>
        <v>615.05100000000004</v>
      </c>
      <c r="L63" s="304">
        <f t="shared" si="20"/>
        <v>659.65200000000004</v>
      </c>
      <c r="M63" s="304">
        <f t="shared" si="20"/>
        <v>653.57599999999991</v>
      </c>
      <c r="N63" s="304">
        <f t="shared" si="20"/>
        <v>610.3069999999999</v>
      </c>
      <c r="O63" s="304">
        <f t="shared" si="20"/>
        <v>616.52900000000011</v>
      </c>
      <c r="P63" s="304">
        <f t="shared" si="20"/>
        <v>658.173</v>
      </c>
      <c r="Q63" s="304">
        <f t="shared" si="20"/>
        <v>717.90500000000009</v>
      </c>
      <c r="R63" s="304">
        <f t="shared" si="20"/>
        <v>717.10800000000006</v>
      </c>
      <c r="S63" s="304">
        <f t="shared" si="20"/>
        <v>732.65099999999995</v>
      </c>
      <c r="T63" s="304">
        <f t="shared" si="20"/>
        <v>745.48</v>
      </c>
      <c r="U63" s="304">
        <f t="shared" si="20"/>
        <v>676.50599999999997</v>
      </c>
      <c r="V63" s="304">
        <f t="shared" si="20"/>
        <v>637.7890000000001</v>
      </c>
      <c r="W63" s="304">
        <f t="shared" si="20"/>
        <v>699.154</v>
      </c>
      <c r="X63" s="304">
        <f t="shared" si="20"/>
        <v>734.29599999999994</v>
      </c>
      <c r="Y63" s="304">
        <f t="shared" si="20"/>
        <v>741.09400000000005</v>
      </c>
      <c r="Z63" s="304">
        <f t="shared" si="20"/>
        <v>716.85500000000002</v>
      </c>
      <c r="AA63" s="304">
        <f t="shared" si="20"/>
        <v>690.08300000000008</v>
      </c>
      <c r="AB63" s="304">
        <f t="shared" si="20"/>
        <v>739.20500000000004</v>
      </c>
      <c r="AC63" s="304">
        <f t="shared" si="20"/>
        <v>801.36199999999997</v>
      </c>
      <c r="AD63" s="304">
        <f t="shared" si="20"/>
        <v>810.32999999999993</v>
      </c>
      <c r="AE63" s="304">
        <f t="shared" si="20"/>
        <v>882.6930000000001</v>
      </c>
      <c r="AF63" s="304">
        <f t="shared" si="20"/>
        <v>814.87600000000009</v>
      </c>
      <c r="AG63" s="304">
        <f t="shared" si="20"/>
        <v>785.38599999999997</v>
      </c>
      <c r="AH63" s="304">
        <f t="shared" ref="AH63:BB63" si="21">AVERAGEIFS($B44:$YU44,$B$59:$YU$59,RIGHT(LEFT(AH$60,2),1),$B$58:$YU$58,RIGHT(AH$60,4))</f>
        <v>752.48099999999988</v>
      </c>
      <c r="AI63" s="304">
        <f t="shared" si="21"/>
        <v>749.36900000000003</v>
      </c>
      <c r="AJ63" s="304">
        <f t="shared" si="21"/>
        <v>757.92700000000002</v>
      </c>
      <c r="AK63" s="304">
        <f t="shared" si="21"/>
        <v>721.495</v>
      </c>
      <c r="AL63" s="304">
        <f t="shared" si="21"/>
        <v>701.197</v>
      </c>
      <c r="AM63" s="304">
        <f t="shared" si="21"/>
        <v>713.03599999999994</v>
      </c>
      <c r="AN63" s="304">
        <f t="shared" si="21"/>
        <v>687.32</v>
      </c>
      <c r="AO63" s="304">
        <f t="shared" si="21"/>
        <v>642.13199999999995</v>
      </c>
      <c r="AP63" s="304">
        <f t="shared" si="21"/>
        <v>642.4319999999999</v>
      </c>
      <c r="AQ63" s="304">
        <f t="shared" si="21"/>
        <v>615.577</v>
      </c>
      <c r="AR63" s="304">
        <f t="shared" si="21"/>
        <v>710.75250000000005</v>
      </c>
      <c r="AS63" s="304">
        <f t="shared" si="21"/>
        <v>987.83866666666688</v>
      </c>
      <c r="AT63" s="304">
        <f t="shared" si="21"/>
        <v>987.83866666666688</v>
      </c>
      <c r="AU63" s="304">
        <f t="shared" si="21"/>
        <v>987.83866666666688</v>
      </c>
      <c r="AV63" s="304">
        <f t="shared" si="21"/>
        <v>987.83866666666688</v>
      </c>
      <c r="AW63" s="304">
        <f t="shared" si="21"/>
        <v>987.83866666666688</v>
      </c>
      <c r="AX63" s="304">
        <f t="shared" si="21"/>
        <v>987.83866666666688</v>
      </c>
      <c r="AY63" s="304">
        <f t="shared" si="21"/>
        <v>987.83866666666688</v>
      </c>
      <c r="AZ63" s="304">
        <f t="shared" si="21"/>
        <v>987.83866666666688</v>
      </c>
      <c r="BA63" s="304">
        <f t="shared" si="21"/>
        <v>987.83866666666688</v>
      </c>
      <c r="BB63" s="305">
        <f t="shared" si="21"/>
        <v>987.83866666666688</v>
      </c>
      <c r="BC63" s="324"/>
      <c r="BD63" s="324"/>
      <c r="BE63" s="324"/>
      <c r="BF63" s="324"/>
      <c r="BG63" s="324"/>
      <c r="BH63" s="324"/>
      <c r="BI63" s="324"/>
      <c r="BJ63" s="324"/>
      <c r="BK63" s="324"/>
      <c r="BL63" s="324"/>
      <c r="BM63" s="324"/>
      <c r="BN63" s="324"/>
      <c r="BO63" s="324"/>
      <c r="BP63" s="324"/>
      <c r="BQ63" s="324"/>
      <c r="BR63" s="324"/>
      <c r="BS63" s="324"/>
      <c r="FY63" s="12"/>
      <c r="GE63" s="12"/>
      <c r="GK63" s="12"/>
      <c r="GQ63" s="12"/>
      <c r="GW63" s="1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3"/>
      <c r="IO63" s="2"/>
      <c r="IP63" s="2"/>
      <c r="IQ63" s="2"/>
      <c r="IR63" s="2"/>
      <c r="IS63" s="2"/>
      <c r="IT63" s="2"/>
      <c r="IU63" s="2"/>
      <c r="IV63" s="2"/>
      <c r="IW63" s="2"/>
      <c r="IX63" s="2"/>
      <c r="IY63" s="2"/>
      <c r="IZ63" s="2"/>
      <c r="JA63" s="2"/>
      <c r="JB63" s="2"/>
      <c r="JC63" s="2"/>
      <c r="JD63" s="2"/>
      <c r="JE63" s="2"/>
      <c r="JF63" s="2"/>
      <c r="JG63" s="2"/>
      <c r="JH63" s="2"/>
      <c r="JI63" s="2"/>
      <c r="JJ63" s="2"/>
      <c r="JK63" s="2"/>
    </row>
    <row r="64" spans="1:673" ht="14.45" hidden="1" customHeight="1" x14ac:dyDescent="0.25">
      <c r="A64" s="351" t="s">
        <v>222</v>
      </c>
      <c r="B64" s="301">
        <f t="shared" ref="B64:AG64" si="22">AVERAGEIFS($B45:$YU45,$B$59:$YU$59,RIGHT(LEFT(B$60,2),1),$B$58:$YU$58,RIGHT(B$60,4))</f>
        <v>655.47500000000002</v>
      </c>
      <c r="C64" s="301">
        <f t="shared" si="22"/>
        <v>693.45600000000002</v>
      </c>
      <c r="D64" s="301">
        <f t="shared" si="22"/>
        <v>485.82300000000004</v>
      </c>
      <c r="E64" s="301">
        <f t="shared" si="22"/>
        <v>291.31599999999997</v>
      </c>
      <c r="F64" s="301">
        <f t="shared" si="22"/>
        <v>290.334</v>
      </c>
      <c r="G64" s="301">
        <f t="shared" si="22"/>
        <v>291.90799999999996</v>
      </c>
      <c r="H64" s="301">
        <f t="shared" si="22"/>
        <v>284.81599999999997</v>
      </c>
      <c r="I64" s="301">
        <f t="shared" si="22"/>
        <v>343.20499999999998</v>
      </c>
      <c r="J64" s="301">
        <f t="shared" si="22"/>
        <v>344.40000000000003</v>
      </c>
      <c r="K64" s="301">
        <f t="shared" si="22"/>
        <v>388.83300000000003</v>
      </c>
      <c r="L64" s="301">
        <f t="shared" si="22"/>
        <v>422.548</v>
      </c>
      <c r="M64" s="301">
        <f t="shared" si="22"/>
        <v>513.52200000000005</v>
      </c>
      <c r="N64" s="301">
        <f t="shared" si="22"/>
        <v>542.25400000000002</v>
      </c>
      <c r="O64" s="301">
        <f t="shared" si="22"/>
        <v>611.03399999999999</v>
      </c>
      <c r="P64" s="301">
        <f t="shared" si="22"/>
        <v>629.77600000000007</v>
      </c>
      <c r="Q64" s="301">
        <f t="shared" si="22"/>
        <v>631.471</v>
      </c>
      <c r="R64" s="301">
        <f t="shared" si="22"/>
        <v>617.35300000000007</v>
      </c>
      <c r="S64" s="301">
        <f t="shared" si="22"/>
        <v>543.19799999999998</v>
      </c>
      <c r="T64" s="301">
        <f t="shared" si="22"/>
        <v>624.351</v>
      </c>
      <c r="U64" s="301">
        <f t="shared" si="22"/>
        <v>651.476</v>
      </c>
      <c r="V64" s="301">
        <f t="shared" si="22"/>
        <v>644.67300000000012</v>
      </c>
      <c r="W64" s="301">
        <f t="shared" si="22"/>
        <v>809.49600000000009</v>
      </c>
      <c r="X64" s="301">
        <f t="shared" si="22"/>
        <v>842.77599999999984</v>
      </c>
      <c r="Y64" s="301">
        <f t="shared" si="22"/>
        <v>842.40700000000004</v>
      </c>
      <c r="Z64" s="301">
        <f t="shared" si="22"/>
        <v>873.48</v>
      </c>
      <c r="AA64" s="301">
        <f t="shared" si="22"/>
        <v>888.79799999999989</v>
      </c>
      <c r="AB64" s="301">
        <f t="shared" si="22"/>
        <v>861.21999999999991</v>
      </c>
      <c r="AC64" s="301">
        <f t="shared" si="22"/>
        <v>959.44099999999992</v>
      </c>
      <c r="AD64" s="301">
        <f t="shared" si="22"/>
        <v>754.0630000000001</v>
      </c>
      <c r="AE64" s="301">
        <f t="shared" si="22"/>
        <v>707.51799999999992</v>
      </c>
      <c r="AF64" s="301">
        <f t="shared" si="22"/>
        <v>698.37</v>
      </c>
      <c r="AG64" s="301">
        <f t="shared" si="22"/>
        <v>765.29099999999983</v>
      </c>
      <c r="AH64" s="301">
        <f t="shared" ref="AH64:BB64" si="23">AVERAGEIFS($B45:$YU45,$B$59:$YU$59,RIGHT(LEFT(AH$60,2),1),$B$58:$YU$58,RIGHT(AH$60,4))</f>
        <v>770.59100000000001</v>
      </c>
      <c r="AI64" s="301">
        <f t="shared" si="23"/>
        <v>782.84400000000005</v>
      </c>
      <c r="AJ64" s="301">
        <f t="shared" si="23"/>
        <v>746.42100000000016</v>
      </c>
      <c r="AK64" s="301">
        <f t="shared" si="23"/>
        <v>793.01700000000017</v>
      </c>
      <c r="AL64" s="301">
        <f t="shared" si="23"/>
        <v>724.19799999999998</v>
      </c>
      <c r="AM64" s="301">
        <f t="shared" si="23"/>
        <v>736.55999999999983</v>
      </c>
      <c r="AN64" s="301">
        <f t="shared" si="23"/>
        <v>661.94400000000007</v>
      </c>
      <c r="AO64" s="301">
        <f t="shared" si="23"/>
        <v>642.77800000000002</v>
      </c>
      <c r="AP64" s="301">
        <f t="shared" si="23"/>
        <v>709.65299999999991</v>
      </c>
      <c r="AQ64" s="301">
        <f t="shared" si="23"/>
        <v>805.04799999999989</v>
      </c>
      <c r="AR64" s="301">
        <f t="shared" si="23"/>
        <v>753.54250000000002</v>
      </c>
      <c r="AS64" s="301">
        <f t="shared" si="23"/>
        <v>839.57299999999987</v>
      </c>
      <c r="AT64" s="301">
        <f t="shared" si="23"/>
        <v>839.57299999999987</v>
      </c>
      <c r="AU64" s="301">
        <f t="shared" si="23"/>
        <v>839.57299999999987</v>
      </c>
      <c r="AV64" s="301">
        <f t="shared" si="23"/>
        <v>839.57299999999987</v>
      </c>
      <c r="AW64" s="301">
        <f t="shared" si="23"/>
        <v>839.57299999999987</v>
      </c>
      <c r="AX64" s="301">
        <f t="shared" si="23"/>
        <v>839.57299999999987</v>
      </c>
      <c r="AY64" s="301">
        <f t="shared" si="23"/>
        <v>839.57299999999987</v>
      </c>
      <c r="AZ64" s="301">
        <f t="shared" si="23"/>
        <v>839.57299999999987</v>
      </c>
      <c r="BA64" s="301">
        <f t="shared" si="23"/>
        <v>839.57299999999987</v>
      </c>
      <c r="BB64" s="302">
        <f t="shared" si="23"/>
        <v>839.57299999999987</v>
      </c>
      <c r="BC64" s="324"/>
      <c r="BD64" s="324"/>
      <c r="BE64" s="324"/>
      <c r="BF64" s="324"/>
      <c r="BG64" s="324"/>
      <c r="BH64" s="324"/>
      <c r="BI64" s="324"/>
      <c r="BJ64" s="324"/>
      <c r="BK64" s="324"/>
      <c r="BL64" s="324"/>
      <c r="BM64" s="324"/>
      <c r="BN64" s="324"/>
      <c r="BO64" s="324"/>
      <c r="BP64" s="324"/>
      <c r="BQ64" s="324"/>
      <c r="BR64" s="324"/>
      <c r="BS64" s="324"/>
      <c r="FY64" s="12"/>
      <c r="GE64" s="12"/>
      <c r="GK64" s="12"/>
      <c r="GQ64" s="12"/>
      <c r="GW64" s="1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3"/>
      <c r="IO64" s="2"/>
      <c r="IP64" s="2"/>
      <c r="IQ64" s="2"/>
      <c r="IR64" s="2"/>
      <c r="IS64" s="2"/>
      <c r="IT64" s="2"/>
      <c r="IU64" s="2"/>
      <c r="IV64" s="2"/>
      <c r="IW64" s="2"/>
      <c r="IX64" s="2"/>
      <c r="IY64" s="2"/>
      <c r="IZ64" s="2"/>
      <c r="JA64" s="2"/>
      <c r="JB64" s="2"/>
      <c r="JC64" s="2"/>
      <c r="JD64" s="2"/>
      <c r="JE64" s="2"/>
      <c r="JF64" s="2"/>
      <c r="JG64" s="2"/>
      <c r="JH64" s="2"/>
      <c r="JI64" s="2"/>
      <c r="JJ64" s="2"/>
      <c r="JK64" s="2"/>
    </row>
    <row r="65" spans="1:271" ht="14.45" hidden="1" customHeight="1" x14ac:dyDescent="0.25">
      <c r="A65" s="351" t="s">
        <v>223</v>
      </c>
      <c r="B65" s="304">
        <f t="shared" ref="B65:AG65" si="24">AVERAGEIFS($B47:$YU47,$B$59:$YU$59,RIGHT(LEFT(B$60,2),1),$B$58:$YU$58,RIGHT(B$60,4))</f>
        <v>978.57399999999996</v>
      </c>
      <c r="C65" s="304">
        <f t="shared" si="24"/>
        <v>1144.5989999999999</v>
      </c>
      <c r="D65" s="304">
        <f t="shared" si="24"/>
        <v>1202.768</v>
      </c>
      <c r="E65" s="304">
        <f t="shared" si="24"/>
        <v>1252.6720000000003</v>
      </c>
      <c r="F65" s="304">
        <f t="shared" si="24"/>
        <v>1167.9750000000001</v>
      </c>
      <c r="G65" s="304">
        <f t="shared" si="24"/>
        <v>1198.8880000000001</v>
      </c>
      <c r="H65" s="304">
        <f t="shared" si="24"/>
        <v>1370.74</v>
      </c>
      <c r="I65" s="304">
        <f t="shared" si="24"/>
        <v>1553.2389999999998</v>
      </c>
      <c r="J65" s="304">
        <f t="shared" si="24"/>
        <v>1815.6900000000003</v>
      </c>
      <c r="K65" s="304">
        <f t="shared" si="24"/>
        <v>1809.7569999999998</v>
      </c>
      <c r="L65" s="304">
        <f t="shared" si="24"/>
        <v>1742.4660000000001</v>
      </c>
      <c r="M65" s="304">
        <f t="shared" si="24"/>
        <v>2139.6889999999999</v>
      </c>
      <c r="N65" s="304">
        <f t="shared" si="24"/>
        <v>2169.279</v>
      </c>
      <c r="O65" s="304">
        <f t="shared" si="24"/>
        <v>2530.875</v>
      </c>
      <c r="P65" s="304">
        <f t="shared" si="24"/>
        <v>2654.7690000000002</v>
      </c>
      <c r="Q65" s="304">
        <f t="shared" si="24"/>
        <v>2845.529</v>
      </c>
      <c r="R65" s="304">
        <f t="shared" si="24"/>
        <v>1807.3059999999998</v>
      </c>
      <c r="S65" s="304">
        <f t="shared" si="24"/>
        <v>1326.9650000000001</v>
      </c>
      <c r="T65" s="304">
        <f t="shared" si="24"/>
        <v>1274.6479999999999</v>
      </c>
      <c r="U65" s="304">
        <f t="shared" si="24"/>
        <v>1657.2599999999995</v>
      </c>
      <c r="V65" s="304">
        <f t="shared" si="24"/>
        <v>1816.3050000000003</v>
      </c>
      <c r="W65" s="304">
        <f t="shared" si="24"/>
        <v>2134.6060000000002</v>
      </c>
      <c r="X65" s="304">
        <f t="shared" si="24"/>
        <v>2577.6149999999998</v>
      </c>
      <c r="Y65" s="304">
        <f t="shared" si="24"/>
        <v>2903.9060000000004</v>
      </c>
      <c r="Z65" s="304">
        <f t="shared" si="24"/>
        <v>2280.248</v>
      </c>
      <c r="AA65" s="304">
        <f t="shared" si="24"/>
        <v>1596.45</v>
      </c>
      <c r="AB65" s="304">
        <f t="shared" si="24"/>
        <v>1457.5069999999998</v>
      </c>
      <c r="AC65" s="304">
        <f t="shared" si="24"/>
        <v>1379.6320000000003</v>
      </c>
      <c r="AD65" s="304">
        <f t="shared" si="24"/>
        <v>1219.1780000000001</v>
      </c>
      <c r="AE65" s="304">
        <f t="shared" si="24"/>
        <v>907.20100000000002</v>
      </c>
      <c r="AF65" s="304">
        <f t="shared" si="24"/>
        <v>785.28200000000004</v>
      </c>
      <c r="AG65" s="304">
        <f t="shared" si="24"/>
        <v>749.83399999999995</v>
      </c>
      <c r="AH65" s="304">
        <f t="shared" ref="AH65:BB65" si="25">AVERAGEIFS($B47:$YU47,$B$59:$YU$59,RIGHT(LEFT(AH$60,2),1),$B$58:$YU$58,RIGHT(AH$60,4))</f>
        <v>774.79</v>
      </c>
      <c r="AI65" s="304">
        <f t="shared" si="25"/>
        <v>780.60299999999995</v>
      </c>
      <c r="AJ65" s="304">
        <f t="shared" si="25"/>
        <v>796.79699999999991</v>
      </c>
      <c r="AK65" s="304">
        <f t="shared" si="25"/>
        <v>850.57400000000007</v>
      </c>
      <c r="AL65" s="304">
        <f t="shared" si="25"/>
        <v>822.125</v>
      </c>
      <c r="AM65" s="304">
        <f t="shared" si="25"/>
        <v>687.79500000000007</v>
      </c>
      <c r="AN65" s="304">
        <f t="shared" si="25"/>
        <v>547.92200000000003</v>
      </c>
      <c r="AO65" s="304">
        <f t="shared" si="25"/>
        <v>418.44200000000001</v>
      </c>
      <c r="AP65" s="304">
        <f t="shared" si="25"/>
        <v>132.97399999999999</v>
      </c>
      <c r="AQ65" s="304">
        <f t="shared" si="25"/>
        <v>280.34899999999999</v>
      </c>
      <c r="AR65" s="304">
        <f t="shared" si="25"/>
        <v>241.655</v>
      </c>
      <c r="AS65" s="304">
        <f t="shared" si="25"/>
        <v>391.96533333333332</v>
      </c>
      <c r="AT65" s="304">
        <f t="shared" si="25"/>
        <v>391.96533333333332</v>
      </c>
      <c r="AU65" s="304">
        <f t="shared" si="25"/>
        <v>391.96533333333332</v>
      </c>
      <c r="AV65" s="304">
        <f t="shared" si="25"/>
        <v>391.96533333333332</v>
      </c>
      <c r="AW65" s="304">
        <f t="shared" si="25"/>
        <v>391.96533333333332</v>
      </c>
      <c r="AX65" s="304">
        <f t="shared" si="25"/>
        <v>391.96533333333332</v>
      </c>
      <c r="AY65" s="304">
        <f t="shared" si="25"/>
        <v>391.96533333333332</v>
      </c>
      <c r="AZ65" s="304">
        <f t="shared" si="25"/>
        <v>391.96533333333332</v>
      </c>
      <c r="BA65" s="304">
        <f t="shared" si="25"/>
        <v>391.96533333333332</v>
      </c>
      <c r="BB65" s="305">
        <f t="shared" si="25"/>
        <v>391.96533333333332</v>
      </c>
      <c r="BC65" s="324"/>
      <c r="BD65" s="324"/>
      <c r="BE65" s="324"/>
      <c r="BF65" s="324"/>
      <c r="BG65" s="324"/>
      <c r="BH65" s="324"/>
      <c r="BI65" s="324"/>
      <c r="BJ65" s="324"/>
      <c r="BK65" s="324"/>
      <c r="BL65" s="324"/>
      <c r="BM65" s="324"/>
      <c r="BN65" s="324"/>
      <c r="BO65" s="324"/>
      <c r="BP65" s="324"/>
      <c r="BQ65" s="324"/>
      <c r="BR65" s="324"/>
      <c r="BS65" s="324"/>
      <c r="FY65" s="12"/>
      <c r="GE65" s="12"/>
      <c r="GK65" s="12"/>
      <c r="GQ65" s="12"/>
      <c r="GW65" s="1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3"/>
      <c r="IO65" s="2"/>
      <c r="IP65" s="2"/>
      <c r="IQ65" s="2"/>
      <c r="IR65" s="2"/>
      <c r="IS65" s="2"/>
      <c r="IT65" s="2"/>
      <c r="IU65" s="2"/>
      <c r="IV65" s="2"/>
      <c r="IW65" s="2"/>
      <c r="IX65" s="2"/>
      <c r="IY65" s="2"/>
      <c r="IZ65" s="2"/>
      <c r="JA65" s="2"/>
      <c r="JB65" s="2"/>
      <c r="JC65" s="2"/>
      <c r="JD65" s="2"/>
      <c r="JE65" s="2"/>
      <c r="JF65" s="2"/>
      <c r="JG65" s="2"/>
      <c r="JH65" s="2"/>
      <c r="JI65" s="2"/>
      <c r="JJ65" s="2"/>
      <c r="JK65" s="2"/>
    </row>
    <row r="66" spans="1:271" ht="14.45" hidden="1" customHeight="1" x14ac:dyDescent="0.25">
      <c r="A66" s="351" t="s">
        <v>68</v>
      </c>
      <c r="B66" s="301">
        <f t="shared" ref="B66:AG66" si="26">AVERAGEIFS($B48:$YU48,$B$59:$YU$59,RIGHT(LEFT(B$60,2),1),$B$58:$YU$58,RIGHT(B$60,4))</f>
        <v>13689.751999999999</v>
      </c>
      <c r="C66" s="301">
        <f t="shared" si="26"/>
        <v>13445.807999999999</v>
      </c>
      <c r="D66" s="301">
        <f t="shared" si="26"/>
        <v>12797.973</v>
      </c>
      <c r="E66" s="301">
        <f t="shared" si="26"/>
        <v>13466.312000000004</v>
      </c>
      <c r="F66" s="301">
        <f t="shared" si="26"/>
        <v>12983.375</v>
      </c>
      <c r="G66" s="301">
        <f t="shared" si="26"/>
        <v>13513.825999999999</v>
      </c>
      <c r="H66" s="301">
        <f t="shared" si="26"/>
        <v>13961.582999999999</v>
      </c>
      <c r="I66" s="301">
        <f t="shared" si="26"/>
        <v>13446.075000000003</v>
      </c>
      <c r="J66" s="301">
        <f t="shared" si="26"/>
        <v>12257.298000000001</v>
      </c>
      <c r="K66" s="301">
        <f t="shared" si="26"/>
        <v>12324.705000000002</v>
      </c>
      <c r="L66" s="301">
        <f t="shared" si="26"/>
        <v>12386.591</v>
      </c>
      <c r="M66" s="301">
        <f t="shared" si="26"/>
        <v>13126.296</v>
      </c>
      <c r="N66" s="301">
        <f t="shared" si="26"/>
        <v>13800.672</v>
      </c>
      <c r="O66" s="301">
        <f t="shared" si="26"/>
        <v>14555.615</v>
      </c>
      <c r="P66" s="301">
        <f t="shared" si="26"/>
        <v>15221.803</v>
      </c>
      <c r="Q66" s="301">
        <f t="shared" si="26"/>
        <v>15889.134</v>
      </c>
      <c r="R66" s="301">
        <f t="shared" si="26"/>
        <v>17430.981000000003</v>
      </c>
      <c r="S66" s="301">
        <f t="shared" si="26"/>
        <v>16141.519999999999</v>
      </c>
      <c r="T66" s="301">
        <f t="shared" si="26"/>
        <v>16619.527000000002</v>
      </c>
      <c r="U66" s="301">
        <f t="shared" si="26"/>
        <v>17225.933000000001</v>
      </c>
      <c r="V66" s="301">
        <f t="shared" si="26"/>
        <v>18108.502</v>
      </c>
      <c r="W66" s="301">
        <f t="shared" si="26"/>
        <v>20280.350000000002</v>
      </c>
      <c r="X66" s="301">
        <f t="shared" si="26"/>
        <v>21425.876</v>
      </c>
      <c r="Y66" s="301">
        <f t="shared" si="26"/>
        <v>22002.462</v>
      </c>
      <c r="Z66" s="301">
        <f t="shared" si="26"/>
        <v>21388.969000000001</v>
      </c>
      <c r="AA66" s="301">
        <f t="shared" si="26"/>
        <v>18649.651000000002</v>
      </c>
      <c r="AB66" s="301">
        <f t="shared" si="26"/>
        <v>16514.578000000001</v>
      </c>
      <c r="AC66" s="301">
        <f t="shared" si="26"/>
        <v>16968.543999999998</v>
      </c>
      <c r="AD66" s="301">
        <f t="shared" si="26"/>
        <v>17337.027999999995</v>
      </c>
      <c r="AE66" s="301">
        <f t="shared" si="26"/>
        <v>18541.895</v>
      </c>
      <c r="AF66" s="301">
        <f t="shared" si="26"/>
        <v>20171.585999999999</v>
      </c>
      <c r="AG66" s="301">
        <f t="shared" si="26"/>
        <v>21386.342000000001</v>
      </c>
      <c r="AH66" s="301">
        <f t="shared" ref="AH66:BB66" si="27">AVERAGEIFS($B48:$YU48,$B$59:$YU$59,RIGHT(LEFT(AH$60,2),1),$B$58:$YU$58,RIGHT(AH$60,4))</f>
        <v>22142.062000000002</v>
      </c>
      <c r="AI66" s="301">
        <f t="shared" si="27"/>
        <v>23391.183000000001</v>
      </c>
      <c r="AJ66" s="301">
        <f t="shared" si="27"/>
        <v>24173.528999999999</v>
      </c>
      <c r="AK66" s="301">
        <f t="shared" si="27"/>
        <v>25563.539999999997</v>
      </c>
      <c r="AL66" s="301">
        <f t="shared" si="27"/>
        <v>25756.906000000003</v>
      </c>
      <c r="AM66" s="301">
        <f t="shared" si="27"/>
        <v>26281.999</v>
      </c>
      <c r="AN66" s="301">
        <f t="shared" si="27"/>
        <v>26291.323</v>
      </c>
      <c r="AO66" s="301">
        <f t="shared" si="27"/>
        <v>27412.697000000004</v>
      </c>
      <c r="AP66" s="301">
        <f t="shared" si="27"/>
        <v>29426.287</v>
      </c>
      <c r="AQ66" s="301">
        <f t="shared" si="27"/>
        <v>30671.918000000001</v>
      </c>
      <c r="AR66" s="301">
        <f t="shared" si="27"/>
        <v>30759.419000000002</v>
      </c>
      <c r="AS66" s="301">
        <f t="shared" si="27"/>
        <v>37164.00233333333</v>
      </c>
      <c r="AT66" s="301">
        <f t="shared" si="27"/>
        <v>37164.00233333333</v>
      </c>
      <c r="AU66" s="301">
        <f t="shared" si="27"/>
        <v>37164.00233333333</v>
      </c>
      <c r="AV66" s="301">
        <f t="shared" si="27"/>
        <v>37164.00233333333</v>
      </c>
      <c r="AW66" s="301">
        <f t="shared" si="27"/>
        <v>37164.00233333333</v>
      </c>
      <c r="AX66" s="301">
        <f t="shared" si="27"/>
        <v>37164.00233333333</v>
      </c>
      <c r="AY66" s="301">
        <f t="shared" si="27"/>
        <v>37164.00233333333</v>
      </c>
      <c r="AZ66" s="301">
        <f t="shared" si="27"/>
        <v>37164.00233333333</v>
      </c>
      <c r="BA66" s="301">
        <f t="shared" si="27"/>
        <v>37164.00233333333</v>
      </c>
      <c r="BB66" s="302">
        <f t="shared" si="27"/>
        <v>37164.00233333333</v>
      </c>
      <c r="BC66" s="324"/>
      <c r="BD66" s="324"/>
      <c r="BE66" s="324"/>
      <c r="BF66" s="324"/>
      <c r="BG66" s="324"/>
      <c r="BH66" s="324"/>
      <c r="BI66" s="324"/>
      <c r="BJ66" s="324"/>
      <c r="BK66" s="324"/>
      <c r="BL66" s="324"/>
      <c r="BM66" s="324"/>
      <c r="BN66" s="324"/>
      <c r="BO66" s="324"/>
      <c r="BP66" s="324"/>
      <c r="BQ66" s="324"/>
      <c r="BR66" s="324"/>
      <c r="BS66" s="324"/>
      <c r="FY66" s="12"/>
      <c r="GE66" s="12"/>
      <c r="GK66" s="12"/>
      <c r="GQ66" s="12"/>
      <c r="GW66" s="1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3"/>
      <c r="IO66" s="2"/>
      <c r="IP66" s="2"/>
      <c r="IQ66" s="2"/>
      <c r="IR66" s="2"/>
      <c r="IS66" s="2"/>
      <c r="IT66" s="2"/>
      <c r="IU66" s="2"/>
      <c r="IV66" s="2"/>
      <c r="IW66" s="2"/>
      <c r="IX66" s="2"/>
      <c r="IY66" s="2"/>
      <c r="IZ66" s="2"/>
      <c r="JA66" s="2"/>
      <c r="JB66" s="2"/>
      <c r="JC66" s="2"/>
      <c r="JD66" s="2"/>
      <c r="JE66" s="2"/>
      <c r="JF66" s="2"/>
      <c r="JG66" s="2"/>
      <c r="JH66" s="2"/>
      <c r="JI66" s="2"/>
      <c r="JJ66" s="2"/>
      <c r="JK66" s="2"/>
    </row>
    <row r="67" spans="1:271" ht="14.45" hidden="1" customHeight="1" x14ac:dyDescent="0.25">
      <c r="A67" s="351" t="s">
        <v>224</v>
      </c>
      <c r="B67" s="304">
        <f t="shared" ref="B67:AG67" si="28">AVERAGEIFS($B51:$YU51,$B$59:$YU$59,RIGHT(LEFT(B$60,2),1),$B$58:$YU$58,RIGHT(B$60,4))</f>
        <v>2343.7830000000004</v>
      </c>
      <c r="C67" s="304">
        <f t="shared" si="28"/>
        <v>2350.5409999999997</v>
      </c>
      <c r="D67" s="304">
        <f t="shared" si="28"/>
        <v>2353.2550000000001</v>
      </c>
      <c r="E67" s="304">
        <f t="shared" si="28"/>
        <v>2020.0030000000004</v>
      </c>
      <c r="F67" s="304">
        <f t="shared" si="28"/>
        <v>2059.5940000000001</v>
      </c>
      <c r="G67" s="304">
        <f t="shared" si="28"/>
        <v>2210.36</v>
      </c>
      <c r="H67" s="304">
        <f t="shared" si="28"/>
        <v>2335.2739999999999</v>
      </c>
      <c r="I67" s="304">
        <f t="shared" si="28"/>
        <v>2290.8250000000003</v>
      </c>
      <c r="J67" s="304">
        <f t="shared" si="28"/>
        <v>2130.6029999999996</v>
      </c>
      <c r="K67" s="304">
        <f t="shared" si="28"/>
        <v>2346.027</v>
      </c>
      <c r="L67" s="304">
        <f t="shared" si="28"/>
        <v>2585.1429999999996</v>
      </c>
      <c r="M67" s="304">
        <f t="shared" si="28"/>
        <v>2368.3469999999998</v>
      </c>
      <c r="N67" s="304">
        <f t="shared" si="28"/>
        <v>2503.3919999999998</v>
      </c>
      <c r="O67" s="304">
        <f t="shared" si="28"/>
        <v>2320.6779999999999</v>
      </c>
      <c r="P67" s="304">
        <f t="shared" si="28"/>
        <v>2384.4560000000001</v>
      </c>
      <c r="Q67" s="304">
        <f t="shared" si="28"/>
        <v>2199.3810000000003</v>
      </c>
      <c r="R67" s="304">
        <f t="shared" si="28"/>
        <v>2147.1379999999995</v>
      </c>
      <c r="S67" s="304">
        <f t="shared" si="28"/>
        <v>1669.0900000000001</v>
      </c>
      <c r="T67" s="304">
        <f t="shared" si="28"/>
        <v>1543.848</v>
      </c>
      <c r="U67" s="304">
        <f t="shared" si="28"/>
        <v>1350.7630000000001</v>
      </c>
      <c r="V67" s="304">
        <f t="shared" si="28"/>
        <v>1453.9350000000002</v>
      </c>
      <c r="W67" s="304">
        <f t="shared" si="28"/>
        <v>1723.673</v>
      </c>
      <c r="X67" s="304">
        <f t="shared" si="28"/>
        <v>2036.3209999999999</v>
      </c>
      <c r="Y67" s="304">
        <f t="shared" si="28"/>
        <v>1721.771</v>
      </c>
      <c r="Z67" s="304">
        <f t="shared" si="28"/>
        <v>1582.7640000000001</v>
      </c>
      <c r="AA67" s="304">
        <f t="shared" si="28"/>
        <v>1348.9449999999999</v>
      </c>
      <c r="AB67" s="304">
        <f t="shared" si="28"/>
        <v>1463.9840000000002</v>
      </c>
      <c r="AC67" s="304">
        <f t="shared" si="28"/>
        <v>1245.768</v>
      </c>
      <c r="AD67" s="304">
        <f t="shared" si="28"/>
        <v>1460.9809999999998</v>
      </c>
      <c r="AE67" s="304">
        <f t="shared" si="28"/>
        <v>1474.4259999999997</v>
      </c>
      <c r="AF67" s="304">
        <f t="shared" si="28"/>
        <v>1366.5249999999999</v>
      </c>
      <c r="AG67" s="304">
        <f t="shared" si="28"/>
        <v>1290.1699999999998</v>
      </c>
      <c r="AH67" s="304">
        <f t="shared" ref="AH67:BB67" si="29">AVERAGEIFS($B51:$YU51,$B$59:$YU$59,RIGHT(LEFT(AH$60,2),1),$B$58:$YU$58,RIGHT(AH$60,4))</f>
        <v>1359.556</v>
      </c>
      <c r="AI67" s="304">
        <f t="shared" si="29"/>
        <v>1322.77</v>
      </c>
      <c r="AJ67" s="304">
        <f t="shared" si="29"/>
        <v>1678.674</v>
      </c>
      <c r="AK67" s="304">
        <f t="shared" si="29"/>
        <v>2018.3</v>
      </c>
      <c r="AL67" s="304">
        <f t="shared" si="29"/>
        <v>2087.7779999999998</v>
      </c>
      <c r="AM67" s="304">
        <f t="shared" si="29"/>
        <v>1894.6509999999998</v>
      </c>
      <c r="AN67" s="304">
        <f t="shared" si="29"/>
        <v>2020.2790000000002</v>
      </c>
      <c r="AO67" s="304">
        <f t="shared" si="29"/>
        <v>1829.8730000000003</v>
      </c>
      <c r="AP67" s="304">
        <f t="shared" si="29"/>
        <v>1910.825</v>
      </c>
      <c r="AQ67" s="304">
        <f t="shared" si="29"/>
        <v>2140.8139999999999</v>
      </c>
      <c r="AR67" s="304">
        <f t="shared" si="29"/>
        <v>2631.5825</v>
      </c>
      <c r="AS67" s="304">
        <f t="shared" si="29"/>
        <v>2816.9003333333335</v>
      </c>
      <c r="AT67" s="304">
        <f t="shared" si="29"/>
        <v>2816.9003333333335</v>
      </c>
      <c r="AU67" s="304">
        <f t="shared" si="29"/>
        <v>2816.9003333333335</v>
      </c>
      <c r="AV67" s="304">
        <f t="shared" si="29"/>
        <v>2816.9003333333335</v>
      </c>
      <c r="AW67" s="304">
        <f t="shared" si="29"/>
        <v>2816.9003333333335</v>
      </c>
      <c r="AX67" s="304">
        <f t="shared" si="29"/>
        <v>2816.9003333333335</v>
      </c>
      <c r="AY67" s="304">
        <f t="shared" si="29"/>
        <v>2816.9003333333335</v>
      </c>
      <c r="AZ67" s="304">
        <f t="shared" si="29"/>
        <v>2816.9003333333335</v>
      </c>
      <c r="BA67" s="304">
        <f t="shared" si="29"/>
        <v>2816.9003333333335</v>
      </c>
      <c r="BB67" s="305">
        <f t="shared" si="29"/>
        <v>2816.9003333333335</v>
      </c>
      <c r="BC67" s="324"/>
      <c r="BD67" s="324"/>
      <c r="BE67" s="324"/>
      <c r="BF67" s="324"/>
      <c r="BG67" s="324"/>
      <c r="BH67" s="324"/>
      <c r="BI67" s="324"/>
      <c r="BJ67" s="324"/>
      <c r="BK67" s="324"/>
      <c r="BL67" s="324"/>
      <c r="BM67" s="324"/>
      <c r="BN67" s="324"/>
      <c r="BO67" s="324"/>
      <c r="BP67" s="324"/>
      <c r="BQ67" s="324"/>
      <c r="BR67" s="324"/>
      <c r="BS67" s="324"/>
      <c r="FY67" s="12"/>
      <c r="GE67" s="12"/>
      <c r="GK67" s="12"/>
      <c r="GQ67" s="12"/>
      <c r="GW67" s="12"/>
      <c r="HV67" s="2"/>
      <c r="HW67" s="2"/>
      <c r="HX67" s="2"/>
      <c r="HY67" s="2"/>
      <c r="HZ67" s="2"/>
      <c r="IA67" s="2"/>
      <c r="IB67" s="2"/>
      <c r="IC67" s="2"/>
      <c r="ID67" s="2"/>
      <c r="IE67" s="2"/>
      <c r="IF67" s="2"/>
      <c r="IG67" s="2"/>
      <c r="IH67" s="2"/>
      <c r="II67" s="2"/>
      <c r="IJ67" s="2"/>
      <c r="IK67" s="2"/>
      <c r="IL67" s="2"/>
      <c r="IM67" s="2"/>
      <c r="IN67" s="3"/>
      <c r="IO67" s="2"/>
      <c r="IP67" s="2"/>
      <c r="IQ67" s="2"/>
      <c r="IR67" s="2"/>
      <c r="IS67" s="2"/>
      <c r="IT67" s="2"/>
      <c r="IU67" s="2"/>
      <c r="IV67" s="2"/>
      <c r="IW67" s="2"/>
      <c r="IX67" s="2"/>
      <c r="IY67" s="2"/>
      <c r="IZ67" s="2"/>
      <c r="JA67" s="2"/>
      <c r="JB67" s="2"/>
      <c r="JC67" s="2"/>
      <c r="JD67" s="2"/>
      <c r="JE67" s="2"/>
      <c r="JF67" s="2"/>
      <c r="JG67" s="2"/>
      <c r="JH67" s="2"/>
      <c r="JI67" s="2"/>
      <c r="JJ67" s="2"/>
      <c r="JK67" s="2"/>
    </row>
    <row r="68" spans="1:271" ht="14.45" hidden="1" customHeight="1" x14ac:dyDescent="0.25">
      <c r="A68" s="351" t="s">
        <v>225</v>
      </c>
      <c r="B68" s="301">
        <f t="shared" ref="B68:AG68" si="30">AVERAGEIFS($B49:$YU49,$B$59:$YU$59,RIGHT(LEFT(B$60,2),1),$B$58:$YU$58,RIGHT(B$60,4))</f>
        <v>8578.2889999999989</v>
      </c>
      <c r="C68" s="301">
        <f t="shared" si="30"/>
        <v>8941.1350000000002</v>
      </c>
      <c r="D68" s="301">
        <f t="shared" si="30"/>
        <v>7959.7180000000008</v>
      </c>
      <c r="E68" s="301">
        <f t="shared" si="30"/>
        <v>8932.0740000000005</v>
      </c>
      <c r="F68" s="301">
        <f t="shared" si="30"/>
        <v>10090.313</v>
      </c>
      <c r="G68" s="301">
        <f t="shared" si="30"/>
        <v>10933.224</v>
      </c>
      <c r="H68" s="301">
        <f t="shared" si="30"/>
        <v>12280.976999999999</v>
      </c>
      <c r="I68" s="301">
        <f t="shared" si="30"/>
        <v>12733.662999999999</v>
      </c>
      <c r="J68" s="301">
        <f t="shared" si="30"/>
        <v>12168.547</v>
      </c>
      <c r="K68" s="301">
        <f t="shared" si="30"/>
        <v>13949.483000000002</v>
      </c>
      <c r="L68" s="301">
        <f t="shared" si="30"/>
        <v>15770.941000000001</v>
      </c>
      <c r="M68" s="301">
        <f t="shared" si="30"/>
        <v>18228.001</v>
      </c>
      <c r="N68" s="301">
        <f t="shared" si="30"/>
        <v>18235.387999999999</v>
      </c>
      <c r="O68" s="301">
        <f t="shared" si="30"/>
        <v>18971.842000000001</v>
      </c>
      <c r="P68" s="301">
        <f t="shared" si="30"/>
        <v>20407.183000000001</v>
      </c>
      <c r="Q68" s="301">
        <f t="shared" si="30"/>
        <v>25514.53</v>
      </c>
      <c r="R68" s="301">
        <f t="shared" si="30"/>
        <v>25561.384000000002</v>
      </c>
      <c r="S68" s="301">
        <f t="shared" si="30"/>
        <v>26283.130999999998</v>
      </c>
      <c r="T68" s="301">
        <f t="shared" si="30"/>
        <v>25706.755000000001</v>
      </c>
      <c r="U68" s="301">
        <f t="shared" si="30"/>
        <v>29548.967000000001</v>
      </c>
      <c r="V68" s="301">
        <f t="shared" si="30"/>
        <v>31026.582999999999</v>
      </c>
      <c r="W68" s="301">
        <f t="shared" si="30"/>
        <v>36798.6</v>
      </c>
      <c r="X68" s="301">
        <f t="shared" si="30"/>
        <v>43965.23</v>
      </c>
      <c r="Y68" s="301">
        <f t="shared" si="30"/>
        <v>50131.608999999997</v>
      </c>
      <c r="Z68" s="301">
        <f t="shared" si="30"/>
        <v>54405.34</v>
      </c>
      <c r="AA68" s="301">
        <f t="shared" si="30"/>
        <v>57717.426999999996</v>
      </c>
      <c r="AB68" s="301">
        <f t="shared" si="30"/>
        <v>54809.405999999995</v>
      </c>
      <c r="AC68" s="301">
        <f t="shared" si="30"/>
        <v>55688.144</v>
      </c>
      <c r="AD68" s="301">
        <f t="shared" si="30"/>
        <v>50118.252</v>
      </c>
      <c r="AE68" s="301">
        <f t="shared" si="30"/>
        <v>47958.046000000002</v>
      </c>
      <c r="AF68" s="301">
        <f t="shared" si="30"/>
        <v>43208.074000000001</v>
      </c>
      <c r="AG68" s="301">
        <f t="shared" si="30"/>
        <v>42333.404000000002</v>
      </c>
      <c r="AH68" s="301">
        <f t="shared" ref="AH68:BB68" si="31">AVERAGEIFS($B49:$YU49,$B$59:$YU$59,RIGHT(LEFT(AH$60,2),1),$B$58:$YU$58,RIGHT(AH$60,4))</f>
        <v>41572.606</v>
      </c>
      <c r="AI68" s="301">
        <f t="shared" si="31"/>
        <v>42078.424999999996</v>
      </c>
      <c r="AJ68" s="301">
        <f t="shared" si="31"/>
        <v>41986.762999999999</v>
      </c>
      <c r="AK68" s="301">
        <f t="shared" si="31"/>
        <v>44720.132000000005</v>
      </c>
      <c r="AL68" s="301">
        <f t="shared" si="31"/>
        <v>45511.228999999992</v>
      </c>
      <c r="AM68" s="301">
        <f t="shared" si="31"/>
        <v>50704.845000000001</v>
      </c>
      <c r="AN68" s="301">
        <f t="shared" si="31"/>
        <v>53937.305</v>
      </c>
      <c r="AO68" s="301">
        <f t="shared" si="31"/>
        <v>60081.666999999994</v>
      </c>
      <c r="AP68" s="301">
        <f t="shared" si="31"/>
        <v>60916.375</v>
      </c>
      <c r="AQ68" s="301">
        <f t="shared" si="31"/>
        <v>61034.585999999988</v>
      </c>
      <c r="AR68" s="301">
        <f t="shared" si="31"/>
        <v>57528.486500000006</v>
      </c>
      <c r="AS68" s="301">
        <f t="shared" si="31"/>
        <v>66472.602333333329</v>
      </c>
      <c r="AT68" s="301">
        <f t="shared" si="31"/>
        <v>66472.602333333329</v>
      </c>
      <c r="AU68" s="301">
        <f t="shared" si="31"/>
        <v>66472.602333333329</v>
      </c>
      <c r="AV68" s="301">
        <f t="shared" si="31"/>
        <v>66472.602333333329</v>
      </c>
      <c r="AW68" s="301">
        <f t="shared" si="31"/>
        <v>66472.602333333329</v>
      </c>
      <c r="AX68" s="301">
        <f t="shared" si="31"/>
        <v>66472.602333333329</v>
      </c>
      <c r="AY68" s="301">
        <f t="shared" si="31"/>
        <v>66472.602333333329</v>
      </c>
      <c r="AZ68" s="301">
        <f t="shared" si="31"/>
        <v>66472.602333333329</v>
      </c>
      <c r="BA68" s="301">
        <f t="shared" si="31"/>
        <v>66472.602333333329</v>
      </c>
      <c r="BB68" s="302">
        <f t="shared" si="31"/>
        <v>66472.602333333329</v>
      </c>
      <c r="BC68" s="324"/>
      <c r="BD68" s="324"/>
      <c r="BE68" s="324"/>
      <c r="BF68" s="324"/>
      <c r="BG68" s="324"/>
      <c r="BH68" s="324"/>
      <c r="BI68" s="324"/>
      <c r="BJ68" s="324"/>
      <c r="BK68" s="324"/>
      <c r="BL68" s="324"/>
      <c r="BM68" s="324"/>
      <c r="BN68" s="324"/>
      <c r="BO68" s="324"/>
      <c r="BP68" s="324"/>
      <c r="BQ68" s="324"/>
      <c r="BR68" s="324"/>
      <c r="BS68" s="324"/>
      <c r="FY68" s="12"/>
      <c r="GE68" s="12"/>
      <c r="GK68" s="12"/>
      <c r="GQ68" s="12"/>
      <c r="GW68" s="12"/>
      <c r="HV68" s="2"/>
      <c r="HW68" s="2"/>
      <c r="HX68" s="2"/>
      <c r="HY68" s="2"/>
      <c r="HZ68" s="2"/>
      <c r="IA68" s="2"/>
      <c r="IB68" s="2"/>
      <c r="IC68" s="2"/>
      <c r="ID68" s="2"/>
      <c r="IE68" s="2"/>
      <c r="IF68" s="2"/>
      <c r="IG68" s="2"/>
      <c r="IH68" s="2"/>
      <c r="II68" s="2"/>
      <c r="IJ68" s="2"/>
      <c r="IK68" s="2"/>
      <c r="IL68" s="2"/>
      <c r="IM68" s="2"/>
      <c r="IN68" s="3"/>
      <c r="IO68" s="2"/>
      <c r="IP68" s="2"/>
      <c r="IQ68" s="2"/>
      <c r="IR68" s="2"/>
      <c r="IS68" s="2"/>
      <c r="IT68" s="2"/>
      <c r="IU68" s="2"/>
      <c r="IV68" s="2"/>
      <c r="IW68" s="2"/>
      <c r="IX68" s="2"/>
      <c r="IY68" s="2"/>
      <c r="IZ68" s="2"/>
      <c r="JA68" s="2"/>
      <c r="JB68" s="2"/>
      <c r="JC68" s="2"/>
      <c r="JD68" s="2"/>
      <c r="JE68" s="2"/>
      <c r="JF68" s="2"/>
      <c r="JG68" s="2"/>
      <c r="JH68" s="2"/>
      <c r="JI68" s="2"/>
      <c r="JJ68" s="2"/>
      <c r="JK68" s="2"/>
    </row>
    <row r="69" spans="1:271" ht="14.45" hidden="1" customHeight="1" x14ac:dyDescent="0.25">
      <c r="A69" s="351" t="s">
        <v>226</v>
      </c>
      <c r="B69" s="304">
        <f t="shared" ref="B69:AG69" si="32">AVERAGEIFS($B50:$YU50,$B$59:$YU$59,RIGHT(LEFT(B$60,2),1),$B$58:$YU$58,RIGHT(B$60,4))</f>
        <v>543.17200000000003</v>
      </c>
      <c r="C69" s="304">
        <f t="shared" si="32"/>
        <v>923.68899999999996</v>
      </c>
      <c r="D69" s="304">
        <f t="shared" si="32"/>
        <v>809.81799999999987</v>
      </c>
      <c r="E69" s="304">
        <f t="shared" si="32"/>
        <v>608.79</v>
      </c>
      <c r="F69" s="304">
        <f t="shared" si="32"/>
        <v>568.74899999999991</v>
      </c>
      <c r="G69" s="304">
        <f t="shared" si="32"/>
        <v>638.20699999999999</v>
      </c>
      <c r="H69" s="304">
        <f t="shared" si="32"/>
        <v>649.91200000000003</v>
      </c>
      <c r="I69" s="304">
        <f t="shared" si="32"/>
        <v>637.14099999999996</v>
      </c>
      <c r="J69" s="304">
        <f t="shared" si="32"/>
        <v>771.14499999999998</v>
      </c>
      <c r="K69" s="304">
        <f t="shared" si="32"/>
        <v>749.8359999999999</v>
      </c>
      <c r="L69" s="304">
        <f t="shared" si="32"/>
        <v>659.43999999999994</v>
      </c>
      <c r="M69" s="304">
        <f t="shared" si="32"/>
        <v>495.55500000000001</v>
      </c>
      <c r="N69" s="304">
        <f t="shared" si="32"/>
        <v>431.19</v>
      </c>
      <c r="O69" s="304">
        <f t="shared" si="32"/>
        <v>545.18099999999993</v>
      </c>
      <c r="P69" s="304">
        <f t="shared" si="32"/>
        <v>573.81200000000001</v>
      </c>
      <c r="Q69" s="304">
        <f t="shared" si="32"/>
        <v>547.57799999999997</v>
      </c>
      <c r="R69" s="304">
        <f t="shared" si="32"/>
        <v>288.45800000000003</v>
      </c>
      <c r="S69" s="304">
        <f t="shared" si="32"/>
        <v>264.041</v>
      </c>
      <c r="T69" s="304">
        <f t="shared" si="32"/>
        <v>453.11700000000002</v>
      </c>
      <c r="U69" s="304">
        <f t="shared" si="32"/>
        <v>563.68899999999996</v>
      </c>
      <c r="V69" s="304">
        <f t="shared" si="32"/>
        <v>564.726</v>
      </c>
      <c r="W69" s="304">
        <f t="shared" si="32"/>
        <v>779.64400000000012</v>
      </c>
      <c r="X69" s="304">
        <f t="shared" si="32"/>
        <v>831.72899999999993</v>
      </c>
      <c r="Y69" s="304">
        <f t="shared" si="32"/>
        <v>531.01700000000005</v>
      </c>
      <c r="Z69" s="304">
        <f t="shared" si="32"/>
        <v>464.18199999999996</v>
      </c>
      <c r="AA69" s="304">
        <f t="shared" si="32"/>
        <v>415.26000000000005</v>
      </c>
      <c r="AB69" s="304">
        <f t="shared" si="32"/>
        <v>414.60400000000004</v>
      </c>
      <c r="AC69" s="304">
        <f t="shared" si="32"/>
        <v>413.14799999999997</v>
      </c>
      <c r="AD69" s="304">
        <f t="shared" si="32"/>
        <v>380.23800000000006</v>
      </c>
      <c r="AE69" s="304">
        <f t="shared" si="32"/>
        <v>383.86800000000011</v>
      </c>
      <c r="AF69" s="304">
        <f t="shared" si="32"/>
        <v>534.11</v>
      </c>
      <c r="AG69" s="304">
        <f t="shared" si="32"/>
        <v>824.774</v>
      </c>
      <c r="AH69" s="304">
        <f t="shared" ref="AH69:BB69" si="33">AVERAGEIFS($B50:$YU50,$B$59:$YU$59,RIGHT(LEFT(AH$60,2),1),$B$58:$YU$58,RIGHT(AH$60,4))</f>
        <v>1383.425</v>
      </c>
      <c r="AI69" s="304">
        <f t="shared" si="33"/>
        <v>2283.8539999999998</v>
      </c>
      <c r="AJ69" s="304">
        <f t="shared" si="33"/>
        <v>4356.067</v>
      </c>
      <c r="AK69" s="304">
        <f t="shared" si="33"/>
        <v>4644.7670000000007</v>
      </c>
      <c r="AL69" s="304">
        <f t="shared" si="33"/>
        <v>5065.9619999999995</v>
      </c>
      <c r="AM69" s="304">
        <f t="shared" si="33"/>
        <v>3233.7389999999996</v>
      </c>
      <c r="AN69" s="304">
        <f t="shared" si="33"/>
        <v>1891.857</v>
      </c>
      <c r="AO69" s="304">
        <f t="shared" si="33"/>
        <v>1735.4950000000001</v>
      </c>
      <c r="AP69" s="304">
        <f t="shared" si="33"/>
        <v>1957</v>
      </c>
      <c r="AQ69" s="304">
        <f t="shared" si="33"/>
        <v>3070.1689999999999</v>
      </c>
      <c r="AR69" s="304">
        <f t="shared" si="33"/>
        <v>4275.4794999999995</v>
      </c>
      <c r="AS69" s="304">
        <f t="shared" si="33"/>
        <v>9319.8193333333347</v>
      </c>
      <c r="AT69" s="304">
        <f t="shared" si="33"/>
        <v>9319.8193333333347</v>
      </c>
      <c r="AU69" s="304">
        <f t="shared" si="33"/>
        <v>9319.8193333333347</v>
      </c>
      <c r="AV69" s="304">
        <f t="shared" si="33"/>
        <v>9319.8193333333347</v>
      </c>
      <c r="AW69" s="304">
        <f t="shared" si="33"/>
        <v>9319.8193333333347</v>
      </c>
      <c r="AX69" s="304">
        <f t="shared" si="33"/>
        <v>9319.8193333333347</v>
      </c>
      <c r="AY69" s="304">
        <f t="shared" si="33"/>
        <v>9319.8193333333347</v>
      </c>
      <c r="AZ69" s="304">
        <f t="shared" si="33"/>
        <v>9319.8193333333347</v>
      </c>
      <c r="BA69" s="304">
        <f t="shared" si="33"/>
        <v>9319.8193333333347</v>
      </c>
      <c r="BB69" s="305">
        <f t="shared" si="33"/>
        <v>9319.8193333333347</v>
      </c>
      <c r="BC69" s="324"/>
      <c r="BD69" s="324"/>
      <c r="BE69" s="324"/>
      <c r="BF69" s="324"/>
      <c r="BG69" s="324"/>
      <c r="BH69" s="324"/>
      <c r="BI69" s="324"/>
      <c r="BJ69" s="324"/>
      <c r="BK69" s="324"/>
      <c r="BL69" s="324"/>
      <c r="BM69" s="324"/>
      <c r="BN69" s="324"/>
      <c r="BO69" s="324"/>
      <c r="BP69" s="324"/>
      <c r="BQ69" s="324"/>
      <c r="BR69" s="324"/>
      <c r="BS69" s="324"/>
      <c r="FY69" s="12"/>
      <c r="GE69" s="12"/>
      <c r="GK69" s="12"/>
      <c r="GQ69" s="12"/>
      <c r="GW69" s="12"/>
      <c r="HV69" s="2"/>
      <c r="HW69" s="2"/>
      <c r="HX69" s="2"/>
      <c r="HY69" s="2"/>
      <c r="HZ69" s="2"/>
      <c r="IA69" s="2"/>
      <c r="IB69" s="2"/>
      <c r="IC69" s="2"/>
      <c r="ID69" s="2"/>
      <c r="IE69" s="2"/>
      <c r="IF69" s="2"/>
      <c r="IG69" s="2"/>
      <c r="IH69" s="2"/>
      <c r="II69" s="2"/>
      <c r="IJ69" s="2"/>
      <c r="IK69" s="2"/>
      <c r="IL69" s="2"/>
      <c r="IM69" s="2"/>
      <c r="IN69" s="3"/>
      <c r="IO69" s="2"/>
      <c r="IP69" s="2"/>
      <c r="IQ69" s="2"/>
      <c r="IR69" s="2"/>
      <c r="IS69" s="2"/>
      <c r="IT69" s="2"/>
      <c r="IU69" s="2"/>
      <c r="IV69" s="2"/>
      <c r="IW69" s="2"/>
      <c r="IX69" s="2"/>
      <c r="IY69" s="2"/>
      <c r="IZ69" s="2"/>
      <c r="JA69" s="2"/>
      <c r="JB69" s="2"/>
      <c r="JC69" s="2"/>
      <c r="JD69" s="2"/>
      <c r="JE69" s="2"/>
      <c r="JF69" s="2"/>
      <c r="JG69" s="2"/>
      <c r="JH69" s="2"/>
      <c r="JI69" s="2"/>
      <c r="JJ69" s="2"/>
      <c r="JK69" s="2"/>
    </row>
    <row r="70" spans="1:271" ht="14.45" hidden="1" customHeight="1" x14ac:dyDescent="0.25">
      <c r="A70" s="351" t="s">
        <v>227</v>
      </c>
      <c r="B70" s="301">
        <f t="shared" ref="B70:AG70" si="34">AVERAGEIFS($B52:$YU52,$B$59:$YU$59,RIGHT(LEFT(B$60,2),1),$B$58:$YU$58,RIGHT(B$60,4))</f>
        <v>5952.6660000000002</v>
      </c>
      <c r="C70" s="301">
        <f t="shared" si="34"/>
        <v>5877.2609999999995</v>
      </c>
      <c r="D70" s="301">
        <f t="shared" si="34"/>
        <v>5500.7460000000001</v>
      </c>
      <c r="E70" s="301">
        <f t="shared" si="34"/>
        <v>5724.5070000000014</v>
      </c>
      <c r="F70" s="301">
        <f t="shared" si="34"/>
        <v>6052.9769999999999</v>
      </c>
      <c r="G70" s="301">
        <f t="shared" si="34"/>
        <v>5956.887999999999</v>
      </c>
      <c r="H70" s="301">
        <f t="shared" si="34"/>
        <v>6544.6860000000006</v>
      </c>
      <c r="I70" s="301">
        <f t="shared" si="34"/>
        <v>7370.4880000000003</v>
      </c>
      <c r="J70" s="301">
        <f t="shared" si="34"/>
        <v>8280.2970000000005</v>
      </c>
      <c r="K70" s="301">
        <f t="shared" si="34"/>
        <v>8836.8030000000017</v>
      </c>
      <c r="L70" s="301">
        <f t="shared" si="34"/>
        <v>9836.2070000000003</v>
      </c>
      <c r="M70" s="301">
        <f t="shared" si="34"/>
        <v>11570.453999999998</v>
      </c>
      <c r="N70" s="301">
        <f t="shared" si="34"/>
        <v>12700.553</v>
      </c>
      <c r="O70" s="301">
        <f t="shared" si="34"/>
        <v>13110.921</v>
      </c>
      <c r="P70" s="301">
        <f t="shared" si="34"/>
        <v>12231.229999999998</v>
      </c>
      <c r="Q70" s="301">
        <f t="shared" si="34"/>
        <v>12878.258999999998</v>
      </c>
      <c r="R70" s="301">
        <f t="shared" si="34"/>
        <v>7857.0770000000002</v>
      </c>
      <c r="S70" s="301">
        <f t="shared" si="34"/>
        <v>6970.174</v>
      </c>
      <c r="T70" s="301">
        <f t="shared" si="34"/>
        <v>7297.7589999999991</v>
      </c>
      <c r="U70" s="301">
        <f t="shared" si="34"/>
        <v>8572.4969999999994</v>
      </c>
      <c r="V70" s="301">
        <f t="shared" si="34"/>
        <v>9304.8989999999994</v>
      </c>
      <c r="W70" s="301">
        <f t="shared" si="34"/>
        <v>9300.1929999999993</v>
      </c>
      <c r="X70" s="301">
        <f t="shared" si="34"/>
        <v>8337.9719999999998</v>
      </c>
      <c r="Y70" s="301">
        <f t="shared" si="34"/>
        <v>8120.8980000000001</v>
      </c>
      <c r="Z70" s="301">
        <f t="shared" si="34"/>
        <v>7099.9260000000004</v>
      </c>
      <c r="AA70" s="301">
        <f t="shared" si="34"/>
        <v>6566.7370000000001</v>
      </c>
      <c r="AB70" s="301">
        <f t="shared" si="34"/>
        <v>5854.6109999999999</v>
      </c>
      <c r="AC70" s="301">
        <f t="shared" si="34"/>
        <v>5792.561999999999</v>
      </c>
      <c r="AD70" s="301">
        <f t="shared" si="34"/>
        <v>5885.1000000000013</v>
      </c>
      <c r="AE70" s="301">
        <f t="shared" si="34"/>
        <v>5967.05</v>
      </c>
      <c r="AF70" s="301">
        <f t="shared" si="34"/>
        <v>5289.7020000000002</v>
      </c>
      <c r="AG70" s="301">
        <f t="shared" si="34"/>
        <v>5430.8069999999998</v>
      </c>
      <c r="AH70" s="301">
        <f t="shared" ref="AH70:BB70" si="35">AVERAGEIFS($B52:$YU52,$B$59:$YU$59,RIGHT(LEFT(AH$60,2),1),$B$58:$YU$58,RIGHT(AH$60,4))</f>
        <v>5917.8300000000008</v>
      </c>
      <c r="AI70" s="301">
        <f t="shared" si="35"/>
        <v>5693.43</v>
      </c>
      <c r="AJ70" s="301">
        <f t="shared" si="35"/>
        <v>5393.4990000000007</v>
      </c>
      <c r="AK70" s="301">
        <f t="shared" si="35"/>
        <v>6018.4049999999997</v>
      </c>
      <c r="AL70" s="301">
        <f t="shared" si="35"/>
        <v>6446.3919999999998</v>
      </c>
      <c r="AM70" s="301">
        <f t="shared" si="35"/>
        <v>7717.3849999999993</v>
      </c>
      <c r="AN70" s="301">
        <f t="shared" si="35"/>
        <v>7283.0849999999991</v>
      </c>
      <c r="AO70" s="301">
        <f t="shared" si="35"/>
        <v>7293.8779999999997</v>
      </c>
      <c r="AP70" s="301">
        <f t="shared" si="35"/>
        <v>7812.0559999999996</v>
      </c>
      <c r="AQ70" s="301">
        <f t="shared" si="35"/>
        <v>8326.2609999999986</v>
      </c>
      <c r="AR70" s="301">
        <f t="shared" si="35"/>
        <v>8187.9760000000006</v>
      </c>
      <c r="AS70" s="301">
        <f t="shared" si="35"/>
        <v>5004.5319999999992</v>
      </c>
      <c r="AT70" s="301">
        <f t="shared" si="35"/>
        <v>5004.5319999999992</v>
      </c>
      <c r="AU70" s="301">
        <f t="shared" si="35"/>
        <v>5004.5319999999992</v>
      </c>
      <c r="AV70" s="301">
        <f t="shared" si="35"/>
        <v>5004.5319999999992</v>
      </c>
      <c r="AW70" s="301">
        <f t="shared" si="35"/>
        <v>5004.5319999999992</v>
      </c>
      <c r="AX70" s="301">
        <f t="shared" si="35"/>
        <v>5004.5319999999992</v>
      </c>
      <c r="AY70" s="301">
        <f t="shared" si="35"/>
        <v>5004.5319999999992</v>
      </c>
      <c r="AZ70" s="301">
        <f t="shared" si="35"/>
        <v>5004.5319999999992</v>
      </c>
      <c r="BA70" s="301">
        <f t="shared" si="35"/>
        <v>5004.5319999999992</v>
      </c>
      <c r="BB70" s="302">
        <f t="shared" si="35"/>
        <v>5004.5319999999992</v>
      </c>
      <c r="BC70" s="324"/>
      <c r="BD70" s="324"/>
      <c r="BE70" s="324"/>
      <c r="BF70" s="324"/>
      <c r="BG70" s="324"/>
      <c r="BH70" s="324"/>
      <c r="BI70" s="324"/>
      <c r="BJ70" s="324"/>
      <c r="BK70" s="324"/>
      <c r="BL70" s="324"/>
      <c r="BM70" s="324"/>
      <c r="BN70" s="324"/>
      <c r="BO70" s="324"/>
      <c r="BP70" s="324"/>
      <c r="BQ70" s="324"/>
      <c r="BR70" s="324"/>
      <c r="BS70" s="324"/>
      <c r="FY70" s="12"/>
      <c r="GE70" s="12"/>
      <c r="GK70" s="12"/>
      <c r="GQ70" s="12"/>
      <c r="GW70" s="12"/>
      <c r="HV70" s="2"/>
      <c r="HW70" s="2"/>
      <c r="HX70" s="2"/>
      <c r="HY70" s="2"/>
      <c r="HZ70" s="2"/>
      <c r="IA70" s="2"/>
      <c r="IB70" s="2"/>
      <c r="IC70" s="2"/>
      <c r="ID70" s="2"/>
      <c r="IE70" s="2"/>
      <c r="IF70" s="2"/>
      <c r="IG70" s="2"/>
      <c r="IH70" s="2"/>
      <c r="II70" s="2"/>
      <c r="IJ70" s="2"/>
      <c r="IK70" s="2"/>
      <c r="IL70" s="2"/>
      <c r="IM70" s="2"/>
      <c r="IN70" s="3"/>
      <c r="IO70" s="2"/>
      <c r="IP70" s="2"/>
      <c r="IQ70" s="2"/>
      <c r="IR70" s="2"/>
      <c r="IS70" s="2"/>
      <c r="IT70" s="2"/>
      <c r="IU70" s="2"/>
      <c r="IV70" s="2"/>
      <c r="IW70" s="2"/>
      <c r="IX70" s="2"/>
      <c r="IY70" s="2"/>
      <c r="IZ70" s="2"/>
      <c r="JA70" s="2"/>
      <c r="JB70" s="2"/>
      <c r="JC70" s="2"/>
      <c r="JD70" s="2"/>
      <c r="JE70" s="2"/>
      <c r="JF70" s="2"/>
      <c r="JG70" s="2"/>
      <c r="JH70" s="2"/>
      <c r="JI70" s="2"/>
      <c r="JJ70" s="2"/>
      <c r="JK70" s="2"/>
    </row>
    <row r="71" spans="1:271" ht="14.45" hidden="1" customHeight="1" x14ac:dyDescent="0.25">
      <c r="A71" s="351" t="s">
        <v>228</v>
      </c>
      <c r="B71" s="304">
        <f t="shared" ref="B71:AG71" si="36">AVERAGEIFS($B53:$YU53,$B$59:$YU$59,RIGHT(LEFT(B$60,2),1),$B$58:$YU$58,RIGHT(B$60,4))</f>
        <v>604.74400000000003</v>
      </c>
      <c r="C71" s="304">
        <f t="shared" si="36"/>
        <v>613.56299999999999</v>
      </c>
      <c r="D71" s="304">
        <f t="shared" si="36"/>
        <v>566.42700000000002</v>
      </c>
      <c r="E71" s="304">
        <f t="shared" si="36"/>
        <v>562.28199999999993</v>
      </c>
      <c r="F71" s="304">
        <f t="shared" si="36"/>
        <v>555.80700000000002</v>
      </c>
      <c r="G71" s="304">
        <f t="shared" si="36"/>
        <v>573.16600000000005</v>
      </c>
      <c r="H71" s="304">
        <f t="shared" si="36"/>
        <v>558.46600000000001</v>
      </c>
      <c r="I71" s="304">
        <f t="shared" si="36"/>
        <v>582.64400000000001</v>
      </c>
      <c r="J71" s="304">
        <f t="shared" si="36"/>
        <v>663.35</v>
      </c>
      <c r="K71" s="304">
        <f t="shared" si="36"/>
        <v>680.93899999999996</v>
      </c>
      <c r="L71" s="304">
        <f t="shared" si="36"/>
        <v>642.76800000000003</v>
      </c>
      <c r="M71" s="304">
        <f t="shared" si="36"/>
        <v>698.23700000000008</v>
      </c>
      <c r="N71" s="304">
        <f t="shared" si="36"/>
        <v>694.28499999999997</v>
      </c>
      <c r="O71" s="304">
        <f t="shared" si="36"/>
        <v>710.59099999999989</v>
      </c>
      <c r="P71" s="304">
        <f t="shared" si="36"/>
        <v>677.68700000000001</v>
      </c>
      <c r="Q71" s="304">
        <f t="shared" si="36"/>
        <v>759.79199999999992</v>
      </c>
      <c r="R71" s="304">
        <f t="shared" si="36"/>
        <v>713.36099999999999</v>
      </c>
      <c r="S71" s="304">
        <f t="shared" si="36"/>
        <v>841.6</v>
      </c>
      <c r="T71" s="304">
        <f t="shared" si="36"/>
        <v>762.31100000000004</v>
      </c>
      <c r="U71" s="304">
        <f t="shared" si="36"/>
        <v>809.24200000000008</v>
      </c>
      <c r="V71" s="304">
        <f t="shared" si="36"/>
        <v>728.37900000000002</v>
      </c>
      <c r="W71" s="304">
        <f t="shared" si="36"/>
        <v>901.50799999999992</v>
      </c>
      <c r="X71" s="304">
        <f t="shared" si="36"/>
        <v>824.36999999999989</v>
      </c>
      <c r="Y71" s="304">
        <f t="shared" si="36"/>
        <v>907.28099999999995</v>
      </c>
      <c r="Z71" s="304">
        <f t="shared" si="36"/>
        <v>904.01200000000006</v>
      </c>
      <c r="AA71" s="304">
        <f t="shared" si="36"/>
        <v>1032.636</v>
      </c>
      <c r="AB71" s="304">
        <f t="shared" si="36"/>
        <v>812.10399999999993</v>
      </c>
      <c r="AC71" s="304">
        <f t="shared" si="36"/>
        <v>712.78699999999992</v>
      </c>
      <c r="AD71" s="304">
        <f t="shared" si="36"/>
        <v>597.11800000000005</v>
      </c>
      <c r="AE71" s="304">
        <f t="shared" si="36"/>
        <v>613.43700000000001</v>
      </c>
      <c r="AF71" s="304">
        <f t="shared" si="36"/>
        <v>525.69500000000005</v>
      </c>
      <c r="AG71" s="304">
        <f t="shared" si="36"/>
        <v>529.16200000000003</v>
      </c>
      <c r="AH71" s="304">
        <f t="shared" ref="AH71:BB71" si="37">AVERAGEIFS($B53:$YU53,$B$59:$YU$59,RIGHT(LEFT(AH$60,2),1),$B$58:$YU$58,RIGHT(AH$60,4))</f>
        <v>477.096</v>
      </c>
      <c r="AI71" s="304">
        <f t="shared" si="37"/>
        <v>555.16500000000008</v>
      </c>
      <c r="AJ71" s="304">
        <f t="shared" si="37"/>
        <v>578.34</v>
      </c>
      <c r="AK71" s="304">
        <f t="shared" si="37"/>
        <v>634.87800000000004</v>
      </c>
      <c r="AL71" s="304">
        <f t="shared" si="37"/>
        <v>593.55900000000008</v>
      </c>
      <c r="AM71" s="304">
        <f t="shared" si="37"/>
        <v>690.64700000000005</v>
      </c>
      <c r="AN71" s="304">
        <f t="shared" si="37"/>
        <v>599.83199999999999</v>
      </c>
      <c r="AO71" s="304">
        <f t="shared" si="37"/>
        <v>599.06200000000001</v>
      </c>
      <c r="AP71" s="304">
        <f t="shared" si="37"/>
        <v>645.25400000000002</v>
      </c>
      <c r="AQ71" s="304">
        <f t="shared" si="37"/>
        <v>729.52499999999998</v>
      </c>
      <c r="AR71" s="304">
        <f t="shared" si="37"/>
        <v>893.90649999999994</v>
      </c>
      <c r="AS71" s="304">
        <f t="shared" si="37"/>
        <v>1117.5966666666666</v>
      </c>
      <c r="AT71" s="304">
        <f t="shared" si="37"/>
        <v>1117.5966666666666</v>
      </c>
      <c r="AU71" s="304">
        <f t="shared" si="37"/>
        <v>1117.5966666666666</v>
      </c>
      <c r="AV71" s="304">
        <f t="shared" si="37"/>
        <v>1117.5966666666666</v>
      </c>
      <c r="AW71" s="304">
        <f t="shared" si="37"/>
        <v>1117.5966666666666</v>
      </c>
      <c r="AX71" s="304">
        <f t="shared" si="37"/>
        <v>1117.5966666666666</v>
      </c>
      <c r="AY71" s="304">
        <f t="shared" si="37"/>
        <v>1117.5966666666666</v>
      </c>
      <c r="AZ71" s="304">
        <f t="shared" si="37"/>
        <v>1117.5966666666666</v>
      </c>
      <c r="BA71" s="304">
        <f t="shared" si="37"/>
        <v>1117.5966666666666</v>
      </c>
      <c r="BB71" s="305">
        <f t="shared" si="37"/>
        <v>1117.5966666666666</v>
      </c>
      <c r="BC71" s="324"/>
      <c r="BD71" s="324"/>
      <c r="BE71" s="324"/>
      <c r="BF71" s="324"/>
      <c r="BG71" s="324"/>
      <c r="BH71" s="324"/>
      <c r="BI71" s="324"/>
      <c r="BJ71" s="324"/>
      <c r="BK71" s="324"/>
      <c r="BL71" s="324"/>
      <c r="BM71" s="324"/>
      <c r="BN71" s="324"/>
      <c r="BO71" s="324"/>
      <c r="BP71" s="324"/>
      <c r="BQ71" s="324"/>
      <c r="BR71" s="324"/>
      <c r="BS71" s="324"/>
      <c r="FY71" s="12"/>
      <c r="GE71" s="12"/>
      <c r="GK71" s="12"/>
      <c r="GQ71" s="12"/>
      <c r="GW71" s="12"/>
      <c r="HV71" s="2"/>
      <c r="HW71" s="2"/>
      <c r="HX71" s="2"/>
      <c r="HY71" s="2"/>
      <c r="HZ71" s="2"/>
      <c r="IA71" s="2"/>
      <c r="IB71" s="2"/>
      <c r="IC71" s="2"/>
      <c r="ID71" s="2"/>
      <c r="IE71" s="2"/>
      <c r="IF71" s="2"/>
      <c r="IG71" s="2"/>
      <c r="IH71" s="2"/>
      <c r="II71" s="2"/>
      <c r="IJ71" s="2"/>
      <c r="IK71" s="2"/>
      <c r="IL71" s="2"/>
      <c r="IM71" s="2"/>
      <c r="IN71" s="3"/>
      <c r="IO71" s="2"/>
      <c r="IP71" s="2"/>
      <c r="IQ71" s="2"/>
      <c r="IR71" s="2"/>
      <c r="IS71" s="2"/>
      <c r="IT71" s="2"/>
      <c r="IU71" s="2"/>
      <c r="IV71" s="2"/>
      <c r="IW71" s="2"/>
      <c r="IX71" s="2"/>
      <c r="IY71" s="2"/>
      <c r="IZ71" s="2"/>
      <c r="JA71" s="2"/>
      <c r="JB71" s="2"/>
      <c r="JC71" s="2"/>
      <c r="JD71" s="2"/>
      <c r="JE71" s="2"/>
      <c r="JF71" s="2"/>
      <c r="JG71" s="2"/>
      <c r="JH71" s="2"/>
      <c r="JI71" s="2"/>
      <c r="JJ71" s="2"/>
      <c r="JK71" s="2"/>
    </row>
    <row r="72" spans="1:271" ht="14.45" hidden="1" customHeight="1" x14ac:dyDescent="0.25">
      <c r="A72" s="351" t="s">
        <v>6</v>
      </c>
      <c r="B72" s="301">
        <f t="shared" ref="B72:AG72" si="38">AVERAGEIFS($B83:$YU83,$B$59:$YU$59,RIGHT(LEFT(B$60,2),1),$B$58:$YU$58,RIGHT(B$60,4))</f>
        <v>530.96100000000013</v>
      </c>
      <c r="C72" s="301">
        <f t="shared" si="38"/>
        <v>677.61699999999985</v>
      </c>
      <c r="D72" s="301">
        <f t="shared" si="38"/>
        <v>398.70800000000003</v>
      </c>
      <c r="E72" s="301">
        <f t="shared" si="38"/>
        <v>529.72500000000002</v>
      </c>
      <c r="F72" s="301">
        <f t="shared" si="38"/>
        <v>462.036</v>
      </c>
      <c r="G72" s="301">
        <f t="shared" si="38"/>
        <v>510.59800000000001</v>
      </c>
      <c r="H72" s="301">
        <f t="shared" si="38"/>
        <v>539.75299999999993</v>
      </c>
      <c r="I72" s="301">
        <f t="shared" si="38"/>
        <v>823.44500000000005</v>
      </c>
      <c r="J72" s="301">
        <f t="shared" si="38"/>
        <v>758.21999999999991</v>
      </c>
      <c r="K72" s="301">
        <f t="shared" si="38"/>
        <v>875.77999999999986</v>
      </c>
      <c r="L72" s="301">
        <f t="shared" si="38"/>
        <v>791.9430000000001</v>
      </c>
      <c r="M72" s="301">
        <f t="shared" si="38"/>
        <v>1184.18</v>
      </c>
      <c r="N72" s="301">
        <f t="shared" si="38"/>
        <v>1218.2569999999998</v>
      </c>
      <c r="O72" s="301">
        <f t="shared" si="38"/>
        <v>1875.441</v>
      </c>
      <c r="P72" s="301">
        <f t="shared" si="38"/>
        <v>2162.2240000000002</v>
      </c>
      <c r="Q72" s="301">
        <f t="shared" si="38"/>
        <v>2951.636</v>
      </c>
      <c r="R72" s="301">
        <f t="shared" si="38"/>
        <v>1884.3789999999999</v>
      </c>
      <c r="S72" s="301">
        <f t="shared" si="38"/>
        <v>2794.9510000000005</v>
      </c>
      <c r="T72" s="301">
        <f t="shared" si="38"/>
        <v>2914.1800000000003</v>
      </c>
      <c r="U72" s="301">
        <f t="shared" si="38"/>
        <v>3598.2200000000007</v>
      </c>
      <c r="V72" s="301">
        <f t="shared" si="38"/>
        <v>3267.846</v>
      </c>
      <c r="W72" s="301">
        <f t="shared" si="38"/>
        <v>4054.777</v>
      </c>
      <c r="X72" s="301">
        <f t="shared" si="38"/>
        <v>3852.9979999999996</v>
      </c>
      <c r="Y72" s="301">
        <f t="shared" si="38"/>
        <v>3245.4679999999994</v>
      </c>
      <c r="Z72" s="301">
        <f t="shared" si="38"/>
        <v>2232.2670000000003</v>
      </c>
      <c r="AA72" s="301">
        <f t="shared" si="38"/>
        <v>2573.56</v>
      </c>
      <c r="AB72" s="301">
        <f t="shared" si="38"/>
        <v>2203.3029999999999</v>
      </c>
      <c r="AC72" s="301">
        <f t="shared" si="38"/>
        <v>2297.7199999999998</v>
      </c>
      <c r="AD72" s="301">
        <f t="shared" si="38"/>
        <v>1746.5439999999999</v>
      </c>
      <c r="AE72" s="301">
        <f t="shared" si="38"/>
        <v>2053.5030000000002</v>
      </c>
      <c r="AF72" s="301">
        <f t="shared" si="38"/>
        <v>1726.21</v>
      </c>
      <c r="AG72" s="301">
        <f t="shared" si="38"/>
        <v>2145.5239999999999</v>
      </c>
      <c r="AH72" s="301">
        <f t="shared" ref="AH72:BB72" si="39">AVERAGEIFS($B83:$YU83,$B$59:$YU$59,RIGHT(LEFT(AH$60,2),1),$B$58:$YU$58,RIGHT(AH$60,4))</f>
        <v>1984.6449999999998</v>
      </c>
      <c r="AI72" s="301">
        <f t="shared" si="39"/>
        <v>2411.855</v>
      </c>
      <c r="AJ72" s="301">
        <f t="shared" si="39"/>
        <v>2563.9089999999997</v>
      </c>
      <c r="AK72" s="301">
        <f t="shared" si="39"/>
        <v>2790.9670000000001</v>
      </c>
      <c r="AL72" s="301">
        <f t="shared" si="39"/>
        <v>2926.5820000000003</v>
      </c>
      <c r="AM72" s="301">
        <f t="shared" si="39"/>
        <v>3597.9879999999998</v>
      </c>
      <c r="AN72" s="301">
        <f t="shared" si="39"/>
        <v>3111.4740000000002</v>
      </c>
      <c r="AO72" s="301">
        <f t="shared" si="39"/>
        <v>4106.4570000000003</v>
      </c>
      <c r="AP72" s="301">
        <f t="shared" si="39"/>
        <v>4232.8189999999995</v>
      </c>
      <c r="AQ72" s="301">
        <f t="shared" si="39"/>
        <v>4949.0060000000003</v>
      </c>
      <c r="AR72" s="301">
        <f t="shared" si="39"/>
        <v>4121.8534999999993</v>
      </c>
      <c r="AS72" s="301">
        <f t="shared" si="39"/>
        <v>4589.5303333333331</v>
      </c>
      <c r="AT72" s="301">
        <f t="shared" si="39"/>
        <v>4589.5303333333331</v>
      </c>
      <c r="AU72" s="301">
        <f t="shared" si="39"/>
        <v>4589.5303333333331</v>
      </c>
      <c r="AV72" s="301">
        <f t="shared" si="39"/>
        <v>4589.5303333333331</v>
      </c>
      <c r="AW72" s="301">
        <f t="shared" si="39"/>
        <v>4589.5303333333331</v>
      </c>
      <c r="AX72" s="301">
        <f t="shared" si="39"/>
        <v>4589.5303333333331</v>
      </c>
      <c r="AY72" s="301">
        <f t="shared" si="39"/>
        <v>4589.5303333333331</v>
      </c>
      <c r="AZ72" s="301">
        <f t="shared" si="39"/>
        <v>4589.5303333333331</v>
      </c>
      <c r="BA72" s="301">
        <f t="shared" si="39"/>
        <v>4589.5303333333331</v>
      </c>
      <c r="BB72" s="302">
        <f t="shared" si="39"/>
        <v>4589.5303333333331</v>
      </c>
      <c r="BC72" s="324"/>
      <c r="BD72" s="324"/>
      <c r="BE72" s="324"/>
      <c r="BF72" s="324"/>
      <c r="BG72" s="324"/>
      <c r="BH72" s="324"/>
      <c r="BI72" s="324"/>
      <c r="BJ72" s="324"/>
      <c r="BK72" s="324"/>
      <c r="BL72" s="324"/>
      <c r="BM72" s="324"/>
      <c r="BN72" s="324"/>
      <c r="BO72" s="324"/>
      <c r="BP72" s="324"/>
      <c r="BQ72" s="324"/>
      <c r="BR72" s="324"/>
      <c r="BS72" s="324"/>
      <c r="FY72" s="12"/>
      <c r="GE72" s="12"/>
      <c r="GK72" s="12"/>
      <c r="GQ72" s="12"/>
      <c r="GW72" s="12"/>
      <c r="HV72" s="2"/>
      <c r="HW72" s="2"/>
      <c r="HX72" s="2"/>
      <c r="HY72" s="2"/>
      <c r="HZ72" s="2"/>
      <c r="IA72" s="2"/>
      <c r="IB72" s="2"/>
      <c r="IC72" s="2"/>
      <c r="ID72" s="2"/>
      <c r="IE72" s="2"/>
      <c r="IF72" s="2"/>
      <c r="IG72" s="2"/>
      <c r="IH72" s="2"/>
      <c r="II72" s="2"/>
      <c r="IJ72" s="2"/>
      <c r="IK72" s="2"/>
      <c r="IL72" s="2"/>
      <c r="IM72" s="2"/>
      <c r="IN72" s="3"/>
      <c r="IO72" s="2"/>
      <c r="IP72" s="2"/>
      <c r="IQ72" s="2"/>
      <c r="IR72" s="2"/>
      <c r="IS72" s="2"/>
      <c r="IT72" s="2"/>
      <c r="IU72" s="2"/>
      <c r="IV72" s="2"/>
      <c r="IW72" s="2"/>
      <c r="IX72" s="2"/>
      <c r="IY72" s="2"/>
      <c r="IZ72" s="2"/>
      <c r="JA72" s="2"/>
      <c r="JB72" s="2"/>
      <c r="JC72" s="2"/>
      <c r="JD72" s="2"/>
      <c r="JE72" s="2"/>
      <c r="JF72" s="2"/>
      <c r="JG72" s="2"/>
      <c r="JH72" s="2"/>
      <c r="JI72" s="2"/>
      <c r="JJ72" s="2"/>
      <c r="JK72" s="2"/>
    </row>
    <row r="73" spans="1:271" ht="15" hidden="1" customHeight="1" thickBot="1" x14ac:dyDescent="0.3">
      <c r="A73" s="352" t="s">
        <v>74</v>
      </c>
      <c r="B73" s="304">
        <f t="shared" ref="B73:AG73" si="40">AVERAGEIFS($B54:$YU54,$B$59:$YU$59,RIGHT(LEFT(B$60,2),1),$B$58:$YU$58,RIGHT(B$60,4))</f>
        <v>1378.875</v>
      </c>
      <c r="C73" s="304">
        <f t="shared" si="40"/>
        <v>1419.991</v>
      </c>
      <c r="D73" s="304">
        <f t="shared" si="40"/>
        <v>1315.06</v>
      </c>
      <c r="E73" s="304">
        <f t="shared" si="40"/>
        <v>1408.28</v>
      </c>
      <c r="F73" s="304">
        <f t="shared" si="40"/>
        <v>1243.24</v>
      </c>
      <c r="G73" s="304">
        <f t="shared" si="40"/>
        <v>1333.68</v>
      </c>
      <c r="H73" s="304">
        <f t="shared" si="40"/>
        <v>1391.1449999999998</v>
      </c>
      <c r="I73" s="304">
        <f t="shared" si="40"/>
        <v>1628.7780000000002</v>
      </c>
      <c r="J73" s="304">
        <f t="shared" si="40"/>
        <v>1645.336</v>
      </c>
      <c r="K73" s="304">
        <f t="shared" si="40"/>
        <v>1843.8489999999999</v>
      </c>
      <c r="L73" s="304">
        <f t="shared" si="40"/>
        <v>1652.4099999999999</v>
      </c>
      <c r="M73" s="304">
        <f t="shared" si="40"/>
        <v>1627.2909999999999</v>
      </c>
      <c r="N73" s="304">
        <f t="shared" si="40"/>
        <v>1632.9769999999999</v>
      </c>
      <c r="O73" s="304">
        <f t="shared" si="40"/>
        <v>1787.932</v>
      </c>
      <c r="P73" s="304">
        <f t="shared" si="40"/>
        <v>1847.4559999999999</v>
      </c>
      <c r="Q73" s="304">
        <f t="shared" si="40"/>
        <v>2158.4239999999995</v>
      </c>
      <c r="R73" s="304">
        <f t="shared" si="40"/>
        <v>2066.125</v>
      </c>
      <c r="S73" s="304">
        <f t="shared" si="40"/>
        <v>1980.6980000000001</v>
      </c>
      <c r="T73" s="304">
        <f t="shared" si="40"/>
        <v>2088.3360000000002</v>
      </c>
      <c r="U73" s="304">
        <f t="shared" si="40"/>
        <v>2684.1150000000002</v>
      </c>
      <c r="V73" s="304">
        <f t="shared" si="40"/>
        <v>3031.386</v>
      </c>
      <c r="W73" s="304">
        <f t="shared" si="40"/>
        <v>3315.6889999999999</v>
      </c>
      <c r="X73" s="304">
        <f t="shared" si="40"/>
        <v>3038.047</v>
      </c>
      <c r="Y73" s="304">
        <f t="shared" si="40"/>
        <v>2785.6929999999998</v>
      </c>
      <c r="Z73" s="304">
        <f t="shared" si="40"/>
        <v>2663.0340000000001</v>
      </c>
      <c r="AA73" s="304">
        <f t="shared" si="40"/>
        <v>2713.2619999999997</v>
      </c>
      <c r="AB73" s="304">
        <f t="shared" si="40"/>
        <v>2449.83</v>
      </c>
      <c r="AC73" s="304">
        <f t="shared" si="40"/>
        <v>2353.2860000000005</v>
      </c>
      <c r="AD73" s="304">
        <f t="shared" si="40"/>
        <v>2038.0309999999999</v>
      </c>
      <c r="AE73" s="304">
        <f t="shared" si="40"/>
        <v>2115.259</v>
      </c>
      <c r="AF73" s="304">
        <f t="shared" si="40"/>
        <v>1785.7909999999999</v>
      </c>
      <c r="AG73" s="304">
        <f t="shared" si="40"/>
        <v>1684.7449999999999</v>
      </c>
      <c r="AH73" s="304">
        <f t="shared" ref="AH73:BB73" si="41">AVERAGEIFS($B54:$YU54,$B$59:$YU$59,RIGHT(LEFT(AH$60,2),1),$B$58:$YU$58,RIGHT(AH$60,4))</f>
        <v>1846.3799999999999</v>
      </c>
      <c r="AI73" s="304">
        <f t="shared" si="41"/>
        <v>2106.5250000000001</v>
      </c>
      <c r="AJ73" s="304">
        <f t="shared" si="41"/>
        <v>2154.4009999999998</v>
      </c>
      <c r="AK73" s="304">
        <f t="shared" si="41"/>
        <v>2270.3560000000002</v>
      </c>
      <c r="AL73" s="304">
        <f t="shared" si="41"/>
        <v>2251.7689999999998</v>
      </c>
      <c r="AM73" s="304">
        <f t="shared" si="41"/>
        <v>2279.65</v>
      </c>
      <c r="AN73" s="304">
        <f t="shared" si="41"/>
        <v>2291.2339999999999</v>
      </c>
      <c r="AO73" s="304">
        <f t="shared" si="41"/>
        <v>2639.788</v>
      </c>
      <c r="AP73" s="304">
        <f t="shared" si="41"/>
        <v>2944.4370000000004</v>
      </c>
      <c r="AQ73" s="304">
        <f t="shared" si="41"/>
        <v>2908.5380000000005</v>
      </c>
      <c r="AR73" s="304">
        <f t="shared" si="41"/>
        <v>2591.9030000000002</v>
      </c>
      <c r="AS73" s="304">
        <f t="shared" si="41"/>
        <v>4646.9696666666669</v>
      </c>
      <c r="AT73" s="304">
        <f t="shared" si="41"/>
        <v>4646.9696666666669</v>
      </c>
      <c r="AU73" s="304">
        <f t="shared" si="41"/>
        <v>4646.9696666666669</v>
      </c>
      <c r="AV73" s="304">
        <f t="shared" si="41"/>
        <v>4646.9696666666669</v>
      </c>
      <c r="AW73" s="304">
        <f t="shared" si="41"/>
        <v>4646.9696666666669</v>
      </c>
      <c r="AX73" s="304">
        <f t="shared" si="41"/>
        <v>4646.9696666666669</v>
      </c>
      <c r="AY73" s="304">
        <f t="shared" si="41"/>
        <v>4646.9696666666669</v>
      </c>
      <c r="AZ73" s="304">
        <f t="shared" si="41"/>
        <v>4646.9696666666669</v>
      </c>
      <c r="BA73" s="304">
        <f t="shared" si="41"/>
        <v>4646.9696666666669</v>
      </c>
      <c r="BB73" s="305">
        <f t="shared" si="41"/>
        <v>4646.9696666666669</v>
      </c>
      <c r="BC73" s="324"/>
      <c r="BD73" s="324"/>
      <c r="BE73" s="324"/>
      <c r="BF73" s="324"/>
      <c r="BG73" s="324"/>
      <c r="BH73" s="324"/>
      <c r="BI73" s="324"/>
      <c r="BJ73" s="324"/>
      <c r="BK73" s="324"/>
      <c r="BL73" s="324"/>
      <c r="BM73" s="324"/>
      <c r="BN73" s="324"/>
      <c r="BO73" s="324"/>
      <c r="BP73" s="324"/>
      <c r="BQ73" s="324"/>
      <c r="BR73" s="324"/>
      <c r="BS73" s="324"/>
      <c r="FY73" s="12"/>
      <c r="GE73" s="12"/>
      <c r="GK73" s="12"/>
      <c r="GQ73" s="12"/>
      <c r="GW73" s="12"/>
      <c r="HV73" s="2"/>
      <c r="HW73" s="2"/>
      <c r="HX73" s="2"/>
      <c r="HY73" s="2"/>
      <c r="HZ73" s="2"/>
      <c r="IA73" s="2"/>
      <c r="IB73" s="2"/>
      <c r="IC73" s="2"/>
      <c r="ID73" s="2"/>
      <c r="IE73" s="2"/>
      <c r="IF73" s="2"/>
      <c r="IG73" s="2"/>
      <c r="IH73" s="2"/>
      <c r="II73" s="2"/>
      <c r="IJ73" s="2"/>
      <c r="IK73" s="2"/>
      <c r="IL73" s="2"/>
      <c r="IM73" s="2"/>
      <c r="IN73" s="3"/>
      <c r="IO73" s="2"/>
      <c r="IP73" s="2"/>
      <c r="IQ73" s="2"/>
      <c r="IR73" s="2"/>
      <c r="IS73" s="2"/>
      <c r="IT73" s="2"/>
      <c r="IU73" s="2"/>
      <c r="IV73" s="2"/>
      <c r="IW73" s="2"/>
      <c r="IX73" s="2"/>
      <c r="IY73" s="2"/>
      <c r="IZ73" s="2"/>
      <c r="JA73" s="2"/>
      <c r="JB73" s="2"/>
      <c r="JC73" s="2"/>
      <c r="JD73" s="2"/>
      <c r="JE73" s="2"/>
      <c r="JF73" s="2"/>
      <c r="JG73" s="2"/>
      <c r="JH73" s="2"/>
      <c r="JI73" s="2"/>
      <c r="JJ73" s="2"/>
      <c r="JK73" s="2"/>
    </row>
    <row r="74" spans="1:271" ht="15.6" hidden="1" customHeight="1" thickTop="1" thickBot="1" x14ac:dyDescent="0.3">
      <c r="A74" s="313" t="s">
        <v>229</v>
      </c>
      <c r="B74" s="314">
        <f t="shared" ref="B74:AG74" si="42">AVERAGEIFS($B55:$YU55,$B$59:$YU$59,RIGHT(LEFT(B$60,2),1),$B$58:$YU$58,RIGHT(B$60,4))</f>
        <v>42496.531000000003</v>
      </c>
      <c r="C74" s="314">
        <f t="shared" si="42"/>
        <v>43485.984999999993</v>
      </c>
      <c r="D74" s="314">
        <f t="shared" si="42"/>
        <v>41004.012999999999</v>
      </c>
      <c r="E74" s="314">
        <f t="shared" si="42"/>
        <v>42525.872000000003</v>
      </c>
      <c r="F74" s="314">
        <f t="shared" si="42"/>
        <v>43300.659999999996</v>
      </c>
      <c r="G74" s="314">
        <f t="shared" si="42"/>
        <v>44855.865000000013</v>
      </c>
      <c r="H74" s="314">
        <f t="shared" si="42"/>
        <v>47382.135000000002</v>
      </c>
      <c r="I74" s="314">
        <f t="shared" si="42"/>
        <v>49801.031999999999</v>
      </c>
      <c r="J74" s="314">
        <f t="shared" si="42"/>
        <v>50348.795000000006</v>
      </c>
      <c r="K74" s="314">
        <f t="shared" si="42"/>
        <v>54549.157000000007</v>
      </c>
      <c r="L74" s="314">
        <f t="shared" si="42"/>
        <v>57536.317000000003</v>
      </c>
      <c r="M74" s="314">
        <f t="shared" si="42"/>
        <v>61811.008000000002</v>
      </c>
      <c r="N74" s="314">
        <f t="shared" si="42"/>
        <v>63765.168000000005</v>
      </c>
      <c r="O74" s="314">
        <f t="shared" si="42"/>
        <v>66270.289999999994</v>
      </c>
      <c r="P74" s="314">
        <f t="shared" si="42"/>
        <v>67629.021999999997</v>
      </c>
      <c r="Q74" s="314">
        <f t="shared" si="42"/>
        <v>74444.555999999997</v>
      </c>
      <c r="R74" s="314">
        <f t="shared" si="42"/>
        <v>68614.833999999988</v>
      </c>
      <c r="S74" s="314">
        <f t="shared" si="42"/>
        <v>66581.172000000006</v>
      </c>
      <c r="T74" s="314">
        <f t="shared" si="42"/>
        <v>68031.151000000013</v>
      </c>
      <c r="U74" s="314">
        <f t="shared" si="42"/>
        <v>76133.969999999987</v>
      </c>
      <c r="V74" s="314">
        <f t="shared" si="42"/>
        <v>81194.628000000012</v>
      </c>
      <c r="W74" s="314">
        <f t="shared" si="42"/>
        <v>90789.055000000008</v>
      </c>
      <c r="X74" s="314">
        <f t="shared" si="42"/>
        <v>96550.234000000011</v>
      </c>
      <c r="Y74" s="314">
        <f t="shared" si="42"/>
        <v>100640.88900000001</v>
      </c>
      <c r="Z74" s="314">
        <f t="shared" si="42"/>
        <v>102087.946</v>
      </c>
      <c r="AA74" s="314">
        <f t="shared" si="42"/>
        <v>101267.62999999999</v>
      </c>
      <c r="AB74" s="314">
        <f t="shared" si="42"/>
        <v>94849.163</v>
      </c>
      <c r="AC74" s="314">
        <f t="shared" si="42"/>
        <v>95637.781000000003</v>
      </c>
      <c r="AD74" s="314">
        <f t="shared" si="42"/>
        <v>89778.837</v>
      </c>
      <c r="AE74" s="314">
        <f t="shared" si="42"/>
        <v>88636.180999999997</v>
      </c>
      <c r="AF74" s="314">
        <f t="shared" si="42"/>
        <v>83252.853000000003</v>
      </c>
      <c r="AG74" s="314">
        <f t="shared" si="42"/>
        <v>83746.413</v>
      </c>
      <c r="AH74" s="353">
        <f t="shared" ref="AH74:BB74" si="43">AVERAGEIFS($B55:$YU55,$B$59:$YU$59,RIGHT(LEFT(AH$60,2),1),$B$58:$YU$58,RIGHT(AH$60,4))</f>
        <v>85099.854999999996</v>
      </c>
      <c r="AI74" s="314">
        <f t="shared" si="43"/>
        <v>88258.306999999986</v>
      </c>
      <c r="AJ74" s="314">
        <f t="shared" si="43"/>
        <v>91366.697</v>
      </c>
      <c r="AK74" s="314">
        <f t="shared" si="43"/>
        <v>97074.043999999994</v>
      </c>
      <c r="AL74" s="314">
        <f t="shared" si="43"/>
        <v>99481.747000000018</v>
      </c>
      <c r="AM74" s="314">
        <f t="shared" si="43"/>
        <v>104103.27500000001</v>
      </c>
      <c r="AN74" s="314">
        <f t="shared" si="43"/>
        <v>104728.723</v>
      </c>
      <c r="AO74" s="314">
        <f t="shared" si="43"/>
        <v>112064.05800000002</v>
      </c>
      <c r="AP74" s="314">
        <f t="shared" si="43"/>
        <v>115774.81600000001</v>
      </c>
      <c r="AQ74" s="314">
        <f t="shared" si="43"/>
        <v>119545.12799999998</v>
      </c>
      <c r="AR74" s="314">
        <f t="shared" si="43"/>
        <v>117145.31300000001</v>
      </c>
      <c r="AS74" s="314">
        <f t="shared" si="43"/>
        <v>137030.96166666667</v>
      </c>
      <c r="AT74" s="314">
        <f t="shared" si="43"/>
        <v>137030.96166666667</v>
      </c>
      <c r="AU74" s="314">
        <f t="shared" si="43"/>
        <v>137030.96166666667</v>
      </c>
      <c r="AV74" s="314">
        <f t="shared" si="43"/>
        <v>137030.96166666667</v>
      </c>
      <c r="AW74" s="314">
        <f t="shared" si="43"/>
        <v>137030.96166666667</v>
      </c>
      <c r="AX74" s="314">
        <f t="shared" si="43"/>
        <v>137030.96166666667</v>
      </c>
      <c r="AY74" s="314">
        <f t="shared" si="43"/>
        <v>137030.96166666667</v>
      </c>
      <c r="AZ74" s="314">
        <f t="shared" si="43"/>
        <v>137030.96166666667</v>
      </c>
      <c r="BA74" s="314">
        <f t="shared" si="43"/>
        <v>137030.96166666667</v>
      </c>
      <c r="BB74" s="315">
        <f t="shared" si="43"/>
        <v>137030.96166666667</v>
      </c>
      <c r="BC74" s="343"/>
      <c r="BD74" s="343"/>
      <c r="BE74" s="343"/>
      <c r="BF74" s="343"/>
      <c r="BG74" s="343"/>
      <c r="BH74" s="343"/>
      <c r="BI74" s="343"/>
      <c r="BJ74" s="343"/>
      <c r="BK74" s="343"/>
      <c r="BL74" s="343"/>
      <c r="BM74" s="343"/>
      <c r="BN74" s="343"/>
      <c r="BO74" s="343"/>
      <c r="BP74" s="343"/>
      <c r="BQ74" s="343"/>
      <c r="BR74" s="343"/>
      <c r="BS74" s="343"/>
      <c r="FY74" s="12"/>
      <c r="GE74" s="12"/>
      <c r="GK74" s="12"/>
      <c r="GQ74" s="12"/>
      <c r="GW74" s="12"/>
      <c r="HV74" s="2"/>
      <c r="HW74" s="2"/>
      <c r="HX74" s="2"/>
      <c r="HY74" s="2"/>
      <c r="HZ74" s="2"/>
      <c r="IA74" s="2"/>
      <c r="IB74" s="2"/>
      <c r="IC74" s="2"/>
      <c r="ID74" s="2"/>
      <c r="IE74" s="2"/>
      <c r="IF74" s="2"/>
      <c r="IG74" s="2"/>
      <c r="IH74" s="2"/>
      <c r="II74" s="2"/>
      <c r="IJ74" s="2"/>
      <c r="IK74" s="2"/>
      <c r="IL74" s="2"/>
      <c r="IM74" s="2"/>
      <c r="IN74" s="3"/>
      <c r="IO74" s="2"/>
      <c r="IP74" s="2"/>
      <c r="IQ74" s="2"/>
      <c r="IR74" s="2"/>
      <c r="IS74" s="2"/>
      <c r="IT74" s="2"/>
      <c r="IU74" s="2"/>
      <c r="IV74" s="2"/>
      <c r="IW74" s="2"/>
      <c r="IX74" s="2"/>
      <c r="IY74" s="2"/>
      <c r="IZ74" s="2"/>
      <c r="JA74" s="2"/>
      <c r="JB74" s="2"/>
      <c r="JC74" s="2"/>
      <c r="JD74" s="2"/>
      <c r="JE74" s="2"/>
      <c r="JF74" s="2"/>
      <c r="JG74" s="2"/>
      <c r="JH74" s="2"/>
      <c r="JI74" s="2"/>
      <c r="JJ74" s="2"/>
      <c r="JK74" s="2"/>
    </row>
    <row r="75" spans="1:271" s="3" customFormat="1" ht="14.45" hidden="1" customHeight="1" x14ac:dyDescent="0.25">
      <c r="B75" s="3">
        <v>1</v>
      </c>
      <c r="C75" s="3">
        <v>2</v>
      </c>
      <c r="D75" s="3">
        <v>1</v>
      </c>
      <c r="E75" s="3">
        <v>2</v>
      </c>
      <c r="F75" s="3">
        <v>1</v>
      </c>
      <c r="G75" s="3">
        <v>2</v>
      </c>
      <c r="H75" s="3">
        <v>1</v>
      </c>
      <c r="I75" s="3">
        <v>2</v>
      </c>
      <c r="J75" s="3">
        <v>1</v>
      </c>
      <c r="K75" s="3">
        <v>2</v>
      </c>
      <c r="L75" s="3">
        <v>1</v>
      </c>
      <c r="M75" s="3">
        <v>2</v>
      </c>
      <c r="N75" s="3">
        <v>1</v>
      </c>
      <c r="O75" s="3">
        <v>2</v>
      </c>
      <c r="P75" s="3">
        <v>1</v>
      </c>
      <c r="Q75" s="3">
        <v>2</v>
      </c>
      <c r="R75" s="3">
        <v>1</v>
      </c>
      <c r="S75" s="3">
        <v>2</v>
      </c>
      <c r="T75" s="3">
        <v>1</v>
      </c>
      <c r="U75" s="3">
        <v>2</v>
      </c>
      <c r="V75" s="3">
        <v>1</v>
      </c>
      <c r="W75" s="3">
        <v>2</v>
      </c>
      <c r="X75" s="3">
        <v>1</v>
      </c>
      <c r="Y75" s="3">
        <v>2</v>
      </c>
      <c r="Z75" s="3">
        <v>1</v>
      </c>
      <c r="AA75" s="3">
        <v>2</v>
      </c>
      <c r="AB75" s="3">
        <v>1</v>
      </c>
      <c r="AC75" s="3">
        <v>2</v>
      </c>
      <c r="AD75" s="3">
        <v>1</v>
      </c>
      <c r="AE75" s="3">
        <v>2</v>
      </c>
      <c r="AF75" s="3">
        <v>1</v>
      </c>
      <c r="AG75" s="3">
        <v>2</v>
      </c>
      <c r="AH75" s="3">
        <v>1</v>
      </c>
      <c r="AI75" s="3">
        <v>2</v>
      </c>
      <c r="AJ75" s="3">
        <v>1</v>
      </c>
      <c r="AK75" s="3">
        <v>2</v>
      </c>
      <c r="AL75" s="3">
        <v>1</v>
      </c>
      <c r="AM75" s="3">
        <v>2</v>
      </c>
      <c r="AN75" s="3">
        <v>1</v>
      </c>
      <c r="AO75" s="3">
        <v>2</v>
      </c>
      <c r="AP75" s="3">
        <v>1</v>
      </c>
      <c r="AQ75" s="3">
        <v>2</v>
      </c>
      <c r="AR75" s="3">
        <v>1</v>
      </c>
      <c r="AS75" s="3">
        <v>2</v>
      </c>
      <c r="AT75" s="3">
        <v>1</v>
      </c>
      <c r="AU75" s="3">
        <v>2</v>
      </c>
      <c r="AV75" s="3">
        <v>1</v>
      </c>
      <c r="AW75" s="3">
        <v>2</v>
      </c>
      <c r="AX75" s="3">
        <v>1</v>
      </c>
      <c r="AY75" s="3">
        <v>2</v>
      </c>
      <c r="AZ75" s="3">
        <v>1</v>
      </c>
      <c r="BA75" s="3">
        <v>2</v>
      </c>
      <c r="BB75" s="3">
        <v>1</v>
      </c>
      <c r="BC75" s="3">
        <v>2</v>
      </c>
      <c r="BD75" s="3">
        <v>1</v>
      </c>
      <c r="BE75" s="3">
        <v>2</v>
      </c>
      <c r="BF75" s="3">
        <v>1</v>
      </c>
      <c r="BG75" s="3">
        <v>2</v>
      </c>
      <c r="BH75" s="3">
        <v>1</v>
      </c>
      <c r="BI75" s="3">
        <v>2</v>
      </c>
      <c r="BJ75" s="3">
        <v>1</v>
      </c>
      <c r="BK75" s="3">
        <v>2</v>
      </c>
      <c r="BL75" s="3">
        <v>1</v>
      </c>
      <c r="BM75" s="3">
        <v>2</v>
      </c>
      <c r="BN75" s="3">
        <v>1</v>
      </c>
      <c r="BO75" s="3">
        <v>2</v>
      </c>
      <c r="BP75" s="3">
        <v>1</v>
      </c>
      <c r="BQ75" s="3">
        <v>2</v>
      </c>
      <c r="BR75" s="3">
        <v>1</v>
      </c>
      <c r="BS75" s="3">
        <v>2</v>
      </c>
      <c r="FY75" s="354"/>
      <c r="GE75" s="354"/>
      <c r="GK75" s="354"/>
      <c r="GQ75" s="354"/>
      <c r="GW75" s="354"/>
    </row>
    <row r="76" spans="1:271" s="355" customFormat="1" ht="18.600000000000001" hidden="1" customHeight="1" x14ac:dyDescent="0.3">
      <c r="B76" s="355">
        <f t="shared" ref="B76:AG76" si="44">VALUE(RIGHT(B60,4))</f>
        <v>2001</v>
      </c>
      <c r="C76" s="355">
        <f t="shared" si="44"/>
        <v>2001</v>
      </c>
      <c r="D76" s="355">
        <f t="shared" si="44"/>
        <v>2002</v>
      </c>
      <c r="E76" s="355">
        <f t="shared" si="44"/>
        <v>2002</v>
      </c>
      <c r="F76" s="355">
        <f t="shared" si="44"/>
        <v>2003</v>
      </c>
      <c r="G76" s="355">
        <f t="shared" si="44"/>
        <v>2003</v>
      </c>
      <c r="H76" s="355">
        <f t="shared" si="44"/>
        <v>2004</v>
      </c>
      <c r="I76" s="355">
        <f t="shared" si="44"/>
        <v>2004</v>
      </c>
      <c r="J76" s="355">
        <f t="shared" si="44"/>
        <v>2005</v>
      </c>
      <c r="K76" s="355">
        <f t="shared" si="44"/>
        <v>2005</v>
      </c>
      <c r="L76" s="355">
        <f t="shared" si="44"/>
        <v>2006</v>
      </c>
      <c r="M76" s="355">
        <f t="shared" si="44"/>
        <v>2006</v>
      </c>
      <c r="N76" s="355">
        <f t="shared" si="44"/>
        <v>2007</v>
      </c>
      <c r="O76" s="355">
        <f t="shared" si="44"/>
        <v>2007</v>
      </c>
      <c r="P76" s="355">
        <f t="shared" si="44"/>
        <v>2008</v>
      </c>
      <c r="Q76" s="355">
        <f t="shared" si="44"/>
        <v>2008</v>
      </c>
      <c r="R76" s="355">
        <f t="shared" si="44"/>
        <v>2009</v>
      </c>
      <c r="S76" s="355">
        <f t="shared" si="44"/>
        <v>2009</v>
      </c>
      <c r="T76" s="355">
        <f t="shared" si="44"/>
        <v>2010</v>
      </c>
      <c r="U76" s="355">
        <f t="shared" si="44"/>
        <v>2010</v>
      </c>
      <c r="V76" s="355">
        <f t="shared" si="44"/>
        <v>2011</v>
      </c>
      <c r="W76" s="355">
        <f t="shared" si="44"/>
        <v>2011</v>
      </c>
      <c r="X76" s="355">
        <f t="shared" si="44"/>
        <v>2012</v>
      </c>
      <c r="Y76" s="355">
        <f t="shared" si="44"/>
        <v>2012</v>
      </c>
      <c r="Z76" s="355">
        <f t="shared" si="44"/>
        <v>2013</v>
      </c>
      <c r="AA76" s="355">
        <f t="shared" si="44"/>
        <v>2013</v>
      </c>
      <c r="AB76" s="355">
        <f t="shared" si="44"/>
        <v>2014</v>
      </c>
      <c r="AC76" s="355">
        <f t="shared" si="44"/>
        <v>2014</v>
      </c>
      <c r="AD76" s="355">
        <f t="shared" si="44"/>
        <v>2015</v>
      </c>
      <c r="AE76" s="355">
        <f t="shared" si="44"/>
        <v>2015</v>
      </c>
      <c r="AF76" s="355">
        <f t="shared" si="44"/>
        <v>2016</v>
      </c>
      <c r="AG76" s="355">
        <f t="shared" si="44"/>
        <v>2016</v>
      </c>
      <c r="AH76" s="355">
        <f>VALUE(RIGHT(AH60,4))</f>
        <v>2017</v>
      </c>
      <c r="AI76" s="355">
        <f t="shared" ref="AI76:BS76" si="45">VALUE(RIGHT(AI60,4))</f>
        <v>2017</v>
      </c>
      <c r="AJ76" s="355">
        <f t="shared" si="45"/>
        <v>2018</v>
      </c>
      <c r="AK76" s="355">
        <f t="shared" si="45"/>
        <v>2018</v>
      </c>
      <c r="AL76" s="355">
        <f t="shared" si="45"/>
        <v>2019</v>
      </c>
      <c r="AM76" s="355">
        <f t="shared" si="45"/>
        <v>2019</v>
      </c>
      <c r="AN76" s="355">
        <f t="shared" si="45"/>
        <v>2020</v>
      </c>
      <c r="AO76" s="355">
        <f t="shared" si="45"/>
        <v>2020</v>
      </c>
      <c r="AP76" s="355">
        <f t="shared" si="45"/>
        <v>2021</v>
      </c>
      <c r="AQ76" s="355">
        <f t="shared" si="45"/>
        <v>2021</v>
      </c>
      <c r="AR76" s="355">
        <f t="shared" si="45"/>
        <v>2022</v>
      </c>
      <c r="AS76" s="355" t="e">
        <f t="shared" si="45"/>
        <v>#VALUE!</v>
      </c>
      <c r="AT76" s="355" t="e">
        <f t="shared" si="45"/>
        <v>#VALUE!</v>
      </c>
      <c r="AU76" s="355" t="e">
        <f t="shared" si="45"/>
        <v>#VALUE!</v>
      </c>
      <c r="AV76" s="355" t="e">
        <f t="shared" si="45"/>
        <v>#VALUE!</v>
      </c>
      <c r="AW76" s="355" t="e">
        <f t="shared" si="45"/>
        <v>#VALUE!</v>
      </c>
      <c r="AX76" s="355" t="e">
        <f t="shared" si="45"/>
        <v>#VALUE!</v>
      </c>
      <c r="AY76" s="355" t="e">
        <f t="shared" si="45"/>
        <v>#VALUE!</v>
      </c>
      <c r="AZ76" s="355" t="e">
        <f t="shared" si="45"/>
        <v>#VALUE!</v>
      </c>
      <c r="BA76" s="355" t="e">
        <f t="shared" si="45"/>
        <v>#VALUE!</v>
      </c>
      <c r="BB76" s="355" t="e">
        <f t="shared" si="45"/>
        <v>#VALUE!</v>
      </c>
      <c r="BC76" s="355" t="e">
        <f t="shared" si="45"/>
        <v>#VALUE!</v>
      </c>
      <c r="BD76" s="355" t="e">
        <f t="shared" si="45"/>
        <v>#VALUE!</v>
      </c>
      <c r="BE76" s="355" t="e">
        <f t="shared" si="45"/>
        <v>#VALUE!</v>
      </c>
      <c r="BF76" s="355" t="e">
        <f t="shared" si="45"/>
        <v>#VALUE!</v>
      </c>
      <c r="BG76" s="355" t="e">
        <f t="shared" si="45"/>
        <v>#VALUE!</v>
      </c>
      <c r="BH76" s="355" t="e">
        <f t="shared" si="45"/>
        <v>#VALUE!</v>
      </c>
      <c r="BI76" s="355" t="e">
        <f t="shared" si="45"/>
        <v>#VALUE!</v>
      </c>
      <c r="BJ76" s="355" t="e">
        <f t="shared" si="45"/>
        <v>#VALUE!</v>
      </c>
      <c r="BK76" s="355" t="e">
        <f t="shared" si="45"/>
        <v>#VALUE!</v>
      </c>
      <c r="BL76" s="355" t="e">
        <f t="shared" si="45"/>
        <v>#VALUE!</v>
      </c>
      <c r="BM76" s="355" t="e">
        <f t="shared" si="45"/>
        <v>#VALUE!</v>
      </c>
      <c r="BN76" s="355" t="e">
        <f t="shared" si="45"/>
        <v>#VALUE!</v>
      </c>
      <c r="BO76" s="355" t="e">
        <f t="shared" si="45"/>
        <v>#VALUE!</v>
      </c>
      <c r="BP76" s="355" t="e">
        <f t="shared" si="45"/>
        <v>#VALUE!</v>
      </c>
      <c r="BQ76" s="355" t="e">
        <f t="shared" si="45"/>
        <v>#VALUE!</v>
      </c>
      <c r="BR76" s="355" t="e">
        <f t="shared" si="45"/>
        <v>#VALUE!</v>
      </c>
      <c r="BS76" s="355" t="e">
        <f t="shared" si="45"/>
        <v>#VALUE!</v>
      </c>
      <c r="FY76" s="356"/>
      <c r="GE76" s="356"/>
      <c r="GK76" s="356"/>
      <c r="GQ76" s="356"/>
      <c r="GW76" s="356"/>
    </row>
    <row r="77" spans="1:271" ht="14.45" hidden="1" customHeight="1" x14ac:dyDescent="0.25">
      <c r="FY77" s="12"/>
      <c r="GE77" s="12"/>
      <c r="GK77" s="12"/>
      <c r="GQ77" s="12"/>
      <c r="GW77" s="12"/>
      <c r="HV77" s="2"/>
      <c r="HW77" s="2"/>
      <c r="HX77" s="2"/>
      <c r="HY77" s="2"/>
      <c r="HZ77" s="2"/>
      <c r="IA77" s="2"/>
      <c r="IB77" s="2"/>
      <c r="IC77" s="2"/>
      <c r="ID77" s="2"/>
      <c r="IE77" s="2"/>
      <c r="IF77" s="2"/>
      <c r="IG77" s="2"/>
      <c r="IH77" s="2"/>
      <c r="II77" s="2"/>
      <c r="IJ77" s="2"/>
      <c r="IK77" s="2"/>
      <c r="IL77" s="2"/>
      <c r="IM77" s="2"/>
      <c r="IN77" s="3"/>
      <c r="IO77" s="2"/>
      <c r="IP77" s="2"/>
      <c r="IQ77" s="2"/>
      <c r="IR77" s="2"/>
      <c r="IS77" s="2"/>
      <c r="IT77" s="2"/>
      <c r="IU77" s="2"/>
      <c r="IV77" s="2"/>
      <c r="IW77" s="2"/>
      <c r="IX77" s="2"/>
      <c r="IY77" s="2"/>
      <c r="IZ77" s="2"/>
      <c r="JA77" s="2"/>
      <c r="JB77" s="2"/>
      <c r="JC77" s="2"/>
      <c r="JD77" s="2"/>
      <c r="JE77" s="2"/>
      <c r="JF77" s="2"/>
      <c r="JG77" s="2"/>
      <c r="JH77" s="2"/>
      <c r="JI77" s="2"/>
      <c r="JJ77" s="2"/>
      <c r="JK77" s="2"/>
    </row>
    <row r="78" spans="1:271" x14ac:dyDescent="0.25">
      <c r="HV78" s="2"/>
      <c r="HW78" s="2"/>
      <c r="HX78" s="2"/>
      <c r="HY78" s="2"/>
      <c r="HZ78" s="2"/>
      <c r="IA78" s="2"/>
      <c r="IB78" s="2"/>
      <c r="IC78" s="2"/>
      <c r="ID78" s="2"/>
      <c r="IE78" s="2"/>
      <c r="IF78" s="2"/>
      <c r="IG78" s="2"/>
      <c r="IH78" s="2"/>
      <c r="II78" s="2"/>
      <c r="IJ78" s="2"/>
      <c r="IK78" s="2"/>
      <c r="IL78" s="2"/>
      <c r="IM78" s="2"/>
      <c r="IN78" s="3"/>
      <c r="IO78" s="2"/>
      <c r="IP78" s="2"/>
      <c r="IQ78" s="2"/>
      <c r="IR78" s="2"/>
      <c r="IS78" s="2"/>
      <c r="IT78" s="2"/>
      <c r="IU78" s="2"/>
      <c r="IV78" s="2"/>
      <c r="IW78" s="2"/>
      <c r="IX78" s="2"/>
      <c r="IY78" s="2"/>
      <c r="IZ78" s="2"/>
      <c r="JA78" s="2"/>
      <c r="JB78" s="2"/>
      <c r="JC78" s="2"/>
      <c r="JD78" s="2"/>
      <c r="JE78" s="2"/>
      <c r="JF78" s="2"/>
      <c r="JG78" s="2"/>
      <c r="JH78" s="2"/>
      <c r="JI78" s="2"/>
      <c r="JJ78" s="2"/>
      <c r="JK78" s="2"/>
    </row>
    <row r="79" spans="1:271" ht="15.75" thickBot="1" x14ac:dyDescent="0.3">
      <c r="A79" s="4" t="s">
        <v>230</v>
      </c>
      <c r="IA79" s="322"/>
      <c r="IB79" s="322"/>
      <c r="IC79" s="322"/>
      <c r="ID79" s="322"/>
      <c r="IE79" s="322"/>
      <c r="IF79" s="322"/>
      <c r="IG79" s="322"/>
      <c r="IH79" s="322"/>
      <c r="II79" s="322"/>
      <c r="IJ79" s="2"/>
      <c r="IK79" s="2"/>
      <c r="IL79" s="2"/>
      <c r="IM79" s="2"/>
      <c r="IN79" s="3"/>
      <c r="IO79" s="2"/>
      <c r="IP79" s="2"/>
      <c r="IQ79" s="2"/>
      <c r="IR79" s="2"/>
      <c r="IS79" s="2"/>
      <c r="IT79" s="2"/>
      <c r="IU79" s="2"/>
      <c r="IV79" s="2"/>
      <c r="IW79" s="2"/>
      <c r="IX79" s="2"/>
      <c r="IY79" s="2"/>
      <c r="IZ79" s="2"/>
      <c r="JA79" s="2"/>
      <c r="JB79" s="2"/>
      <c r="JC79" s="2"/>
      <c r="JD79" s="2"/>
      <c r="JE79" s="2"/>
      <c r="JF79" s="2"/>
      <c r="JG79" s="2"/>
      <c r="JH79" s="2"/>
      <c r="JI79" s="2"/>
      <c r="JJ79" s="2"/>
      <c r="JK79" s="2"/>
    </row>
    <row r="80" spans="1:271" x14ac:dyDescent="0.25">
      <c r="A80" s="357"/>
      <c r="B80" s="329">
        <v>36922</v>
      </c>
      <c r="C80" s="329">
        <v>36950</v>
      </c>
      <c r="D80" s="329">
        <v>36981</v>
      </c>
      <c r="E80" s="329">
        <v>37011</v>
      </c>
      <c r="F80" s="329">
        <v>37042</v>
      </c>
      <c r="G80" s="329">
        <v>37072</v>
      </c>
      <c r="H80" s="329">
        <v>37103</v>
      </c>
      <c r="I80" s="329">
        <v>37134</v>
      </c>
      <c r="J80" s="329">
        <v>37164</v>
      </c>
      <c r="K80" s="329">
        <v>37195</v>
      </c>
      <c r="L80" s="329">
        <v>37225</v>
      </c>
      <c r="M80" s="329">
        <v>37256</v>
      </c>
      <c r="N80" s="329">
        <v>37287</v>
      </c>
      <c r="O80" s="329">
        <v>37315</v>
      </c>
      <c r="P80" s="329">
        <v>37346</v>
      </c>
      <c r="Q80" s="329">
        <v>37376</v>
      </c>
      <c r="R80" s="329">
        <v>37407</v>
      </c>
      <c r="S80" s="329">
        <v>37437</v>
      </c>
      <c r="T80" s="329">
        <v>37468</v>
      </c>
      <c r="U80" s="329">
        <v>37499</v>
      </c>
      <c r="V80" s="329">
        <v>37529</v>
      </c>
      <c r="W80" s="329">
        <v>37560</v>
      </c>
      <c r="X80" s="329">
        <v>37590</v>
      </c>
      <c r="Y80" s="329">
        <v>37621</v>
      </c>
      <c r="Z80" s="329">
        <v>37652</v>
      </c>
      <c r="AA80" s="329">
        <v>37680</v>
      </c>
      <c r="AB80" s="329">
        <v>37711</v>
      </c>
      <c r="AC80" s="329">
        <v>37741</v>
      </c>
      <c r="AD80" s="329">
        <v>37772</v>
      </c>
      <c r="AE80" s="329">
        <v>37802</v>
      </c>
      <c r="AF80" s="329">
        <v>37833</v>
      </c>
      <c r="AG80" s="329">
        <v>37864</v>
      </c>
      <c r="AH80" s="329">
        <v>37894</v>
      </c>
      <c r="AI80" s="329">
        <v>37925</v>
      </c>
      <c r="AJ80" s="329">
        <v>37955</v>
      </c>
      <c r="AK80" s="329">
        <v>37986</v>
      </c>
      <c r="AL80" s="329">
        <v>38017</v>
      </c>
      <c r="AM80" s="329">
        <v>38046</v>
      </c>
      <c r="AN80" s="329">
        <v>38077</v>
      </c>
      <c r="AO80" s="329">
        <v>38107</v>
      </c>
      <c r="AP80" s="329">
        <v>38138</v>
      </c>
      <c r="AQ80" s="329">
        <v>38168</v>
      </c>
      <c r="AR80" s="329">
        <v>38199</v>
      </c>
      <c r="AS80" s="329">
        <v>38230</v>
      </c>
      <c r="AT80" s="329">
        <v>38260</v>
      </c>
      <c r="AU80" s="329">
        <v>38291</v>
      </c>
      <c r="AV80" s="329">
        <v>38321</v>
      </c>
      <c r="AW80" s="329">
        <v>38352</v>
      </c>
      <c r="AX80" s="329">
        <v>38383</v>
      </c>
      <c r="AY80" s="329">
        <v>38411</v>
      </c>
      <c r="AZ80" s="329">
        <v>38442</v>
      </c>
      <c r="BA80" s="329">
        <v>38472</v>
      </c>
      <c r="BB80" s="329">
        <v>38503</v>
      </c>
      <c r="BC80" s="329">
        <v>38533</v>
      </c>
      <c r="BD80" s="329">
        <v>38564</v>
      </c>
      <c r="BE80" s="329">
        <v>38595</v>
      </c>
      <c r="BF80" s="329">
        <v>38625</v>
      </c>
      <c r="BG80" s="329">
        <v>38656</v>
      </c>
      <c r="BH80" s="329">
        <v>38686</v>
      </c>
      <c r="BI80" s="329">
        <v>38717</v>
      </c>
      <c r="BJ80" s="329">
        <v>38748</v>
      </c>
      <c r="BK80" s="329">
        <v>38776</v>
      </c>
      <c r="BL80" s="329">
        <v>38807</v>
      </c>
      <c r="BM80" s="329">
        <v>38837</v>
      </c>
      <c r="BN80" s="329">
        <v>38868</v>
      </c>
      <c r="BO80" s="329">
        <v>38898</v>
      </c>
      <c r="BP80" s="329">
        <v>38929</v>
      </c>
      <c r="BQ80" s="329">
        <v>38960</v>
      </c>
      <c r="BR80" s="329">
        <v>38990</v>
      </c>
      <c r="BS80" s="329">
        <v>39021</v>
      </c>
      <c r="BT80" s="329">
        <v>39051</v>
      </c>
      <c r="BU80" s="329">
        <v>39082</v>
      </c>
      <c r="BV80" s="329">
        <v>39113</v>
      </c>
      <c r="BW80" s="329">
        <v>39141</v>
      </c>
      <c r="BX80" s="329">
        <v>39172</v>
      </c>
      <c r="BY80" s="329">
        <v>39202</v>
      </c>
      <c r="BZ80" s="329">
        <v>39233</v>
      </c>
      <c r="CA80" s="329">
        <v>39263</v>
      </c>
      <c r="CB80" s="329">
        <v>39294</v>
      </c>
      <c r="CC80" s="329">
        <v>39325</v>
      </c>
      <c r="CD80" s="329">
        <v>39355</v>
      </c>
      <c r="CE80" s="329">
        <v>39386</v>
      </c>
      <c r="CF80" s="330">
        <v>39416</v>
      </c>
      <c r="CG80" s="330">
        <v>39447</v>
      </c>
      <c r="CH80" s="330">
        <v>39478</v>
      </c>
      <c r="CI80" s="330">
        <v>39507</v>
      </c>
      <c r="CJ80" s="330">
        <v>39538</v>
      </c>
      <c r="CK80" s="330">
        <v>39568</v>
      </c>
      <c r="CL80" s="330">
        <v>39599</v>
      </c>
      <c r="CM80" s="330">
        <v>39629</v>
      </c>
      <c r="CN80" s="330">
        <v>39660</v>
      </c>
      <c r="CO80" s="330">
        <v>39691</v>
      </c>
      <c r="CP80" s="330">
        <v>39721</v>
      </c>
      <c r="CQ80" s="330">
        <v>39752</v>
      </c>
      <c r="CR80" s="330">
        <v>39782</v>
      </c>
      <c r="CS80" s="330">
        <v>39813</v>
      </c>
      <c r="CT80" s="330">
        <v>39844</v>
      </c>
      <c r="CU80" s="330">
        <v>39872</v>
      </c>
      <c r="CV80" s="330">
        <v>39903</v>
      </c>
      <c r="CW80" s="330">
        <v>39933</v>
      </c>
      <c r="CX80" s="330">
        <v>39964</v>
      </c>
      <c r="CY80" s="330">
        <v>39994</v>
      </c>
      <c r="CZ80" s="330">
        <v>40025</v>
      </c>
      <c r="DA80" s="330">
        <v>40056</v>
      </c>
      <c r="DB80" s="330">
        <v>40086</v>
      </c>
      <c r="DC80" s="330">
        <v>40117</v>
      </c>
      <c r="DD80" s="330">
        <v>40147</v>
      </c>
      <c r="DE80" s="330">
        <v>40178</v>
      </c>
      <c r="DF80" s="330">
        <v>40209</v>
      </c>
      <c r="DG80" s="330">
        <v>40237</v>
      </c>
      <c r="DH80" s="330">
        <v>40268</v>
      </c>
      <c r="DI80" s="330">
        <v>40298</v>
      </c>
      <c r="DJ80" s="330">
        <v>40329</v>
      </c>
      <c r="DK80" s="330">
        <v>40359</v>
      </c>
      <c r="DL80" s="330">
        <v>40390</v>
      </c>
      <c r="DM80" s="330">
        <v>40421</v>
      </c>
      <c r="DN80" s="330">
        <v>40451</v>
      </c>
      <c r="DO80" s="330">
        <v>40482</v>
      </c>
      <c r="DP80" s="330">
        <v>40512</v>
      </c>
      <c r="DQ80" s="330">
        <v>40543</v>
      </c>
      <c r="DR80" s="330">
        <v>40574</v>
      </c>
      <c r="DS80" s="330">
        <v>40602</v>
      </c>
      <c r="DT80" s="330">
        <v>40633</v>
      </c>
      <c r="DU80" s="330">
        <v>40663</v>
      </c>
      <c r="DV80" s="330">
        <v>40694</v>
      </c>
      <c r="DW80" s="330">
        <v>40724</v>
      </c>
      <c r="DX80" s="330">
        <v>40755</v>
      </c>
      <c r="DY80" s="330">
        <v>40786</v>
      </c>
      <c r="DZ80" s="330">
        <v>40816</v>
      </c>
      <c r="EA80" s="330">
        <v>40847</v>
      </c>
      <c r="EB80" s="330">
        <v>40877</v>
      </c>
      <c r="EC80" s="330">
        <v>40908</v>
      </c>
      <c r="ED80" s="330">
        <v>40939</v>
      </c>
      <c r="EE80" s="330">
        <v>40968</v>
      </c>
      <c r="EF80" s="330">
        <v>40999</v>
      </c>
      <c r="EG80" s="330">
        <v>41029</v>
      </c>
      <c r="EH80" s="330">
        <v>41060</v>
      </c>
      <c r="EI80" s="330">
        <v>41090</v>
      </c>
      <c r="EJ80" s="330">
        <v>41121</v>
      </c>
      <c r="EK80" s="330">
        <v>41152</v>
      </c>
      <c r="EL80" s="330">
        <v>41182</v>
      </c>
      <c r="EM80" s="330">
        <v>41213</v>
      </c>
      <c r="EN80" s="330">
        <v>41243</v>
      </c>
      <c r="EO80" s="330">
        <v>41274</v>
      </c>
      <c r="EP80" s="330">
        <v>41305</v>
      </c>
      <c r="EQ80" s="330">
        <v>41333</v>
      </c>
      <c r="ER80" s="330">
        <v>41364</v>
      </c>
      <c r="ES80" s="330">
        <v>41394</v>
      </c>
      <c r="ET80" s="330">
        <v>41425</v>
      </c>
      <c r="EU80" s="330">
        <v>41455</v>
      </c>
      <c r="EV80" s="330">
        <v>41486</v>
      </c>
      <c r="EW80" s="330">
        <v>41517</v>
      </c>
      <c r="EX80" s="330">
        <v>41547</v>
      </c>
      <c r="EY80" s="330">
        <v>41578</v>
      </c>
      <c r="EZ80" s="330">
        <v>41608</v>
      </c>
      <c r="FA80" s="330">
        <v>41639</v>
      </c>
      <c r="FB80" s="330">
        <v>41670</v>
      </c>
      <c r="FC80" s="330">
        <v>41698</v>
      </c>
      <c r="FD80" s="330">
        <v>41729</v>
      </c>
      <c r="FE80" s="330">
        <v>41759</v>
      </c>
      <c r="FF80" s="330">
        <v>41790</v>
      </c>
      <c r="FG80" s="330">
        <v>41820</v>
      </c>
      <c r="FH80" s="330">
        <v>41851</v>
      </c>
      <c r="FI80" s="330">
        <v>41882</v>
      </c>
      <c r="FJ80" s="330">
        <v>41912</v>
      </c>
      <c r="FK80" s="330">
        <v>41943</v>
      </c>
      <c r="FL80" s="330">
        <v>41973</v>
      </c>
      <c r="FM80" s="330">
        <v>42004</v>
      </c>
      <c r="FN80" s="330">
        <v>42035</v>
      </c>
      <c r="FO80" s="330">
        <v>42063</v>
      </c>
      <c r="FP80" s="330">
        <v>42094</v>
      </c>
      <c r="FQ80" s="330">
        <v>42124</v>
      </c>
      <c r="FR80" s="330">
        <v>42155</v>
      </c>
      <c r="FS80" s="330">
        <v>42185</v>
      </c>
      <c r="FT80" s="330">
        <v>42216</v>
      </c>
      <c r="FU80" s="330">
        <v>42247</v>
      </c>
      <c r="FV80" s="330">
        <v>42277</v>
      </c>
      <c r="FW80" s="330">
        <v>42308</v>
      </c>
      <c r="FX80" s="330">
        <v>42338</v>
      </c>
      <c r="FY80" s="330">
        <v>42369</v>
      </c>
      <c r="FZ80" s="330">
        <v>42400</v>
      </c>
      <c r="GA80" s="330">
        <v>42429</v>
      </c>
      <c r="GB80" s="330">
        <v>42460</v>
      </c>
      <c r="GC80" s="330">
        <v>42490</v>
      </c>
      <c r="GD80" s="330">
        <v>42521</v>
      </c>
      <c r="GE80" s="330">
        <v>42551</v>
      </c>
      <c r="GF80" s="330">
        <v>42582</v>
      </c>
      <c r="GG80" s="330">
        <v>42613</v>
      </c>
      <c r="GH80" s="330">
        <v>42643</v>
      </c>
      <c r="GI80" s="330">
        <v>42674</v>
      </c>
      <c r="GJ80" s="330">
        <v>42704</v>
      </c>
      <c r="GK80" s="330">
        <v>42735</v>
      </c>
      <c r="GL80" s="330">
        <v>42766</v>
      </c>
      <c r="GM80" s="330">
        <v>42794</v>
      </c>
      <c r="GN80" s="330">
        <v>42825</v>
      </c>
      <c r="GO80" s="330">
        <v>42855</v>
      </c>
      <c r="GP80" s="330">
        <v>42886</v>
      </c>
      <c r="GQ80" s="330">
        <v>42916</v>
      </c>
      <c r="GR80" s="330">
        <v>42947</v>
      </c>
      <c r="GS80" s="330">
        <v>42978</v>
      </c>
      <c r="GT80" s="330">
        <v>43008</v>
      </c>
      <c r="GU80" s="330">
        <v>43039</v>
      </c>
      <c r="GV80" s="330">
        <v>43069</v>
      </c>
      <c r="GW80" s="330">
        <v>43100</v>
      </c>
      <c r="GX80" s="330">
        <v>43131</v>
      </c>
      <c r="GY80" s="330">
        <v>43159</v>
      </c>
      <c r="GZ80" s="330">
        <v>43190</v>
      </c>
      <c r="HA80" s="330">
        <v>43220</v>
      </c>
      <c r="HB80" s="330">
        <v>43251</v>
      </c>
      <c r="HC80" s="330">
        <v>43281</v>
      </c>
      <c r="HD80" s="330">
        <v>43312</v>
      </c>
      <c r="HE80" s="330">
        <v>43343</v>
      </c>
      <c r="HF80" s="330">
        <v>43373</v>
      </c>
      <c r="HG80" s="330">
        <v>43404</v>
      </c>
      <c r="HH80" s="330">
        <v>43434</v>
      </c>
      <c r="HI80" s="330">
        <v>43465</v>
      </c>
      <c r="HJ80" s="330">
        <v>43496</v>
      </c>
      <c r="HK80" s="330">
        <v>43524</v>
      </c>
      <c r="HL80" s="330">
        <v>43555</v>
      </c>
      <c r="HM80" s="330">
        <v>43585</v>
      </c>
      <c r="HN80" s="330">
        <v>43616</v>
      </c>
      <c r="HO80" s="330">
        <v>43646</v>
      </c>
      <c r="HP80" s="330">
        <v>43677</v>
      </c>
      <c r="HQ80" s="330">
        <v>43708</v>
      </c>
      <c r="HR80" s="330">
        <v>43738</v>
      </c>
      <c r="HS80" s="330">
        <v>43769</v>
      </c>
      <c r="HT80" s="330">
        <v>43799</v>
      </c>
      <c r="HU80" s="330">
        <v>43830</v>
      </c>
      <c r="HV80" s="330">
        <v>43861</v>
      </c>
      <c r="HW80" s="330">
        <v>43890</v>
      </c>
      <c r="HX80" s="330">
        <v>43921</v>
      </c>
      <c r="HY80" s="330">
        <v>43951</v>
      </c>
      <c r="HZ80" s="330">
        <v>43982</v>
      </c>
      <c r="IA80" s="330">
        <v>44012</v>
      </c>
      <c r="IB80" s="330">
        <v>44043</v>
      </c>
      <c r="IC80" s="330">
        <v>44074</v>
      </c>
      <c r="ID80" s="330">
        <v>44104</v>
      </c>
      <c r="IE80" s="330">
        <v>44135</v>
      </c>
      <c r="IF80" s="330">
        <v>44165</v>
      </c>
      <c r="IG80" s="330">
        <v>44196</v>
      </c>
      <c r="IH80" s="330">
        <v>44227</v>
      </c>
      <c r="II80" s="330">
        <v>44255</v>
      </c>
      <c r="IJ80" s="330">
        <v>44286</v>
      </c>
      <c r="IK80" s="330">
        <v>44316</v>
      </c>
      <c r="IL80" s="330">
        <v>44347</v>
      </c>
      <c r="IM80" s="330">
        <v>44377</v>
      </c>
      <c r="IN80" s="330">
        <v>44408</v>
      </c>
      <c r="IO80" s="330">
        <v>44439</v>
      </c>
      <c r="IP80" s="330">
        <v>44469</v>
      </c>
      <c r="IQ80" s="330">
        <v>44500</v>
      </c>
      <c r="IR80" s="330">
        <v>44530</v>
      </c>
      <c r="IS80" s="330">
        <v>44561</v>
      </c>
      <c r="IT80" s="330">
        <v>44592</v>
      </c>
      <c r="IU80" s="330">
        <v>44620</v>
      </c>
      <c r="IV80" s="330">
        <v>44651</v>
      </c>
      <c r="IW80" s="331">
        <v>44742</v>
      </c>
      <c r="IX80" s="331">
        <v>44834</v>
      </c>
      <c r="IY80" s="331">
        <v>44926</v>
      </c>
      <c r="IZ80" s="331">
        <v>45016</v>
      </c>
      <c r="JA80" s="331">
        <v>45107</v>
      </c>
      <c r="JB80" s="331">
        <v>45199</v>
      </c>
      <c r="JC80" s="331">
        <v>45291</v>
      </c>
      <c r="JD80" s="331">
        <v>45382</v>
      </c>
      <c r="JE80" s="331">
        <v>45473</v>
      </c>
      <c r="JF80" s="331">
        <v>45565</v>
      </c>
      <c r="JG80" s="331">
        <v>45657</v>
      </c>
      <c r="JH80" s="331">
        <v>45747</v>
      </c>
      <c r="JI80" s="331">
        <v>45838</v>
      </c>
      <c r="JJ80" s="331">
        <v>45930</v>
      </c>
      <c r="JK80" s="332">
        <v>46022</v>
      </c>
    </row>
    <row r="81" spans="1:271" x14ac:dyDescent="0.25">
      <c r="A81" s="358" t="s">
        <v>231</v>
      </c>
      <c r="B81" s="304">
        <v>226.20600000000002</v>
      </c>
      <c r="C81" s="304">
        <v>324.43200000000002</v>
      </c>
      <c r="D81" s="304">
        <v>319.61399999999998</v>
      </c>
      <c r="E81" s="304">
        <v>399.99</v>
      </c>
      <c r="F81" s="304">
        <v>376.15199999999999</v>
      </c>
      <c r="G81" s="304">
        <v>408.39600000000002</v>
      </c>
      <c r="H81" s="304">
        <v>409.67399999999998</v>
      </c>
      <c r="I81" s="304">
        <v>383.50799999999998</v>
      </c>
      <c r="J81" s="304">
        <v>440.87400000000002</v>
      </c>
      <c r="K81" s="304">
        <v>495.27</v>
      </c>
      <c r="L81" s="304">
        <v>464.52</v>
      </c>
      <c r="M81" s="304">
        <v>340.99200000000002</v>
      </c>
      <c r="N81" s="304">
        <v>216.22199999999998</v>
      </c>
      <c r="O81" s="304">
        <v>335.73599999999999</v>
      </c>
      <c r="P81" s="304">
        <v>287.334</v>
      </c>
      <c r="Q81" s="304">
        <v>292.67400000000004</v>
      </c>
      <c r="R81" s="304">
        <v>288.73199999999997</v>
      </c>
      <c r="S81" s="304">
        <v>205.01399999999998</v>
      </c>
      <c r="T81" s="304">
        <v>325.34399999999999</v>
      </c>
      <c r="U81" s="304">
        <v>324.60000000000002</v>
      </c>
      <c r="V81" s="304">
        <v>306</v>
      </c>
      <c r="W81" s="304">
        <v>392.25</v>
      </c>
      <c r="X81" s="304">
        <v>375.23400000000004</v>
      </c>
      <c r="Y81" s="304">
        <v>295.08600000000001</v>
      </c>
      <c r="Z81" s="304">
        <v>215.72399999999999</v>
      </c>
      <c r="AA81" s="304">
        <v>329.70600000000002</v>
      </c>
      <c r="AB81" s="304">
        <v>328.87800000000004</v>
      </c>
      <c r="AC81" s="304">
        <v>314.19600000000003</v>
      </c>
      <c r="AD81" s="304">
        <v>380.84399999999999</v>
      </c>
      <c r="AE81" s="304">
        <v>353.77200000000005</v>
      </c>
      <c r="AF81" s="304">
        <v>365.58</v>
      </c>
      <c r="AG81" s="304">
        <v>368.35200000000003</v>
      </c>
      <c r="AH81" s="304">
        <v>379.548</v>
      </c>
      <c r="AI81" s="304">
        <v>303.65999999999997</v>
      </c>
      <c r="AJ81" s="304">
        <v>299.24400000000003</v>
      </c>
      <c r="AK81" s="304">
        <v>254.79599999999999</v>
      </c>
      <c r="AL81" s="304">
        <v>185.322</v>
      </c>
      <c r="AM81" s="304">
        <v>252.50400000000002</v>
      </c>
      <c r="AN81" s="304">
        <v>252.78000000000003</v>
      </c>
      <c r="AO81" s="304">
        <v>311.92200000000003</v>
      </c>
      <c r="AP81" s="304">
        <v>342.45600000000002</v>
      </c>
      <c r="AQ81" s="304">
        <v>359.18399999999997</v>
      </c>
      <c r="AR81" s="304">
        <v>361.416</v>
      </c>
      <c r="AS81" s="304">
        <v>378.19200000000001</v>
      </c>
      <c r="AT81" s="304">
        <v>375.46199999999999</v>
      </c>
      <c r="AU81" s="304">
        <v>361.404</v>
      </c>
      <c r="AV81" s="304">
        <v>408.75600000000003</v>
      </c>
      <c r="AW81" s="304">
        <v>282.858</v>
      </c>
      <c r="AX81" s="304">
        <v>232.85399999999998</v>
      </c>
      <c r="AY81" s="304">
        <v>283.36799999999999</v>
      </c>
      <c r="AZ81" s="304">
        <v>328.48199999999997</v>
      </c>
      <c r="BA81" s="304">
        <v>337.30799999999999</v>
      </c>
      <c r="BB81" s="304">
        <v>411.40800000000002</v>
      </c>
      <c r="BC81" s="304">
        <v>307.53000000000003</v>
      </c>
      <c r="BD81" s="304">
        <v>385.90800000000002</v>
      </c>
      <c r="BE81" s="304">
        <v>374.87400000000002</v>
      </c>
      <c r="BF81" s="304">
        <v>380.11199999999997</v>
      </c>
      <c r="BG81" s="304">
        <v>365.59199999999998</v>
      </c>
      <c r="BH81" s="304">
        <v>367.10399999999998</v>
      </c>
      <c r="BI81" s="304">
        <v>316.68599999999998</v>
      </c>
      <c r="BJ81" s="304">
        <v>262.12199999999996</v>
      </c>
      <c r="BK81" s="304">
        <v>335.46</v>
      </c>
      <c r="BL81" s="304">
        <v>309.50400000000002</v>
      </c>
      <c r="BM81" s="304">
        <v>422.49</v>
      </c>
      <c r="BN81" s="304">
        <v>435.654</v>
      </c>
      <c r="BO81" s="304">
        <v>495.024</v>
      </c>
      <c r="BP81" s="304">
        <v>467.928</v>
      </c>
      <c r="BQ81" s="304">
        <v>496.25400000000002</v>
      </c>
      <c r="BR81" s="304">
        <v>556.11</v>
      </c>
      <c r="BS81" s="304">
        <v>514.10400000000004</v>
      </c>
      <c r="BT81" s="304">
        <v>501.11400000000003</v>
      </c>
      <c r="BU81" s="304">
        <v>407.37599999999998</v>
      </c>
      <c r="BV81" s="304">
        <v>354.93</v>
      </c>
      <c r="BW81" s="304">
        <v>451.00800000000004</v>
      </c>
      <c r="BX81" s="304">
        <v>454.34400000000005</v>
      </c>
      <c r="BY81" s="304">
        <v>482.298</v>
      </c>
      <c r="BZ81" s="304">
        <v>527.21399999999994</v>
      </c>
      <c r="CA81" s="304">
        <v>544.74</v>
      </c>
      <c r="CB81" s="304">
        <v>579.98400000000004</v>
      </c>
      <c r="CC81" s="304">
        <v>563.346</v>
      </c>
      <c r="CD81" s="304">
        <v>663.33</v>
      </c>
      <c r="CE81" s="304">
        <v>681.3</v>
      </c>
      <c r="CF81" s="304">
        <v>713.56799999999998</v>
      </c>
      <c r="CG81" s="304">
        <v>565.54200000000003</v>
      </c>
      <c r="CH81" s="304">
        <v>538.87199999999996</v>
      </c>
      <c r="CI81" s="304">
        <v>809.89800000000002</v>
      </c>
      <c r="CJ81" s="304">
        <v>863.80799999999999</v>
      </c>
      <c r="CK81" s="304">
        <v>973.66199999999992</v>
      </c>
      <c r="CL81" s="304">
        <v>1001.58</v>
      </c>
      <c r="CM81" s="304">
        <v>990.4380000000001</v>
      </c>
      <c r="CN81" s="304">
        <v>1215.1619999999998</v>
      </c>
      <c r="CO81" s="304">
        <v>1205.2739999999999</v>
      </c>
      <c r="CP81" s="304">
        <v>1216.9859999999999</v>
      </c>
      <c r="CQ81" s="304">
        <v>1277.028</v>
      </c>
      <c r="CR81" s="304">
        <v>1140.768</v>
      </c>
      <c r="CS81" s="304">
        <v>867.40200000000004</v>
      </c>
      <c r="CT81" s="304">
        <v>746.87400000000002</v>
      </c>
      <c r="CU81" s="304">
        <v>985.92</v>
      </c>
      <c r="CV81" s="304">
        <v>1076.8440000000001</v>
      </c>
      <c r="CW81" s="304">
        <v>1051.2719999999999</v>
      </c>
      <c r="CX81" s="304">
        <v>1148.712</v>
      </c>
      <c r="CY81" s="304">
        <v>1172.7359999999999</v>
      </c>
      <c r="CZ81" s="304">
        <v>1281.5820000000001</v>
      </c>
      <c r="DA81" s="304">
        <v>1261.998</v>
      </c>
      <c r="DB81" s="304">
        <v>1190.4780000000001</v>
      </c>
      <c r="DC81" s="304">
        <v>1239.6480000000001</v>
      </c>
      <c r="DD81" s="304">
        <v>1223.856</v>
      </c>
      <c r="DE81" s="304">
        <v>1069.836</v>
      </c>
      <c r="DF81" s="304">
        <v>1003.422</v>
      </c>
      <c r="DG81" s="304">
        <v>1131.1559999999999</v>
      </c>
      <c r="DH81" s="304">
        <v>1304.73</v>
      </c>
      <c r="DI81" s="304">
        <v>1230.9780000000001</v>
      </c>
      <c r="DJ81" s="304">
        <v>1353.7860000000001</v>
      </c>
      <c r="DK81" s="304">
        <v>1365.768</v>
      </c>
      <c r="DL81" s="304">
        <v>1446.9659999999999</v>
      </c>
      <c r="DM81" s="304">
        <v>1488.84</v>
      </c>
      <c r="DN81" s="304">
        <v>1400.07</v>
      </c>
      <c r="DO81" s="304">
        <v>1444.3320000000001</v>
      </c>
      <c r="DP81" s="304">
        <v>1574.346</v>
      </c>
      <c r="DQ81" s="304">
        <v>1366.8119999999999</v>
      </c>
      <c r="DR81" s="304">
        <v>990.73200000000008</v>
      </c>
      <c r="DS81" s="304">
        <v>1020.954</v>
      </c>
      <c r="DT81" s="304">
        <v>1231.854</v>
      </c>
      <c r="DU81" s="304">
        <v>1209.654</v>
      </c>
      <c r="DV81" s="304">
        <v>1350.1559999999999</v>
      </c>
      <c r="DW81" s="304">
        <v>1283.808</v>
      </c>
      <c r="DX81" s="304">
        <v>1345.6979999999999</v>
      </c>
      <c r="DY81" s="304">
        <v>1347.096</v>
      </c>
      <c r="DZ81" s="304">
        <v>1340.2739999999999</v>
      </c>
      <c r="EA81" s="304">
        <v>1380.366</v>
      </c>
      <c r="EB81" s="304">
        <v>1362.606</v>
      </c>
      <c r="EC81" s="304">
        <v>1036.146</v>
      </c>
      <c r="ED81" s="304">
        <v>1001.0699999999999</v>
      </c>
      <c r="EE81" s="304">
        <v>1444.92</v>
      </c>
      <c r="EF81" s="304">
        <v>1544.7840000000001</v>
      </c>
      <c r="EG81" s="304">
        <v>1556.1659999999999</v>
      </c>
      <c r="EH81" s="304">
        <v>1548.2820000000002</v>
      </c>
      <c r="EI81" s="304">
        <v>1502.5919999999999</v>
      </c>
      <c r="EJ81" s="304">
        <v>1398.48</v>
      </c>
      <c r="EK81" s="304">
        <v>1338.6960000000001</v>
      </c>
      <c r="EL81" s="304">
        <v>1108.71</v>
      </c>
      <c r="EM81" s="304">
        <v>1117.9499999999998</v>
      </c>
      <c r="EN81" s="304">
        <v>1052.952</v>
      </c>
      <c r="EO81" s="304">
        <v>689.65199999999993</v>
      </c>
      <c r="EP81" s="304">
        <v>629.02200000000005</v>
      </c>
      <c r="EQ81" s="304">
        <v>740.34</v>
      </c>
      <c r="ER81" s="304">
        <v>846.3119999999999</v>
      </c>
      <c r="ES81" s="304">
        <v>950.02199999999993</v>
      </c>
      <c r="ET81" s="304">
        <v>941.23799999999994</v>
      </c>
      <c r="EU81" s="304">
        <v>865.97400000000005</v>
      </c>
      <c r="EV81" s="304">
        <v>983.74199999999996</v>
      </c>
      <c r="EW81" s="304">
        <v>892.572</v>
      </c>
      <c r="EX81" s="304">
        <v>899.53800000000001</v>
      </c>
      <c r="EY81" s="304">
        <v>957.31799999999998</v>
      </c>
      <c r="EZ81" s="304">
        <v>869.41199999999992</v>
      </c>
      <c r="FA81" s="304">
        <v>595.23599999999999</v>
      </c>
      <c r="FB81" s="304">
        <v>574.5</v>
      </c>
      <c r="FC81" s="304">
        <v>726.61799999999994</v>
      </c>
      <c r="FD81" s="304">
        <v>818.06399999999996</v>
      </c>
      <c r="FE81" s="304">
        <v>849.04200000000003</v>
      </c>
      <c r="FF81" s="304">
        <v>923.69999999999993</v>
      </c>
      <c r="FG81" s="304">
        <v>888.33</v>
      </c>
      <c r="FH81" s="304">
        <v>853.50600000000009</v>
      </c>
      <c r="FI81" s="304">
        <v>790.65600000000006</v>
      </c>
      <c r="FJ81" s="304">
        <v>782.84999999999991</v>
      </c>
      <c r="FK81" s="304">
        <v>821.59199999999987</v>
      </c>
      <c r="FL81" s="304">
        <v>751.21800000000007</v>
      </c>
      <c r="FM81" s="304">
        <v>541.34999999999991</v>
      </c>
      <c r="FN81" s="304">
        <v>520.452</v>
      </c>
      <c r="FO81" s="304">
        <v>564.66600000000005</v>
      </c>
      <c r="FP81" s="304">
        <v>762.21600000000001</v>
      </c>
      <c r="FQ81" s="304">
        <v>745.56600000000003</v>
      </c>
      <c r="FR81" s="304">
        <v>751.24800000000005</v>
      </c>
      <c r="FS81" s="304">
        <v>696.64800000000002</v>
      </c>
      <c r="FT81" s="304">
        <v>712.86599999999999</v>
      </c>
      <c r="FU81" s="304">
        <v>668.04599999999994</v>
      </c>
      <c r="FV81" s="304">
        <v>686.67599999999993</v>
      </c>
      <c r="FW81" s="304">
        <v>651.29999999999995</v>
      </c>
      <c r="FX81" s="304">
        <v>609.63</v>
      </c>
      <c r="FY81" s="304">
        <v>438.34199999999998</v>
      </c>
      <c r="FZ81" s="304">
        <v>442.09800000000007</v>
      </c>
      <c r="GA81" s="304">
        <v>546.35400000000004</v>
      </c>
      <c r="GB81" s="304">
        <v>588.98400000000004</v>
      </c>
      <c r="GC81" s="304">
        <v>602.12400000000002</v>
      </c>
      <c r="GD81" s="304">
        <v>686.952</v>
      </c>
      <c r="GE81" s="304">
        <v>622.69200000000001</v>
      </c>
      <c r="GF81" s="304">
        <v>648.58199999999999</v>
      </c>
      <c r="GG81" s="304">
        <v>719.78399999999999</v>
      </c>
      <c r="GH81" s="304">
        <v>876.01200000000006</v>
      </c>
      <c r="GI81" s="304">
        <v>814.452</v>
      </c>
      <c r="GJ81" s="304">
        <v>789.94200000000001</v>
      </c>
      <c r="GK81" s="304">
        <v>562.38</v>
      </c>
      <c r="GL81" s="304">
        <v>543.66600000000005</v>
      </c>
      <c r="GM81" s="304">
        <v>665.202</v>
      </c>
      <c r="GN81" s="304">
        <v>777.81</v>
      </c>
      <c r="GO81" s="304">
        <v>783.83999999999992</v>
      </c>
      <c r="GP81" s="304">
        <v>842.80799999999999</v>
      </c>
      <c r="GQ81" s="304">
        <v>798.76799999999992</v>
      </c>
      <c r="GR81" s="304">
        <v>744.37199999999996</v>
      </c>
      <c r="GS81" s="304">
        <v>750.66</v>
      </c>
      <c r="GT81" s="304">
        <v>821.83800000000008</v>
      </c>
      <c r="GU81" s="304">
        <v>840.50400000000002</v>
      </c>
      <c r="GV81" s="304">
        <v>833.322</v>
      </c>
      <c r="GW81" s="304">
        <v>642.13799999999992</v>
      </c>
      <c r="GX81" s="304">
        <v>653.86200000000008</v>
      </c>
      <c r="GY81" s="304">
        <v>748.05600000000004</v>
      </c>
      <c r="GZ81" s="304">
        <v>932.84399999999994</v>
      </c>
      <c r="HA81" s="304">
        <v>1002.318</v>
      </c>
      <c r="HB81" s="304">
        <v>1098.2460000000001</v>
      </c>
      <c r="HC81" s="304">
        <v>1061.79</v>
      </c>
      <c r="HD81" s="304">
        <v>1017.222</v>
      </c>
      <c r="HE81" s="304">
        <v>986.79</v>
      </c>
      <c r="HF81" s="304">
        <v>954.62400000000002</v>
      </c>
      <c r="HG81" s="304">
        <v>1032.204</v>
      </c>
      <c r="HH81" s="304">
        <v>991.66799999999989</v>
      </c>
      <c r="HI81" s="304">
        <v>689.5440000000001</v>
      </c>
      <c r="HJ81" s="304">
        <v>692.322</v>
      </c>
      <c r="HK81" s="304">
        <v>754.8</v>
      </c>
      <c r="HL81" s="304">
        <v>897.06600000000003</v>
      </c>
      <c r="HM81" s="304">
        <v>933.58800000000008</v>
      </c>
      <c r="HN81" s="304">
        <v>1085.442</v>
      </c>
      <c r="HO81" s="304">
        <v>1035.4380000000001</v>
      </c>
      <c r="HP81" s="12">
        <v>1040.982</v>
      </c>
      <c r="HQ81" s="12">
        <v>1085.5140000000001</v>
      </c>
      <c r="HR81" s="12">
        <v>1070.0340000000001</v>
      </c>
      <c r="HS81" s="12">
        <v>1122.558</v>
      </c>
      <c r="HT81" s="12">
        <v>1048.4460000000001</v>
      </c>
      <c r="HU81" s="12">
        <v>743.51400000000001</v>
      </c>
      <c r="HV81" s="304">
        <v>743.28</v>
      </c>
      <c r="HW81" s="304">
        <v>897.048</v>
      </c>
      <c r="HX81" s="304">
        <v>1015.914</v>
      </c>
      <c r="HY81" s="304">
        <v>802.58400000000006</v>
      </c>
      <c r="HZ81" s="304">
        <v>1019.46</v>
      </c>
      <c r="IA81" s="304">
        <v>1114.3139999999999</v>
      </c>
      <c r="IB81" s="304">
        <v>1226.5919999999999</v>
      </c>
      <c r="IC81" s="304">
        <v>1211.106</v>
      </c>
      <c r="ID81" s="304">
        <v>1219.5239999999999</v>
      </c>
      <c r="IE81" s="304">
        <v>1232.0219999999999</v>
      </c>
      <c r="IF81" s="304">
        <v>1205.6220000000001</v>
      </c>
      <c r="IG81" s="304">
        <v>893.76600000000008</v>
      </c>
      <c r="IH81" s="304">
        <v>862.00800000000004</v>
      </c>
      <c r="II81" s="304">
        <v>1048.8600000000001</v>
      </c>
      <c r="IJ81" s="304">
        <v>1359.096</v>
      </c>
      <c r="IK81" s="304">
        <v>1328.3820000000001</v>
      </c>
      <c r="IL81" s="304">
        <v>1462.1580000000001</v>
      </c>
      <c r="IM81" s="304">
        <v>1415.2860000000001</v>
      </c>
      <c r="IN81" s="12">
        <v>1421.1179999999999</v>
      </c>
      <c r="IO81" s="12">
        <v>1528.5120000000002</v>
      </c>
      <c r="IP81" s="12">
        <v>1472.97</v>
      </c>
      <c r="IQ81" s="12">
        <v>1513.758</v>
      </c>
      <c r="IR81" s="12">
        <v>1456.3320000000001</v>
      </c>
      <c r="IS81" s="12">
        <v>1015.9559999999999</v>
      </c>
      <c r="IT81" s="12">
        <v>1015.17</v>
      </c>
      <c r="IU81" s="12">
        <v>1256.8799999999999</v>
      </c>
      <c r="IV81" s="12">
        <v>1455.9119999999998</v>
      </c>
      <c r="IW81" s="12">
        <v>1562.9259999999999</v>
      </c>
      <c r="IX81" s="12">
        <v>1770.0419999999999</v>
      </c>
      <c r="IY81" s="12">
        <v>1538.7360000000001</v>
      </c>
      <c r="IZ81" s="12">
        <v>1356.7760000000001</v>
      </c>
      <c r="JA81" s="12">
        <v>1597.518</v>
      </c>
      <c r="JB81" s="12">
        <v>1719.23</v>
      </c>
      <c r="JC81" s="12">
        <v>1496.982</v>
      </c>
      <c r="JD81" s="12">
        <v>1279.096</v>
      </c>
      <c r="JE81" s="12">
        <v>1582.18</v>
      </c>
      <c r="JF81" s="12">
        <v>1506.9580000000001</v>
      </c>
      <c r="JG81" s="12">
        <v>1272.8879999999999</v>
      </c>
      <c r="JH81" s="12">
        <v>1090.8579999999999</v>
      </c>
      <c r="JI81" s="12">
        <v>1440.35</v>
      </c>
      <c r="JJ81" s="12">
        <v>1495.096</v>
      </c>
      <c r="JK81" s="336">
        <v>1490.7139999999999</v>
      </c>
    </row>
    <row r="82" spans="1:271" x14ac:dyDescent="0.25">
      <c r="A82" s="358" t="s">
        <v>232</v>
      </c>
      <c r="B82" s="333">
        <v>83.76</v>
      </c>
      <c r="C82" s="333">
        <v>141.31200000000001</v>
      </c>
      <c r="D82" s="333">
        <v>175.572</v>
      </c>
      <c r="E82" s="333">
        <v>222.54599999999999</v>
      </c>
      <c r="F82" s="333">
        <v>240.20400000000001</v>
      </c>
      <c r="G82" s="333">
        <v>267.58199999999999</v>
      </c>
      <c r="H82" s="301">
        <v>304.96800000000002</v>
      </c>
      <c r="I82" s="301">
        <v>278.90999999999997</v>
      </c>
      <c r="J82" s="301">
        <v>299.36399999999998</v>
      </c>
      <c r="K82" s="301">
        <v>273.69600000000003</v>
      </c>
      <c r="L82" s="301">
        <v>199.89</v>
      </c>
      <c r="M82" s="301">
        <v>174.036</v>
      </c>
      <c r="N82" s="301">
        <v>107.05199999999999</v>
      </c>
      <c r="O82" s="301">
        <v>129.93</v>
      </c>
      <c r="P82" s="301">
        <v>123.366</v>
      </c>
      <c r="Q82" s="301">
        <v>130.14599999999999</v>
      </c>
      <c r="R82" s="301">
        <v>144.102</v>
      </c>
      <c r="S82" s="301">
        <v>131.94</v>
      </c>
      <c r="T82" s="301">
        <v>198.94199999999998</v>
      </c>
      <c r="U82" s="301">
        <v>201.94800000000001</v>
      </c>
      <c r="V82" s="301">
        <v>193.56</v>
      </c>
      <c r="W82" s="301">
        <v>227.46600000000001</v>
      </c>
      <c r="X82" s="301">
        <v>209.24400000000003</v>
      </c>
      <c r="Y82" s="301">
        <v>128.67600000000002</v>
      </c>
      <c r="Z82" s="301">
        <v>69.989999999999995</v>
      </c>
      <c r="AA82" s="301">
        <v>112.21200000000002</v>
      </c>
      <c r="AB82" s="301">
        <v>132.702</v>
      </c>
      <c r="AC82" s="301">
        <v>135.09</v>
      </c>
      <c r="AD82" s="301">
        <v>178.89000000000001</v>
      </c>
      <c r="AE82" s="301">
        <v>220.21199999999999</v>
      </c>
      <c r="AF82" s="301">
        <v>212.38800000000003</v>
      </c>
      <c r="AG82" s="301">
        <v>195.09</v>
      </c>
      <c r="AH82" s="301">
        <v>173.274</v>
      </c>
      <c r="AI82" s="301">
        <v>166.35599999999999</v>
      </c>
      <c r="AJ82" s="301">
        <v>218.29199999999997</v>
      </c>
      <c r="AK82" s="301">
        <v>127.008</v>
      </c>
      <c r="AL82" s="301">
        <v>203.67599999999999</v>
      </c>
      <c r="AM82" s="301">
        <v>194.86799999999999</v>
      </c>
      <c r="AN82" s="301">
        <v>174.714</v>
      </c>
      <c r="AO82" s="301">
        <v>231.39600000000002</v>
      </c>
      <c r="AP82" s="301">
        <v>353.10599999999999</v>
      </c>
      <c r="AQ82" s="301">
        <v>376.59000000000003</v>
      </c>
      <c r="AR82" s="301">
        <v>371.79599999999999</v>
      </c>
      <c r="AS82" s="301">
        <v>441.76800000000003</v>
      </c>
      <c r="AT82" s="301">
        <v>542.73</v>
      </c>
      <c r="AU82" s="301">
        <v>508.84199999999998</v>
      </c>
      <c r="AV82" s="301">
        <v>550.16999999999996</v>
      </c>
      <c r="AW82" s="301">
        <v>357.27600000000001</v>
      </c>
      <c r="AX82" s="301">
        <v>334.56600000000003</v>
      </c>
      <c r="AY82" s="301">
        <v>395.178</v>
      </c>
      <c r="AZ82" s="301">
        <v>503.346</v>
      </c>
      <c r="BA82" s="301">
        <v>459.87599999999998</v>
      </c>
      <c r="BB82" s="301">
        <v>506.55600000000004</v>
      </c>
      <c r="BC82" s="301">
        <v>448.84800000000007</v>
      </c>
      <c r="BD82" s="301">
        <v>531.97799999999995</v>
      </c>
      <c r="BE82" s="301">
        <v>520.64400000000001</v>
      </c>
      <c r="BF82" s="301">
        <v>587.98800000000006</v>
      </c>
      <c r="BG82" s="301">
        <v>541.23599999999999</v>
      </c>
      <c r="BH82" s="301">
        <v>550.08000000000004</v>
      </c>
      <c r="BI82" s="301">
        <v>332.47799999999995</v>
      </c>
      <c r="BJ82" s="301">
        <v>294.48599999999999</v>
      </c>
      <c r="BK82" s="301">
        <v>337.37400000000002</v>
      </c>
      <c r="BL82" s="301">
        <v>411.78</v>
      </c>
      <c r="BM82" s="301">
        <v>365.238</v>
      </c>
      <c r="BN82" s="301">
        <v>474.23400000000004</v>
      </c>
      <c r="BO82" s="301">
        <v>608.29200000000003</v>
      </c>
      <c r="BP82" s="301">
        <v>699.03600000000006</v>
      </c>
      <c r="BQ82" s="301">
        <v>624.51599999999996</v>
      </c>
      <c r="BR82" s="301">
        <v>738.35400000000004</v>
      </c>
      <c r="BS82" s="301">
        <v>866.84399999999994</v>
      </c>
      <c r="BT82" s="301">
        <v>801.58800000000008</v>
      </c>
      <c r="BU82" s="301">
        <v>431.85599999999999</v>
      </c>
      <c r="BV82" s="301">
        <v>347.34000000000003</v>
      </c>
      <c r="BW82" s="301">
        <v>517.23599999999999</v>
      </c>
      <c r="BX82" s="301">
        <v>619.11</v>
      </c>
      <c r="BY82" s="301">
        <v>710.19600000000003</v>
      </c>
      <c r="BZ82" s="301">
        <v>1069.83</v>
      </c>
      <c r="CA82" s="301">
        <v>1231.296</v>
      </c>
      <c r="CB82" s="301">
        <v>1071.5639999999999</v>
      </c>
      <c r="CC82" s="301">
        <v>1159.3499999999999</v>
      </c>
      <c r="CD82" s="301">
        <v>1305.9179999999999</v>
      </c>
      <c r="CE82" s="301">
        <v>1414.02</v>
      </c>
      <c r="CF82" s="301">
        <v>1481.1659999999999</v>
      </c>
      <c r="CG82" s="301">
        <v>1053.558</v>
      </c>
      <c r="CH82" s="301">
        <v>817.48799999999994</v>
      </c>
      <c r="CI82" s="301">
        <v>1120.7280000000001</v>
      </c>
      <c r="CJ82" s="301">
        <v>1350.5520000000001</v>
      </c>
      <c r="CK82" s="301">
        <v>1444.6679999999999</v>
      </c>
      <c r="CL82" s="301">
        <v>1413.0720000000001</v>
      </c>
      <c r="CM82" s="301">
        <v>1648.578</v>
      </c>
      <c r="CN82" s="301">
        <v>1799.6100000000001</v>
      </c>
      <c r="CO82" s="301">
        <v>1998.7859999999998</v>
      </c>
      <c r="CP82" s="301">
        <v>1905.8820000000001</v>
      </c>
      <c r="CQ82" s="301">
        <v>1933.1399999999999</v>
      </c>
      <c r="CR82" s="301">
        <v>1769.5259999999998</v>
      </c>
      <c r="CS82" s="301">
        <v>1380.252</v>
      </c>
      <c r="CT82" s="301">
        <v>528.45000000000005</v>
      </c>
      <c r="CU82" s="301">
        <v>656.24399999999991</v>
      </c>
      <c r="CV82" s="301">
        <v>757.33799999999997</v>
      </c>
      <c r="CW82" s="301">
        <v>914.62799999999993</v>
      </c>
      <c r="CX82" s="301">
        <v>1109.9460000000001</v>
      </c>
      <c r="CY82" s="301">
        <v>1157.31</v>
      </c>
      <c r="CZ82" s="301">
        <v>1392.21</v>
      </c>
      <c r="DA82" s="301">
        <v>1404.366</v>
      </c>
      <c r="DB82" s="301">
        <v>1603.5</v>
      </c>
      <c r="DC82" s="301">
        <v>1848.492</v>
      </c>
      <c r="DD82" s="301">
        <v>1864.098</v>
      </c>
      <c r="DE82" s="301">
        <v>1389.6420000000001</v>
      </c>
      <c r="DF82" s="301">
        <v>969.58800000000008</v>
      </c>
      <c r="DG82" s="301">
        <v>1383.5940000000001</v>
      </c>
      <c r="DH82" s="301">
        <v>1635.6119999999999</v>
      </c>
      <c r="DI82" s="301">
        <v>1931.8980000000001</v>
      </c>
      <c r="DJ82" s="301">
        <v>2041.59</v>
      </c>
      <c r="DK82" s="301">
        <v>2132.9580000000001</v>
      </c>
      <c r="DL82" s="301">
        <v>2222.712</v>
      </c>
      <c r="DM82" s="301">
        <v>2160.4740000000002</v>
      </c>
      <c r="DN82" s="301">
        <v>2220.636</v>
      </c>
      <c r="DO82" s="301">
        <v>2280.1379999999999</v>
      </c>
      <c r="DP82" s="301">
        <v>2403.3959999999997</v>
      </c>
      <c r="DQ82" s="301">
        <v>1580.598</v>
      </c>
      <c r="DR82" s="301">
        <v>1244.124</v>
      </c>
      <c r="DS82" s="301">
        <v>1511.6279999999999</v>
      </c>
      <c r="DT82" s="301">
        <v>2073.9180000000001</v>
      </c>
      <c r="DU82" s="301">
        <v>2391.9119999999998</v>
      </c>
      <c r="DV82" s="301">
        <v>2559.7259999999997</v>
      </c>
      <c r="DW82" s="301">
        <v>2738.61</v>
      </c>
      <c r="DX82" s="301">
        <v>2629.02</v>
      </c>
      <c r="DY82" s="301">
        <v>2797.6980000000003</v>
      </c>
      <c r="DZ82" s="301">
        <v>2864.6040000000003</v>
      </c>
      <c r="EA82" s="301">
        <v>3064.89</v>
      </c>
      <c r="EB82" s="301">
        <v>3164.13</v>
      </c>
      <c r="EC82" s="301">
        <v>1996.134</v>
      </c>
      <c r="ED82" s="301">
        <v>1301.682</v>
      </c>
      <c r="EE82" s="301">
        <v>2539.7640000000001</v>
      </c>
      <c r="EF82" s="301">
        <v>2533.1819999999998</v>
      </c>
      <c r="EG82" s="301">
        <v>2659.8959999999997</v>
      </c>
      <c r="EH82" s="301">
        <v>2849.5739999999996</v>
      </c>
      <c r="EI82" s="301">
        <v>2636.076</v>
      </c>
      <c r="EJ82" s="301">
        <v>2626.6499999999996</v>
      </c>
      <c r="EK82" s="301">
        <v>2586.288</v>
      </c>
      <c r="EL82" s="301">
        <v>2303.8679999999999</v>
      </c>
      <c r="EM82" s="301">
        <v>2075.8500000000004</v>
      </c>
      <c r="EN82" s="301">
        <v>1984.674</v>
      </c>
      <c r="EO82" s="301">
        <v>1189.038</v>
      </c>
      <c r="EP82" s="301">
        <v>731.36400000000003</v>
      </c>
      <c r="EQ82" s="301">
        <v>1290.5940000000001</v>
      </c>
      <c r="ER82" s="301">
        <v>1389.7260000000001</v>
      </c>
      <c r="ES82" s="301">
        <v>1636.002</v>
      </c>
      <c r="ET82" s="301">
        <v>1718.808</v>
      </c>
      <c r="EU82" s="301">
        <v>1654.1999999999998</v>
      </c>
      <c r="EV82" s="301">
        <v>1581.3540000000003</v>
      </c>
      <c r="EW82" s="301">
        <v>1722.3239999999998</v>
      </c>
      <c r="EX82" s="301">
        <v>1940.8019999999999</v>
      </c>
      <c r="EY82" s="301">
        <v>1906.7820000000002</v>
      </c>
      <c r="EZ82" s="301">
        <v>1966.7400000000002</v>
      </c>
      <c r="FA82" s="301">
        <v>1125.54</v>
      </c>
      <c r="FB82" s="301">
        <v>705.44399999999996</v>
      </c>
      <c r="FC82" s="301">
        <v>1102.596</v>
      </c>
      <c r="FD82" s="301">
        <v>1425.414</v>
      </c>
      <c r="FE82" s="301">
        <v>1615.3920000000003</v>
      </c>
      <c r="FF82" s="301">
        <v>1819.4339999999997</v>
      </c>
      <c r="FG82" s="301">
        <v>1771.2840000000001</v>
      </c>
      <c r="FH82" s="301">
        <v>1668.7080000000001</v>
      </c>
      <c r="FI82" s="301">
        <v>1567.578</v>
      </c>
      <c r="FJ82" s="301">
        <v>1673.2379999999998</v>
      </c>
      <c r="FK82" s="301">
        <v>1716.9059999999999</v>
      </c>
      <c r="FL82" s="301">
        <v>1740.1860000000001</v>
      </c>
      <c r="FM82" s="301">
        <v>878.53199999999993</v>
      </c>
      <c r="FN82" s="301">
        <v>497.964</v>
      </c>
      <c r="FO82" s="301">
        <v>869.37599999999998</v>
      </c>
      <c r="FP82" s="301">
        <v>1256.4780000000001</v>
      </c>
      <c r="FQ82" s="301">
        <v>1261.5239999999999</v>
      </c>
      <c r="FR82" s="301">
        <v>1215.5639999999999</v>
      </c>
      <c r="FS82" s="301">
        <v>1337.5619999999999</v>
      </c>
      <c r="FT82" s="301">
        <v>1436.076</v>
      </c>
      <c r="FU82" s="301">
        <v>1545.1499999999999</v>
      </c>
      <c r="FV82" s="301">
        <v>1521.72</v>
      </c>
      <c r="FW82" s="301">
        <v>1492.0319999999999</v>
      </c>
      <c r="FX82" s="301">
        <v>1588.5359999999998</v>
      </c>
      <c r="FY82" s="301">
        <v>970.64400000000001</v>
      </c>
      <c r="FZ82" s="301">
        <v>466.69799999999998</v>
      </c>
      <c r="GA82" s="301">
        <v>999.37799999999993</v>
      </c>
      <c r="GB82" s="301">
        <v>1293.4680000000001</v>
      </c>
      <c r="GC82" s="301">
        <v>1408.3620000000001</v>
      </c>
      <c r="GD82" s="301">
        <v>1417.098</v>
      </c>
      <c r="GE82" s="301">
        <v>1283.0520000000001</v>
      </c>
      <c r="GF82" s="301">
        <v>1241.3820000000001</v>
      </c>
      <c r="GG82" s="301">
        <v>1549.8000000000002</v>
      </c>
      <c r="GH82" s="301">
        <v>1529.9460000000001</v>
      </c>
      <c r="GI82" s="301">
        <v>1603.596</v>
      </c>
      <c r="GJ82" s="301">
        <v>1671.318</v>
      </c>
      <c r="GK82" s="301">
        <v>865.94999999999993</v>
      </c>
      <c r="GL82" s="301">
        <v>422.18400000000003</v>
      </c>
      <c r="GM82" s="301">
        <v>956.19600000000014</v>
      </c>
      <c r="GN82" s="301">
        <v>1253.5740000000001</v>
      </c>
      <c r="GO82" s="301">
        <v>1448.8920000000001</v>
      </c>
      <c r="GP82" s="301">
        <v>1761.87</v>
      </c>
      <c r="GQ82" s="301">
        <v>1653.06</v>
      </c>
      <c r="GR82" s="301">
        <v>1669.08</v>
      </c>
      <c r="GS82" s="301">
        <v>1639.41</v>
      </c>
      <c r="GT82" s="301">
        <v>1757.28</v>
      </c>
      <c r="GU82" s="301">
        <v>1799.2979999999998</v>
      </c>
      <c r="GV82" s="301">
        <v>1859.8980000000001</v>
      </c>
      <c r="GW82" s="301">
        <v>1113.33</v>
      </c>
      <c r="GX82" s="301">
        <v>675.67200000000003</v>
      </c>
      <c r="GY82" s="301">
        <v>1383.306</v>
      </c>
      <c r="GZ82" s="301">
        <v>1735.98</v>
      </c>
      <c r="HA82" s="301">
        <v>1997.19</v>
      </c>
      <c r="HB82" s="301">
        <v>2129.73</v>
      </c>
      <c r="HC82" s="301">
        <v>1964.46</v>
      </c>
      <c r="HD82" s="301">
        <v>1861.4279999999999</v>
      </c>
      <c r="HE82" s="301">
        <v>1923.9839999999999</v>
      </c>
      <c r="HF82" s="301">
        <v>1926.4499999999998</v>
      </c>
      <c r="HG82" s="301">
        <v>2138.3579999999997</v>
      </c>
      <c r="HH82" s="301">
        <v>2021.7599999999998</v>
      </c>
      <c r="HI82" s="301">
        <v>1201.77</v>
      </c>
      <c r="HJ82" s="301">
        <v>953.76</v>
      </c>
      <c r="HK82" s="301">
        <v>1531.8899999999999</v>
      </c>
      <c r="HL82" s="301">
        <v>2062.2599999999998</v>
      </c>
      <c r="HM82" s="301">
        <v>2347.404</v>
      </c>
      <c r="HN82" s="301">
        <v>2593.578</v>
      </c>
      <c r="HO82" s="301">
        <v>2671.944</v>
      </c>
      <c r="HP82" s="301">
        <v>2684.7359999999999</v>
      </c>
      <c r="HQ82" s="301">
        <v>2828.0819999999999</v>
      </c>
      <c r="HR82" s="301">
        <v>2771.0039999999999</v>
      </c>
      <c r="HS82" s="301">
        <v>2786.9160000000002</v>
      </c>
      <c r="HT82" s="301">
        <v>2749.1819999999998</v>
      </c>
      <c r="HU82" s="301">
        <v>1656.96</v>
      </c>
      <c r="HV82" s="301">
        <v>1293.5160000000001</v>
      </c>
      <c r="HW82" s="301">
        <v>2182.3319999999999</v>
      </c>
      <c r="HX82" s="301">
        <v>2648.172</v>
      </c>
      <c r="HY82" s="301">
        <v>2071.386</v>
      </c>
      <c r="HZ82" s="301">
        <v>2312.3820000000001</v>
      </c>
      <c r="IA82" s="301">
        <v>2568.4560000000001</v>
      </c>
      <c r="IB82" s="301">
        <v>2960.0099999999998</v>
      </c>
      <c r="IC82" s="301">
        <v>3069.48</v>
      </c>
      <c r="ID82" s="301">
        <v>3107.6880000000001</v>
      </c>
      <c r="IE82" s="301">
        <v>3291.2999999999997</v>
      </c>
      <c r="IF82" s="301">
        <v>3159.1080000000002</v>
      </c>
      <c r="IG82" s="301">
        <v>2062.5240000000003</v>
      </c>
      <c r="IH82" s="301">
        <v>1709.328</v>
      </c>
      <c r="II82" s="301">
        <v>2298.48</v>
      </c>
      <c r="IJ82" s="301">
        <v>3292.5480000000002</v>
      </c>
      <c r="IK82" s="301">
        <v>3424.3140000000003</v>
      </c>
      <c r="IL82" s="301">
        <v>3558.66</v>
      </c>
      <c r="IM82" s="301">
        <v>3637.7939999999999</v>
      </c>
      <c r="IN82" s="333">
        <v>3602.6880000000001</v>
      </c>
      <c r="IO82" s="333">
        <v>3789.4139999999998</v>
      </c>
      <c r="IP82" s="333">
        <v>3815.2200000000003</v>
      </c>
      <c r="IQ82" s="333">
        <v>3954.75</v>
      </c>
      <c r="IR82" s="333">
        <v>3834.6660000000002</v>
      </c>
      <c r="IS82" s="333">
        <v>2288.652</v>
      </c>
      <c r="IT82" s="333">
        <v>2030.25</v>
      </c>
      <c r="IU82" s="333">
        <v>2531.73</v>
      </c>
      <c r="IV82" s="333">
        <v>3177.6959999999999</v>
      </c>
      <c r="IW82" s="334">
        <v>3456.85</v>
      </c>
      <c r="IX82" s="334">
        <v>3224.9859999999999</v>
      </c>
      <c r="IY82" s="334">
        <v>2843.6419999999998</v>
      </c>
      <c r="IZ82" s="334">
        <v>1953.4739999999999</v>
      </c>
      <c r="JA82" s="334">
        <v>2553.1379999999999</v>
      </c>
      <c r="JB82" s="334">
        <v>2747.1880000000001</v>
      </c>
      <c r="JC82" s="334">
        <v>2467.73</v>
      </c>
      <c r="JD82" s="334">
        <v>2372.54</v>
      </c>
      <c r="JE82" s="334">
        <v>3119.942</v>
      </c>
      <c r="JF82" s="334">
        <v>3156.0120000000002</v>
      </c>
      <c r="JG82" s="334">
        <v>2709.4780000000001</v>
      </c>
      <c r="JH82" s="334">
        <v>2438.386</v>
      </c>
      <c r="JI82" s="334">
        <v>3260.346</v>
      </c>
      <c r="JJ82" s="334">
        <v>3613.7820000000002</v>
      </c>
      <c r="JK82" s="335">
        <v>3342.558</v>
      </c>
    </row>
    <row r="83" spans="1:271" ht="15.75" thickBot="1" x14ac:dyDescent="0.3">
      <c r="A83" s="359" t="s">
        <v>98</v>
      </c>
      <c r="B83" s="360">
        <v>309.96600000000001</v>
      </c>
      <c r="C83" s="360">
        <v>465.74399999999997</v>
      </c>
      <c r="D83" s="360">
        <v>495.18600000000004</v>
      </c>
      <c r="E83" s="360">
        <v>622.53600000000006</v>
      </c>
      <c r="F83" s="360">
        <v>616.35599999999999</v>
      </c>
      <c r="G83" s="360">
        <v>675.97799999999995</v>
      </c>
      <c r="H83" s="360">
        <v>714.64200000000005</v>
      </c>
      <c r="I83" s="360">
        <v>662.41800000000001</v>
      </c>
      <c r="J83" s="360">
        <v>740.23800000000006</v>
      </c>
      <c r="K83" s="360">
        <v>768.96600000000001</v>
      </c>
      <c r="L83" s="360">
        <v>664.41</v>
      </c>
      <c r="M83" s="360">
        <v>515.02800000000002</v>
      </c>
      <c r="N83" s="360">
        <v>323.274</v>
      </c>
      <c r="O83" s="360">
        <v>465.66600000000005</v>
      </c>
      <c r="P83" s="360">
        <v>410.70000000000005</v>
      </c>
      <c r="Q83" s="360">
        <v>422.82</v>
      </c>
      <c r="R83" s="360">
        <v>432.83399999999995</v>
      </c>
      <c r="S83" s="360">
        <v>336.95400000000001</v>
      </c>
      <c r="T83" s="360">
        <v>524.28600000000006</v>
      </c>
      <c r="U83" s="360">
        <v>526.548</v>
      </c>
      <c r="V83" s="360">
        <v>499.56000000000006</v>
      </c>
      <c r="W83" s="360">
        <v>619.71600000000001</v>
      </c>
      <c r="X83" s="360">
        <v>584.47799999999995</v>
      </c>
      <c r="Y83" s="360">
        <v>423.76199999999994</v>
      </c>
      <c r="Z83" s="360">
        <v>285.714</v>
      </c>
      <c r="AA83" s="360">
        <v>441.91800000000001</v>
      </c>
      <c r="AB83" s="360">
        <v>461.58000000000004</v>
      </c>
      <c r="AC83" s="360">
        <v>449.286</v>
      </c>
      <c r="AD83" s="360">
        <v>559.73400000000004</v>
      </c>
      <c r="AE83" s="360">
        <v>573.98400000000004</v>
      </c>
      <c r="AF83" s="360">
        <v>577.96800000000007</v>
      </c>
      <c r="AG83" s="360">
        <v>563.44200000000001</v>
      </c>
      <c r="AH83" s="360">
        <v>552.822</v>
      </c>
      <c r="AI83" s="360">
        <v>470.01599999999996</v>
      </c>
      <c r="AJ83" s="360">
        <v>517.53600000000006</v>
      </c>
      <c r="AK83" s="360">
        <v>381.80399999999997</v>
      </c>
      <c r="AL83" s="360">
        <v>388.99799999999999</v>
      </c>
      <c r="AM83" s="360">
        <v>447.37199999999996</v>
      </c>
      <c r="AN83" s="360">
        <v>427.49399999999997</v>
      </c>
      <c r="AO83" s="360">
        <v>543.31799999999998</v>
      </c>
      <c r="AP83" s="360">
        <v>695.56200000000001</v>
      </c>
      <c r="AQ83" s="360">
        <v>735.774</v>
      </c>
      <c r="AR83" s="360">
        <v>733.21199999999999</v>
      </c>
      <c r="AS83" s="360">
        <v>819.96</v>
      </c>
      <c r="AT83" s="360">
        <v>918.19200000000001</v>
      </c>
      <c r="AU83" s="360">
        <v>870.24599999999998</v>
      </c>
      <c r="AV83" s="360">
        <v>958.92599999999993</v>
      </c>
      <c r="AW83" s="360">
        <v>640.13400000000001</v>
      </c>
      <c r="AX83" s="360">
        <v>567.41999999999996</v>
      </c>
      <c r="AY83" s="360">
        <v>678.54599999999994</v>
      </c>
      <c r="AZ83" s="360">
        <v>831.82799999999997</v>
      </c>
      <c r="BA83" s="360">
        <v>797.18399999999997</v>
      </c>
      <c r="BB83" s="360">
        <v>917.96399999999994</v>
      </c>
      <c r="BC83" s="360">
        <v>756.37800000000004</v>
      </c>
      <c r="BD83" s="360">
        <v>917.88599999999997</v>
      </c>
      <c r="BE83" s="360">
        <v>895.51799999999992</v>
      </c>
      <c r="BF83" s="360">
        <v>968.09999999999991</v>
      </c>
      <c r="BG83" s="360">
        <v>906.82799999999997</v>
      </c>
      <c r="BH83" s="360">
        <v>917.18399999999997</v>
      </c>
      <c r="BI83" s="360">
        <v>649.16399999999999</v>
      </c>
      <c r="BJ83" s="360">
        <v>556.60799999999995</v>
      </c>
      <c r="BK83" s="360">
        <v>672.83399999999995</v>
      </c>
      <c r="BL83" s="360">
        <v>721.28399999999999</v>
      </c>
      <c r="BM83" s="360">
        <v>787.72800000000007</v>
      </c>
      <c r="BN83" s="360">
        <v>909.88799999999992</v>
      </c>
      <c r="BO83" s="360">
        <v>1103.316</v>
      </c>
      <c r="BP83" s="360">
        <v>1166.9639999999999</v>
      </c>
      <c r="BQ83" s="360">
        <v>1120.77</v>
      </c>
      <c r="BR83" s="360">
        <v>1294.4639999999999</v>
      </c>
      <c r="BS83" s="360">
        <v>1380.9479999999999</v>
      </c>
      <c r="BT83" s="360">
        <v>1302.702</v>
      </c>
      <c r="BU83" s="360">
        <v>839.23200000000008</v>
      </c>
      <c r="BV83" s="360">
        <v>702.27</v>
      </c>
      <c r="BW83" s="360">
        <v>968.24399999999991</v>
      </c>
      <c r="BX83" s="360">
        <v>1073.454</v>
      </c>
      <c r="BY83" s="360">
        <v>1192.4939999999999</v>
      </c>
      <c r="BZ83" s="360">
        <v>1597.0439999999999</v>
      </c>
      <c r="CA83" s="360">
        <v>1776.0359999999998</v>
      </c>
      <c r="CB83" s="360">
        <v>1651.5479999999998</v>
      </c>
      <c r="CC83" s="360">
        <v>1722.6959999999999</v>
      </c>
      <c r="CD83" s="360">
        <v>1969.248</v>
      </c>
      <c r="CE83" s="360">
        <v>2095.3200000000002</v>
      </c>
      <c r="CF83" s="360">
        <v>2194.7339999999999</v>
      </c>
      <c r="CG83" s="360">
        <v>1619.1000000000001</v>
      </c>
      <c r="CH83" s="360">
        <v>1356.3600000000001</v>
      </c>
      <c r="CI83" s="360">
        <v>1930.6260000000002</v>
      </c>
      <c r="CJ83" s="360">
        <v>2214.36</v>
      </c>
      <c r="CK83" s="360">
        <v>2418.33</v>
      </c>
      <c r="CL83" s="360">
        <v>2414.652</v>
      </c>
      <c r="CM83" s="360">
        <v>2639.0160000000001</v>
      </c>
      <c r="CN83" s="360">
        <v>3014.7719999999999</v>
      </c>
      <c r="CO83" s="360">
        <v>3204.06</v>
      </c>
      <c r="CP83" s="360">
        <v>3122.8679999999995</v>
      </c>
      <c r="CQ83" s="360">
        <v>3210.1680000000001</v>
      </c>
      <c r="CR83" s="360">
        <v>2910.2939999999999</v>
      </c>
      <c r="CS83" s="360">
        <v>2247.654</v>
      </c>
      <c r="CT83" s="360">
        <v>1275.3240000000001</v>
      </c>
      <c r="CU83" s="360">
        <v>1642.1640000000002</v>
      </c>
      <c r="CV83" s="360">
        <v>1834.182</v>
      </c>
      <c r="CW83" s="360">
        <v>1965.8999999999999</v>
      </c>
      <c r="CX83" s="360">
        <v>2258.6579999999999</v>
      </c>
      <c r="CY83" s="360">
        <v>2330.0460000000003</v>
      </c>
      <c r="CZ83" s="360">
        <v>2673.7919999999999</v>
      </c>
      <c r="DA83" s="360">
        <v>2666.364</v>
      </c>
      <c r="DB83" s="360">
        <v>2793.9780000000001</v>
      </c>
      <c r="DC83" s="360">
        <v>3088.1400000000003</v>
      </c>
      <c r="DD83" s="360">
        <v>3087.9539999999997</v>
      </c>
      <c r="DE83" s="360">
        <v>2459.4780000000001</v>
      </c>
      <c r="DF83" s="360">
        <v>1973.0099999999998</v>
      </c>
      <c r="DG83" s="360">
        <v>2514.75</v>
      </c>
      <c r="DH83" s="360">
        <v>2940.3420000000001</v>
      </c>
      <c r="DI83" s="360">
        <v>3162.8759999999997</v>
      </c>
      <c r="DJ83" s="360">
        <v>3395.3759999999997</v>
      </c>
      <c r="DK83" s="360">
        <v>3498.7259999999997</v>
      </c>
      <c r="DL83" s="360">
        <v>3669.6780000000003</v>
      </c>
      <c r="DM83" s="360">
        <v>3649.3140000000003</v>
      </c>
      <c r="DN83" s="360">
        <v>3620.7060000000001</v>
      </c>
      <c r="DO83" s="360">
        <v>3724.4700000000003</v>
      </c>
      <c r="DP83" s="360">
        <v>3977.7420000000002</v>
      </c>
      <c r="DQ83" s="360">
        <v>2947.41</v>
      </c>
      <c r="DR83" s="360">
        <v>2234.8559999999998</v>
      </c>
      <c r="DS83" s="360">
        <v>2532.5819999999999</v>
      </c>
      <c r="DT83" s="360">
        <v>3305.7719999999999</v>
      </c>
      <c r="DU83" s="360">
        <v>3601.5659999999998</v>
      </c>
      <c r="DV83" s="360">
        <v>3909.8820000000005</v>
      </c>
      <c r="DW83" s="360">
        <v>4022.4180000000001</v>
      </c>
      <c r="DX83" s="360">
        <v>3974.7179999999998</v>
      </c>
      <c r="DY83" s="360">
        <v>4144.7939999999999</v>
      </c>
      <c r="DZ83" s="360">
        <v>4204.8779999999997</v>
      </c>
      <c r="EA83" s="360">
        <v>4445.2559999999994</v>
      </c>
      <c r="EB83" s="360">
        <v>4526.7359999999999</v>
      </c>
      <c r="EC83" s="360">
        <v>3032.2799999999997</v>
      </c>
      <c r="ED83" s="360">
        <v>2302.752</v>
      </c>
      <c r="EE83" s="360">
        <v>3984.6840000000002</v>
      </c>
      <c r="EF83" s="360">
        <v>4077.9659999999994</v>
      </c>
      <c r="EG83" s="360">
        <v>4216.0619999999999</v>
      </c>
      <c r="EH83" s="360">
        <v>4397.8559999999998</v>
      </c>
      <c r="EI83" s="360">
        <v>4138.6679999999997</v>
      </c>
      <c r="EJ83" s="360">
        <v>4025.13</v>
      </c>
      <c r="EK83" s="360">
        <v>3924.9839999999999</v>
      </c>
      <c r="EL83" s="360">
        <v>3412.5780000000004</v>
      </c>
      <c r="EM83" s="360">
        <v>3193.7999999999997</v>
      </c>
      <c r="EN83" s="360">
        <v>3037.6260000000002</v>
      </c>
      <c r="EO83" s="360">
        <v>1878.69</v>
      </c>
      <c r="EP83" s="360">
        <v>1360.386</v>
      </c>
      <c r="EQ83" s="360">
        <v>2030.9339999999997</v>
      </c>
      <c r="ER83" s="360">
        <v>2236.038</v>
      </c>
      <c r="ES83" s="360">
        <v>2586.0240000000003</v>
      </c>
      <c r="ET83" s="360">
        <v>2660.0460000000003</v>
      </c>
      <c r="EU83" s="360">
        <v>2520.174</v>
      </c>
      <c r="EV83" s="360">
        <v>2565.096</v>
      </c>
      <c r="EW83" s="360">
        <v>2614.8959999999997</v>
      </c>
      <c r="EX83" s="360">
        <v>2840.34</v>
      </c>
      <c r="EY83" s="360">
        <v>2864.1000000000004</v>
      </c>
      <c r="EZ83" s="360">
        <v>2836.152</v>
      </c>
      <c r="FA83" s="360">
        <v>1720.7759999999998</v>
      </c>
      <c r="FB83" s="360">
        <v>1279.944</v>
      </c>
      <c r="FC83" s="360">
        <v>1829.2140000000002</v>
      </c>
      <c r="FD83" s="360">
        <v>2243.4780000000001</v>
      </c>
      <c r="FE83" s="360">
        <v>2464.4339999999997</v>
      </c>
      <c r="FF83" s="360">
        <v>2743.134</v>
      </c>
      <c r="FG83" s="360">
        <v>2659.614</v>
      </c>
      <c r="FH83" s="360">
        <v>2522.2139999999999</v>
      </c>
      <c r="FI83" s="360">
        <v>2358.2339999999999</v>
      </c>
      <c r="FJ83" s="360">
        <v>2456.0880000000002</v>
      </c>
      <c r="FK83" s="360">
        <v>2538.498</v>
      </c>
      <c r="FL83" s="360">
        <v>2491.404</v>
      </c>
      <c r="FM83" s="360">
        <v>1419.8820000000001</v>
      </c>
      <c r="FN83" s="360">
        <v>1018.4159999999999</v>
      </c>
      <c r="FO83" s="360">
        <v>1434.0419999999999</v>
      </c>
      <c r="FP83" s="360">
        <v>2018.694</v>
      </c>
      <c r="FQ83" s="360">
        <v>2007.09</v>
      </c>
      <c r="FR83" s="360">
        <v>1966.8120000000001</v>
      </c>
      <c r="FS83" s="360">
        <v>2034.21</v>
      </c>
      <c r="FT83" s="360">
        <v>2148.942</v>
      </c>
      <c r="FU83" s="360">
        <v>2213.1959999999999</v>
      </c>
      <c r="FV83" s="360">
        <v>2208.3959999999997</v>
      </c>
      <c r="FW83" s="360">
        <v>2143.3319999999999</v>
      </c>
      <c r="FX83" s="360">
        <v>2198.1660000000002</v>
      </c>
      <c r="FY83" s="360">
        <v>1408.9859999999999</v>
      </c>
      <c r="FZ83" s="360">
        <v>908.79600000000005</v>
      </c>
      <c r="GA83" s="360">
        <v>1545.732</v>
      </c>
      <c r="GB83" s="360">
        <v>1882.4520000000002</v>
      </c>
      <c r="GC83" s="360">
        <v>2010.4860000000001</v>
      </c>
      <c r="GD83" s="360">
        <v>2104.0500000000002</v>
      </c>
      <c r="GE83" s="360">
        <v>1905.7440000000001</v>
      </c>
      <c r="GF83" s="360">
        <v>1889.9640000000002</v>
      </c>
      <c r="GG83" s="360">
        <v>2269.5839999999998</v>
      </c>
      <c r="GH83" s="360">
        <v>2405.9580000000001</v>
      </c>
      <c r="GI83" s="360">
        <v>2418.0479999999998</v>
      </c>
      <c r="GJ83" s="360">
        <v>2461.2599999999998</v>
      </c>
      <c r="GK83" s="360">
        <v>1428.33</v>
      </c>
      <c r="GL83" s="360">
        <v>965.84999999999991</v>
      </c>
      <c r="GM83" s="360">
        <v>1621.3980000000001</v>
      </c>
      <c r="GN83" s="360">
        <v>2031.384</v>
      </c>
      <c r="GO83" s="360">
        <v>2232.732</v>
      </c>
      <c r="GP83" s="360">
        <v>2604.6779999999999</v>
      </c>
      <c r="GQ83" s="360">
        <v>2451.828</v>
      </c>
      <c r="GR83" s="360">
        <v>2413.4520000000002</v>
      </c>
      <c r="GS83" s="360">
        <v>2390.0700000000002</v>
      </c>
      <c r="GT83" s="360">
        <v>2579.1179999999999</v>
      </c>
      <c r="GU83" s="360">
        <v>2639.8019999999997</v>
      </c>
      <c r="GV83" s="360">
        <v>2693.2200000000003</v>
      </c>
      <c r="GW83" s="360">
        <v>1755.4679999999998</v>
      </c>
      <c r="GX83" s="360">
        <v>1329.5340000000001</v>
      </c>
      <c r="GY83" s="360">
        <v>2131.3620000000001</v>
      </c>
      <c r="GZ83" s="360">
        <v>2668.8239999999996</v>
      </c>
      <c r="HA83" s="360">
        <v>2999.5079999999998</v>
      </c>
      <c r="HB83" s="360">
        <v>3227.9759999999997</v>
      </c>
      <c r="HC83" s="360">
        <v>3026.25</v>
      </c>
      <c r="HD83" s="360">
        <v>2878.6499999999996</v>
      </c>
      <c r="HE83" s="360">
        <v>2910.7740000000003</v>
      </c>
      <c r="HF83" s="360">
        <v>2881.0739999999996</v>
      </c>
      <c r="HG83" s="360">
        <v>3170.5619999999999</v>
      </c>
      <c r="HH83" s="360">
        <v>3013.4279999999999</v>
      </c>
      <c r="HI83" s="360">
        <v>1891.3139999999999</v>
      </c>
      <c r="HJ83" s="360">
        <v>1646.0819999999999</v>
      </c>
      <c r="HK83" s="360">
        <v>2286.69</v>
      </c>
      <c r="HL83" s="360">
        <v>2959.326</v>
      </c>
      <c r="HM83" s="360">
        <v>3280.9920000000002</v>
      </c>
      <c r="HN83" s="360">
        <v>3679.0199999999995</v>
      </c>
      <c r="HO83" s="360">
        <v>3707.3820000000005</v>
      </c>
      <c r="HP83" s="360">
        <v>3725.7179999999998</v>
      </c>
      <c r="HQ83" s="360">
        <v>3913.5959999999995</v>
      </c>
      <c r="HR83" s="360">
        <v>3841.038</v>
      </c>
      <c r="HS83" s="360">
        <v>3909.4739999999997</v>
      </c>
      <c r="HT83" s="360">
        <v>3797.6279999999997</v>
      </c>
      <c r="HU83" s="360">
        <v>2400.4740000000002</v>
      </c>
      <c r="HV83" s="360">
        <v>2036.796</v>
      </c>
      <c r="HW83" s="360">
        <v>3079.38</v>
      </c>
      <c r="HX83" s="360">
        <v>3664.0860000000002</v>
      </c>
      <c r="HY83" s="360">
        <v>2873.9700000000003</v>
      </c>
      <c r="HZ83" s="360">
        <v>3331.8420000000001</v>
      </c>
      <c r="IA83" s="360">
        <v>3682.7699999999995</v>
      </c>
      <c r="IB83" s="360">
        <v>4186.6020000000008</v>
      </c>
      <c r="IC83" s="360">
        <v>4280.5860000000002</v>
      </c>
      <c r="ID83" s="360">
        <v>4327.2119999999995</v>
      </c>
      <c r="IE83" s="360">
        <v>4523.3220000000001</v>
      </c>
      <c r="IF83" s="360">
        <v>4364.7300000000005</v>
      </c>
      <c r="IG83" s="360">
        <v>2956.29</v>
      </c>
      <c r="IH83" s="360">
        <v>2571.3359999999998</v>
      </c>
      <c r="II83" s="360">
        <v>3347.34</v>
      </c>
      <c r="IJ83" s="360">
        <v>4651.6440000000002</v>
      </c>
      <c r="IK83" s="360">
        <v>4752.6959999999999</v>
      </c>
      <c r="IL83" s="360">
        <v>5020.8180000000002</v>
      </c>
      <c r="IM83" s="360">
        <v>5053.08</v>
      </c>
      <c r="IN83" s="361">
        <v>5023.8060000000005</v>
      </c>
      <c r="IO83" s="361">
        <v>5317.9260000000004</v>
      </c>
      <c r="IP83" s="361">
        <v>5288.1900000000005</v>
      </c>
      <c r="IQ83" s="361">
        <v>5468.5079999999998</v>
      </c>
      <c r="IR83" s="361">
        <v>5290.9979999999996</v>
      </c>
      <c r="IS83" s="361">
        <v>3304.6080000000002</v>
      </c>
      <c r="IT83" s="361">
        <v>3045.42</v>
      </c>
      <c r="IU83" s="361">
        <v>3788.6099999999997</v>
      </c>
      <c r="IV83" s="361">
        <v>4633.6080000000002</v>
      </c>
      <c r="IW83" s="361">
        <v>5019.7759999999998</v>
      </c>
      <c r="IX83" s="361">
        <v>4995.0280000000002</v>
      </c>
      <c r="IY83" s="361">
        <v>4382.3779999999997</v>
      </c>
      <c r="IZ83" s="361">
        <v>3310.25</v>
      </c>
      <c r="JA83" s="361">
        <v>4150.6559999999999</v>
      </c>
      <c r="JB83" s="361">
        <v>4466.4179999999997</v>
      </c>
      <c r="JC83" s="361">
        <v>3964.712</v>
      </c>
      <c r="JD83" s="361">
        <v>3651.636</v>
      </c>
      <c r="JE83" s="361">
        <v>4702.1220000000003</v>
      </c>
      <c r="JF83" s="361">
        <v>4662.97</v>
      </c>
      <c r="JG83" s="361">
        <v>3982.366</v>
      </c>
      <c r="JH83" s="361">
        <v>3529.2440000000001</v>
      </c>
      <c r="JI83" s="361">
        <v>4700.6959999999999</v>
      </c>
      <c r="JJ83" s="361">
        <v>5108.8779999999997</v>
      </c>
      <c r="JK83" s="362">
        <v>4833.2719999999999</v>
      </c>
    </row>
    <row r="204" spans="2:15" x14ac:dyDescent="0.25">
      <c r="B204" s="598"/>
      <c r="C204" s="598"/>
      <c r="D204" s="598"/>
      <c r="E204" s="598"/>
      <c r="F204" s="598"/>
      <c r="G204" s="598"/>
      <c r="H204" s="598"/>
      <c r="I204" s="598"/>
      <c r="J204" s="598"/>
      <c r="K204" s="598"/>
      <c r="L204" s="598"/>
      <c r="M204" s="598"/>
      <c r="N204" s="598"/>
      <c r="O204" s="598"/>
    </row>
  </sheetData>
  <mergeCells count="1">
    <mergeCell ref="B204:O204"/>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456E-E7D3-431D-8E34-98DA2FB3C6D8}">
  <sheetPr codeName="Sheet19"/>
  <dimension ref="A7:Q594"/>
  <sheetViews>
    <sheetView showGridLines="0" zoomScale="85" zoomScaleNormal="85" workbookViewId="0">
      <pane ySplit="8" topLeftCell="A9" activePane="bottomLeft" state="frozen"/>
      <selection pane="bottomLeft"/>
    </sheetView>
  </sheetViews>
  <sheetFormatPr defaultColWidth="9.140625" defaultRowHeight="15" x14ac:dyDescent="0.25"/>
  <cols>
    <col min="1" max="1" width="30.7109375" customWidth="1"/>
    <col min="2" max="3" width="70.7109375" customWidth="1"/>
    <col min="4" max="4" width="15.7109375" style="2" customWidth="1"/>
    <col min="5" max="5" width="15.7109375" customWidth="1"/>
    <col min="6" max="6" width="7" customWidth="1"/>
    <col min="7" max="7" width="7.5703125" bestFit="1" customWidth="1"/>
    <col min="8" max="8" width="23.5703125" customWidth="1"/>
    <col min="9" max="9" width="24.5703125" customWidth="1"/>
    <col min="10" max="10" width="18.5703125" customWidth="1"/>
    <col min="13" max="13" width="10" customWidth="1"/>
  </cols>
  <sheetData>
    <row r="7" spans="1:6" ht="15.75" thickBot="1" x14ac:dyDescent="0.3">
      <c r="A7" s="526" t="s">
        <v>1203</v>
      </c>
      <c r="B7" s="526"/>
      <c r="C7" s="526"/>
      <c r="D7" s="526"/>
      <c r="E7" s="526"/>
    </row>
    <row r="8" spans="1:6" ht="30" customHeight="1" x14ac:dyDescent="0.25">
      <c r="A8" s="364" t="s">
        <v>233</v>
      </c>
      <c r="B8" s="365" t="s">
        <v>234</v>
      </c>
      <c r="C8" s="366" t="s">
        <v>586</v>
      </c>
      <c r="D8" s="367">
        <v>2024</v>
      </c>
      <c r="E8" s="368">
        <v>2025</v>
      </c>
    </row>
    <row r="9" spans="1:6" x14ac:dyDescent="0.25">
      <c r="A9" s="532" t="s">
        <v>66</v>
      </c>
      <c r="B9" t="s">
        <v>235</v>
      </c>
      <c r="C9" s="532" t="s">
        <v>587</v>
      </c>
      <c r="D9" s="142">
        <v>663.71550000000002</v>
      </c>
      <c r="E9" s="369">
        <v>366.95749999999998</v>
      </c>
      <c r="F9" s="12"/>
    </row>
    <row r="10" spans="1:6" x14ac:dyDescent="0.25">
      <c r="A10" s="532" t="s">
        <v>66</v>
      </c>
      <c r="B10" t="s">
        <v>235</v>
      </c>
      <c r="C10" s="532" t="s">
        <v>849</v>
      </c>
      <c r="D10" s="142">
        <v>3647.0970000000002</v>
      </c>
      <c r="E10" s="369">
        <v>3805.317</v>
      </c>
      <c r="F10" s="12"/>
    </row>
    <row r="11" spans="1:6" x14ac:dyDescent="0.25">
      <c r="A11" s="532" t="s">
        <v>66</v>
      </c>
      <c r="B11" t="s">
        <v>236</v>
      </c>
      <c r="C11" s="532" t="s">
        <v>588</v>
      </c>
      <c r="D11" s="142">
        <v>2336.8519999999999</v>
      </c>
      <c r="E11" s="369">
        <v>2462.1055000000001</v>
      </c>
      <c r="F11" s="12"/>
    </row>
    <row r="12" spans="1:6" x14ac:dyDescent="0.25">
      <c r="A12" s="599" t="s">
        <v>1228</v>
      </c>
      <c r="B12" s="600"/>
      <c r="C12" s="601"/>
      <c r="D12" s="370">
        <v>6647.6644999999999</v>
      </c>
      <c r="E12" s="533">
        <v>6634.38</v>
      </c>
      <c r="F12" s="12"/>
    </row>
    <row r="13" spans="1:6" x14ac:dyDescent="0.25">
      <c r="A13" s="532" t="s">
        <v>237</v>
      </c>
      <c r="B13" t="s">
        <v>238</v>
      </c>
      <c r="C13" s="532" t="s">
        <v>589</v>
      </c>
      <c r="D13" s="142">
        <v>40.787999999999997</v>
      </c>
      <c r="E13" s="369">
        <v>39.589500000000001</v>
      </c>
      <c r="F13" s="12"/>
    </row>
    <row r="14" spans="1:6" x14ac:dyDescent="0.25">
      <c r="A14" s="599" t="s">
        <v>239</v>
      </c>
      <c r="B14" s="600"/>
      <c r="C14" s="601"/>
      <c r="D14" s="370">
        <v>40.787999999999997</v>
      </c>
      <c r="E14" s="533">
        <v>39.589500000000001</v>
      </c>
      <c r="F14" s="12"/>
    </row>
    <row r="15" spans="1:6" x14ac:dyDescent="0.25">
      <c r="A15" s="532" t="s">
        <v>240</v>
      </c>
      <c r="B15" t="s">
        <v>241</v>
      </c>
      <c r="C15" s="532" t="s">
        <v>850</v>
      </c>
      <c r="D15" s="142">
        <v>0.23</v>
      </c>
      <c r="E15" s="369">
        <v>0.125</v>
      </c>
      <c r="F15" s="12"/>
    </row>
    <row r="16" spans="1:6" x14ac:dyDescent="0.25">
      <c r="A16" s="532" t="s">
        <v>240</v>
      </c>
      <c r="B16" t="s">
        <v>242</v>
      </c>
      <c r="C16" s="532" t="s">
        <v>590</v>
      </c>
      <c r="D16" s="142">
        <v>10.879</v>
      </c>
      <c r="E16" s="369">
        <v>8.3000000000000007</v>
      </c>
      <c r="F16" s="12"/>
    </row>
    <row r="17" spans="1:6" x14ac:dyDescent="0.25">
      <c r="A17" s="532" t="s">
        <v>240</v>
      </c>
      <c r="B17" t="s">
        <v>243</v>
      </c>
      <c r="C17" s="532" t="s">
        <v>590</v>
      </c>
      <c r="D17" s="142">
        <v>0.113</v>
      </c>
      <c r="E17" s="369">
        <v>0.115</v>
      </c>
      <c r="F17" s="12"/>
    </row>
    <row r="18" spans="1:6" x14ac:dyDescent="0.25">
      <c r="A18" s="532" t="s">
        <v>240</v>
      </c>
      <c r="B18" t="s">
        <v>244</v>
      </c>
      <c r="C18" s="532" t="s">
        <v>851</v>
      </c>
      <c r="D18" s="142">
        <v>8.1944999999999997</v>
      </c>
      <c r="E18" s="369">
        <v>7.3754999999999997</v>
      </c>
      <c r="F18" s="12"/>
    </row>
    <row r="19" spans="1:6" x14ac:dyDescent="0.25">
      <c r="A19" s="532" t="s">
        <v>240</v>
      </c>
      <c r="B19" t="s">
        <v>244</v>
      </c>
      <c r="C19" s="532" t="s">
        <v>852</v>
      </c>
      <c r="D19" s="142">
        <v>4.9980000000000002</v>
      </c>
      <c r="E19" s="369">
        <v>7.6555</v>
      </c>
      <c r="F19" s="12"/>
    </row>
    <row r="20" spans="1:6" x14ac:dyDescent="0.25">
      <c r="A20" s="532" t="s">
        <v>240</v>
      </c>
      <c r="B20" t="s">
        <v>245</v>
      </c>
      <c r="C20" s="532" t="s">
        <v>853</v>
      </c>
      <c r="D20" s="142">
        <v>62.833500000000001</v>
      </c>
      <c r="E20" s="369">
        <v>79.3185</v>
      </c>
      <c r="F20" s="12"/>
    </row>
    <row r="21" spans="1:6" x14ac:dyDescent="0.25">
      <c r="A21" s="532" t="s">
        <v>240</v>
      </c>
      <c r="B21" t="s">
        <v>246</v>
      </c>
      <c r="C21" s="532" t="s">
        <v>591</v>
      </c>
      <c r="D21" s="142">
        <v>23.391500000000001</v>
      </c>
      <c r="E21" s="369">
        <v>37.808500000000002</v>
      </c>
      <c r="F21" s="12"/>
    </row>
    <row r="22" spans="1:6" x14ac:dyDescent="0.25">
      <c r="A22" s="532" t="s">
        <v>240</v>
      </c>
      <c r="B22" t="s">
        <v>247</v>
      </c>
      <c r="C22" s="532" t="s">
        <v>592</v>
      </c>
      <c r="D22" s="142">
        <v>0.89949999999999997</v>
      </c>
      <c r="E22" s="369">
        <v>1.3354999999999999</v>
      </c>
      <c r="F22" s="12"/>
    </row>
    <row r="23" spans="1:6" x14ac:dyDescent="0.25">
      <c r="A23" s="599" t="s">
        <v>248</v>
      </c>
      <c r="B23" s="600"/>
      <c r="C23" s="601"/>
      <c r="D23" s="370">
        <v>111.539</v>
      </c>
      <c r="E23" s="533">
        <v>142.0335</v>
      </c>
      <c r="F23" s="12"/>
    </row>
    <row r="24" spans="1:6" x14ac:dyDescent="0.25">
      <c r="A24" s="532" t="s">
        <v>159</v>
      </c>
      <c r="B24" t="s">
        <v>249</v>
      </c>
      <c r="C24" s="532" t="s">
        <v>854</v>
      </c>
      <c r="D24" s="142">
        <v>504.3175</v>
      </c>
      <c r="E24" s="369">
        <v>514.78049999999996</v>
      </c>
      <c r="F24" s="12"/>
    </row>
    <row r="25" spans="1:6" x14ac:dyDescent="0.25">
      <c r="A25" s="532" t="s">
        <v>159</v>
      </c>
      <c r="B25" t="s">
        <v>250</v>
      </c>
      <c r="C25" s="532" t="s">
        <v>855</v>
      </c>
      <c r="D25" s="142">
        <v>447.34750000000003</v>
      </c>
      <c r="E25" s="369">
        <v>493.1705</v>
      </c>
      <c r="F25" s="12"/>
    </row>
    <row r="26" spans="1:6" x14ac:dyDescent="0.25">
      <c r="A26" s="599" t="s">
        <v>251</v>
      </c>
      <c r="B26" s="600"/>
      <c r="C26" s="601"/>
      <c r="D26" s="370">
        <v>951.66499999999996</v>
      </c>
      <c r="E26" s="533">
        <v>1007.951</v>
      </c>
      <c r="F26" s="12"/>
    </row>
    <row r="27" spans="1:6" x14ac:dyDescent="0.25">
      <c r="A27" s="532" t="s">
        <v>160</v>
      </c>
      <c r="B27" t="s">
        <v>856</v>
      </c>
      <c r="C27" s="532" t="s">
        <v>857</v>
      </c>
      <c r="D27" s="142">
        <v>8.1500000000000003E-2</v>
      </c>
      <c r="E27" s="369">
        <v>0.16500000000000001</v>
      </c>
      <c r="F27" s="12"/>
    </row>
    <row r="28" spans="1:6" x14ac:dyDescent="0.25">
      <c r="A28" s="532" t="s">
        <v>160</v>
      </c>
      <c r="B28" t="s">
        <v>858</v>
      </c>
      <c r="C28" s="532" t="s">
        <v>859</v>
      </c>
      <c r="D28" s="142">
        <v>1.7999999999999999E-2</v>
      </c>
      <c r="E28" s="369">
        <v>0</v>
      </c>
      <c r="F28" s="12"/>
    </row>
    <row r="29" spans="1:6" x14ac:dyDescent="0.25">
      <c r="A29" s="532" t="s">
        <v>160</v>
      </c>
      <c r="B29" t="s">
        <v>252</v>
      </c>
      <c r="C29" s="532" t="s">
        <v>860</v>
      </c>
      <c r="D29" s="142">
        <v>0.56000000000000005</v>
      </c>
      <c r="E29" s="369">
        <v>0.79049999999999998</v>
      </c>
      <c r="F29" s="12"/>
    </row>
    <row r="30" spans="1:6" x14ac:dyDescent="0.25">
      <c r="A30" s="532" t="s">
        <v>160</v>
      </c>
      <c r="B30" t="s">
        <v>861</v>
      </c>
      <c r="C30" s="532" t="s">
        <v>862</v>
      </c>
      <c r="D30" s="142">
        <v>5.8999999999999997E-2</v>
      </c>
      <c r="E30" s="369">
        <v>4.2999999999999997E-2</v>
      </c>
      <c r="F30" s="12"/>
    </row>
    <row r="31" spans="1:6" x14ac:dyDescent="0.25">
      <c r="A31" s="532" t="s">
        <v>160</v>
      </c>
      <c r="B31" t="s">
        <v>253</v>
      </c>
      <c r="C31" s="532" t="s">
        <v>863</v>
      </c>
      <c r="D31" s="142">
        <v>2.58</v>
      </c>
      <c r="E31" s="369">
        <v>2.58</v>
      </c>
      <c r="F31" s="12"/>
    </row>
    <row r="32" spans="1:6" x14ac:dyDescent="0.25">
      <c r="A32" s="532" t="s">
        <v>160</v>
      </c>
      <c r="B32" t="s">
        <v>254</v>
      </c>
      <c r="C32" s="532" t="s">
        <v>608</v>
      </c>
      <c r="D32" s="142">
        <v>0</v>
      </c>
      <c r="E32" s="369">
        <v>1.6805000000000001</v>
      </c>
      <c r="F32" s="12"/>
    </row>
    <row r="33" spans="1:6" x14ac:dyDescent="0.25">
      <c r="A33" s="532" t="s">
        <v>160</v>
      </c>
      <c r="B33" t="s">
        <v>254</v>
      </c>
      <c r="C33" s="532" t="s">
        <v>864</v>
      </c>
      <c r="D33" s="142">
        <v>5.2705000000000002</v>
      </c>
      <c r="E33" s="369">
        <v>4.7240000000000002</v>
      </c>
      <c r="F33" s="12"/>
    </row>
    <row r="34" spans="1:6" x14ac:dyDescent="0.25">
      <c r="A34" s="532" t="s">
        <v>160</v>
      </c>
      <c r="B34" t="s">
        <v>255</v>
      </c>
      <c r="C34" s="532" t="s">
        <v>865</v>
      </c>
      <c r="D34" s="142">
        <v>23.1845</v>
      </c>
      <c r="E34" s="369">
        <v>19.286000000000001</v>
      </c>
      <c r="F34" s="12"/>
    </row>
    <row r="35" spans="1:6" x14ac:dyDescent="0.25">
      <c r="A35" s="532" t="s">
        <v>160</v>
      </c>
      <c r="B35" t="s">
        <v>256</v>
      </c>
      <c r="C35" s="532" t="s">
        <v>593</v>
      </c>
      <c r="D35" s="142">
        <v>0.53249999999999997</v>
      </c>
      <c r="E35" s="369">
        <v>0.19650000000000001</v>
      </c>
      <c r="F35" s="12"/>
    </row>
    <row r="36" spans="1:6" x14ac:dyDescent="0.25">
      <c r="A36" s="532" t="s">
        <v>160</v>
      </c>
      <c r="B36" t="s">
        <v>257</v>
      </c>
      <c r="C36" s="532" t="s">
        <v>866</v>
      </c>
      <c r="D36" s="142">
        <v>4.7365000000000004</v>
      </c>
      <c r="E36" s="369">
        <v>5.9634999999999998</v>
      </c>
      <c r="F36" s="12"/>
    </row>
    <row r="37" spans="1:6" x14ac:dyDescent="0.25">
      <c r="A37" s="532" t="s">
        <v>160</v>
      </c>
      <c r="B37" t="s">
        <v>257</v>
      </c>
      <c r="C37" s="532" t="s">
        <v>867</v>
      </c>
      <c r="D37" s="142">
        <v>4.6405000000000003</v>
      </c>
      <c r="E37" s="369">
        <v>6.0490000000000004</v>
      </c>
      <c r="F37" s="12"/>
    </row>
    <row r="38" spans="1:6" x14ac:dyDescent="0.25">
      <c r="A38" s="532" t="s">
        <v>160</v>
      </c>
      <c r="B38" t="s">
        <v>257</v>
      </c>
      <c r="C38" s="532" t="s">
        <v>868</v>
      </c>
      <c r="D38" s="142">
        <v>11.798999999999999</v>
      </c>
      <c r="E38" s="369">
        <v>11.6265</v>
      </c>
      <c r="F38" s="12"/>
    </row>
    <row r="39" spans="1:6" x14ac:dyDescent="0.25">
      <c r="A39" s="532" t="s">
        <v>160</v>
      </c>
      <c r="B39" t="s">
        <v>869</v>
      </c>
      <c r="C39" s="532" t="s">
        <v>870</v>
      </c>
      <c r="D39" s="142">
        <v>6.5000000000000002E-2</v>
      </c>
      <c r="E39" s="369">
        <v>0.02</v>
      </c>
      <c r="F39" s="12"/>
    </row>
    <row r="40" spans="1:6" x14ac:dyDescent="0.25">
      <c r="A40" s="532" t="s">
        <v>160</v>
      </c>
      <c r="B40" t="s">
        <v>871</v>
      </c>
      <c r="C40" s="532" t="s">
        <v>872</v>
      </c>
      <c r="D40" s="142">
        <v>4.2500000000000003E-2</v>
      </c>
      <c r="E40" s="369">
        <v>0</v>
      </c>
      <c r="F40" s="12"/>
    </row>
    <row r="41" spans="1:6" x14ac:dyDescent="0.25">
      <c r="A41" s="532" t="s">
        <v>160</v>
      </c>
      <c r="B41" t="s">
        <v>258</v>
      </c>
      <c r="C41" s="532" t="s">
        <v>873</v>
      </c>
      <c r="D41" s="142">
        <v>1.798</v>
      </c>
      <c r="E41" s="369">
        <v>2.8035000000000001</v>
      </c>
      <c r="F41" s="12"/>
    </row>
    <row r="42" spans="1:6" x14ac:dyDescent="0.25">
      <c r="A42" s="532" t="s">
        <v>160</v>
      </c>
      <c r="B42" t="s">
        <v>259</v>
      </c>
      <c r="C42" s="532" t="s">
        <v>874</v>
      </c>
      <c r="D42" s="142">
        <v>90.146500000000003</v>
      </c>
      <c r="E42" s="369">
        <v>66.347999999999999</v>
      </c>
      <c r="F42" s="12"/>
    </row>
    <row r="43" spans="1:6" x14ac:dyDescent="0.25">
      <c r="A43" s="532" t="s">
        <v>160</v>
      </c>
      <c r="B43" t="s">
        <v>260</v>
      </c>
      <c r="C43" s="532" t="s">
        <v>875</v>
      </c>
      <c r="D43" s="142">
        <v>3.1484999999999999</v>
      </c>
      <c r="E43" s="369">
        <v>3.3769999999999998</v>
      </c>
      <c r="F43" s="12"/>
    </row>
    <row r="44" spans="1:6" x14ac:dyDescent="0.25">
      <c r="A44" s="532" t="s">
        <v>160</v>
      </c>
      <c r="B44" t="s">
        <v>261</v>
      </c>
      <c r="C44" s="532" t="s">
        <v>876</v>
      </c>
      <c r="D44" s="142">
        <v>7.5499999999999998E-2</v>
      </c>
      <c r="E44" s="369">
        <v>6.7000000000000004E-2</v>
      </c>
      <c r="F44" s="12"/>
    </row>
    <row r="45" spans="1:6" x14ac:dyDescent="0.25">
      <c r="A45" s="532" t="s">
        <v>160</v>
      </c>
      <c r="B45" t="s">
        <v>261</v>
      </c>
      <c r="C45" s="532" t="s">
        <v>877</v>
      </c>
      <c r="D45" s="142">
        <v>28.712499999999999</v>
      </c>
      <c r="E45" s="369">
        <v>24.010999999999999</v>
      </c>
      <c r="F45" s="12"/>
    </row>
    <row r="46" spans="1:6" x14ac:dyDescent="0.25">
      <c r="A46" s="532" t="s">
        <v>160</v>
      </c>
      <c r="B46" t="s">
        <v>261</v>
      </c>
      <c r="C46" s="532" t="s">
        <v>878</v>
      </c>
      <c r="D46" s="142">
        <v>11.891500000000001</v>
      </c>
      <c r="E46" s="369">
        <v>10.952</v>
      </c>
      <c r="F46" s="12"/>
    </row>
    <row r="47" spans="1:6" x14ac:dyDescent="0.25">
      <c r="A47" s="532" t="s">
        <v>160</v>
      </c>
      <c r="B47" t="s">
        <v>261</v>
      </c>
      <c r="C47" s="532" t="s">
        <v>879</v>
      </c>
      <c r="D47" s="142">
        <v>2.4929999999999999</v>
      </c>
      <c r="E47" s="369">
        <v>3.1684999999999999</v>
      </c>
      <c r="F47" s="12"/>
    </row>
    <row r="48" spans="1:6" x14ac:dyDescent="0.25">
      <c r="A48" s="532" t="s">
        <v>160</v>
      </c>
      <c r="B48" t="s">
        <v>261</v>
      </c>
      <c r="C48" s="532" t="s">
        <v>880</v>
      </c>
      <c r="D48" s="142">
        <v>24.306999999999999</v>
      </c>
      <c r="E48" s="369">
        <v>8.6560000000000006</v>
      </c>
      <c r="F48" s="12"/>
    </row>
    <row r="49" spans="1:6" x14ac:dyDescent="0.25">
      <c r="A49" s="532" t="s">
        <v>160</v>
      </c>
      <c r="B49" t="s">
        <v>261</v>
      </c>
      <c r="C49" s="532" t="s">
        <v>881</v>
      </c>
      <c r="D49" s="142">
        <v>0.2135</v>
      </c>
      <c r="E49" s="369">
        <v>1.4999999999999999E-2</v>
      </c>
      <c r="F49" s="12"/>
    </row>
    <row r="50" spans="1:6" x14ac:dyDescent="0.25">
      <c r="A50" s="532" t="s">
        <v>160</v>
      </c>
      <c r="B50" t="s">
        <v>262</v>
      </c>
      <c r="C50" s="532" t="s">
        <v>882</v>
      </c>
      <c r="D50" s="142">
        <v>1.454</v>
      </c>
      <c r="E50" s="369">
        <v>1.8320000000000001</v>
      </c>
      <c r="F50" s="12"/>
    </row>
    <row r="51" spans="1:6" x14ac:dyDescent="0.25">
      <c r="A51" s="532" t="s">
        <v>160</v>
      </c>
      <c r="B51" t="s">
        <v>262</v>
      </c>
      <c r="C51" s="532" t="s">
        <v>883</v>
      </c>
      <c r="D51" s="142">
        <v>8.5999999999999993E-2</v>
      </c>
      <c r="E51" s="369">
        <v>0.19450000000000001</v>
      </c>
      <c r="F51" s="12"/>
    </row>
    <row r="52" spans="1:6" x14ac:dyDescent="0.25">
      <c r="A52" s="532" t="s">
        <v>160</v>
      </c>
      <c r="B52" t="s">
        <v>263</v>
      </c>
      <c r="C52" s="532" t="s">
        <v>884</v>
      </c>
      <c r="D52" s="142">
        <v>5.9974999999999996</v>
      </c>
      <c r="E52" s="369">
        <v>5.4015000000000004</v>
      </c>
      <c r="F52" s="12"/>
    </row>
    <row r="53" spans="1:6" x14ac:dyDescent="0.25">
      <c r="A53" s="532" t="s">
        <v>160</v>
      </c>
      <c r="B53" t="s">
        <v>885</v>
      </c>
      <c r="C53" s="532" t="s">
        <v>886</v>
      </c>
      <c r="D53" s="142">
        <v>5.0000000000000001E-4</v>
      </c>
      <c r="E53" s="369">
        <v>1.6E-2</v>
      </c>
      <c r="F53" s="12"/>
    </row>
    <row r="54" spans="1:6" x14ac:dyDescent="0.25">
      <c r="A54" s="532" t="s">
        <v>160</v>
      </c>
      <c r="B54" t="s">
        <v>887</v>
      </c>
      <c r="C54" s="532" t="s">
        <v>886</v>
      </c>
      <c r="D54" s="142">
        <v>1.2999999999999999E-2</v>
      </c>
      <c r="E54" s="369">
        <v>0</v>
      </c>
      <c r="F54" s="12"/>
    </row>
    <row r="55" spans="1:6" x14ac:dyDescent="0.25">
      <c r="A55" s="532" t="s">
        <v>160</v>
      </c>
      <c r="B55" t="s">
        <v>887</v>
      </c>
      <c r="C55" s="532" t="s">
        <v>888</v>
      </c>
      <c r="D55" s="142">
        <v>0.1045</v>
      </c>
      <c r="E55" s="369">
        <v>0</v>
      </c>
      <c r="F55" s="12"/>
    </row>
    <row r="56" spans="1:6" x14ac:dyDescent="0.25">
      <c r="A56" s="532" t="s">
        <v>160</v>
      </c>
      <c r="B56" t="s">
        <v>264</v>
      </c>
      <c r="C56" s="532" t="s">
        <v>594</v>
      </c>
      <c r="D56" s="142">
        <v>11.217000000000001</v>
      </c>
      <c r="E56" s="369">
        <v>10.993499999999999</v>
      </c>
      <c r="F56" s="12"/>
    </row>
    <row r="57" spans="1:6" x14ac:dyDescent="0.25">
      <c r="A57" s="532" t="s">
        <v>160</v>
      </c>
      <c r="B57" t="s">
        <v>265</v>
      </c>
      <c r="C57" s="532" t="s">
        <v>595</v>
      </c>
      <c r="D57" s="142">
        <v>0.6</v>
      </c>
      <c r="E57" s="369">
        <v>0.14399999999999999</v>
      </c>
      <c r="F57" s="12"/>
    </row>
    <row r="58" spans="1:6" x14ac:dyDescent="0.25">
      <c r="A58" s="532" t="s">
        <v>160</v>
      </c>
      <c r="B58" t="s">
        <v>265</v>
      </c>
      <c r="C58" s="532" t="s">
        <v>889</v>
      </c>
      <c r="D58" s="142">
        <v>1.05</v>
      </c>
      <c r="E58" s="369">
        <v>1.63</v>
      </c>
      <c r="F58" s="12"/>
    </row>
    <row r="59" spans="1:6" x14ac:dyDescent="0.25">
      <c r="A59" s="532" t="s">
        <v>160</v>
      </c>
      <c r="B59" t="s">
        <v>266</v>
      </c>
      <c r="C59" s="532" t="s">
        <v>890</v>
      </c>
      <c r="D59" s="142">
        <v>3.4784999999999999</v>
      </c>
      <c r="E59" s="369">
        <v>3.9544999999999999</v>
      </c>
      <c r="F59" s="12"/>
    </row>
    <row r="60" spans="1:6" x14ac:dyDescent="0.25">
      <c r="A60" s="532" t="s">
        <v>160</v>
      </c>
      <c r="B60" t="s">
        <v>267</v>
      </c>
      <c r="C60" s="532" t="s">
        <v>891</v>
      </c>
      <c r="D60" s="142">
        <v>1.95E-2</v>
      </c>
      <c r="E60" s="369">
        <v>0.30249999999999999</v>
      </c>
      <c r="F60" s="12"/>
    </row>
    <row r="61" spans="1:6" x14ac:dyDescent="0.25">
      <c r="A61" s="532" t="s">
        <v>160</v>
      </c>
      <c r="B61" t="s">
        <v>268</v>
      </c>
      <c r="C61" s="532" t="s">
        <v>892</v>
      </c>
      <c r="D61" s="142">
        <v>0.74150000000000005</v>
      </c>
      <c r="E61" s="369">
        <v>0</v>
      </c>
      <c r="F61" s="12"/>
    </row>
    <row r="62" spans="1:6" x14ac:dyDescent="0.25">
      <c r="A62" s="532" t="s">
        <v>160</v>
      </c>
      <c r="B62" t="s">
        <v>268</v>
      </c>
      <c r="C62" s="532" t="s">
        <v>893</v>
      </c>
      <c r="D62" s="142">
        <v>3.0369999999999999</v>
      </c>
      <c r="E62" s="369">
        <v>3.3580000000000001</v>
      </c>
      <c r="F62" s="12"/>
    </row>
    <row r="63" spans="1:6" x14ac:dyDescent="0.25">
      <c r="A63" s="532" t="s">
        <v>160</v>
      </c>
      <c r="B63" t="s">
        <v>894</v>
      </c>
      <c r="C63" s="532" t="s">
        <v>895</v>
      </c>
      <c r="D63" s="142">
        <v>9.1499999999999998E-2</v>
      </c>
      <c r="E63" s="369">
        <v>0</v>
      </c>
      <c r="F63" s="12"/>
    </row>
    <row r="64" spans="1:6" x14ac:dyDescent="0.25">
      <c r="A64" s="532" t="s">
        <v>160</v>
      </c>
      <c r="B64" t="s">
        <v>896</v>
      </c>
      <c r="C64" s="532" t="s">
        <v>897</v>
      </c>
      <c r="D64" s="142">
        <v>0.1295</v>
      </c>
      <c r="E64" s="369">
        <v>0.113</v>
      </c>
      <c r="F64" s="12"/>
    </row>
    <row r="65" spans="1:6" x14ac:dyDescent="0.25">
      <c r="A65" s="532" t="s">
        <v>160</v>
      </c>
      <c r="B65" t="s">
        <v>269</v>
      </c>
      <c r="C65" s="532" t="s">
        <v>898</v>
      </c>
      <c r="D65" s="142">
        <v>2.4249999999999998</v>
      </c>
      <c r="E65" s="369">
        <v>2.5575000000000001</v>
      </c>
      <c r="F65" s="12"/>
    </row>
    <row r="66" spans="1:6" x14ac:dyDescent="0.25">
      <c r="A66" s="532" t="s">
        <v>160</v>
      </c>
      <c r="B66" t="s">
        <v>899</v>
      </c>
      <c r="C66" s="532" t="s">
        <v>900</v>
      </c>
      <c r="D66" s="142">
        <v>0.19950000000000001</v>
      </c>
      <c r="E66" s="369">
        <v>0.20100000000000001</v>
      </c>
      <c r="F66" s="12"/>
    </row>
    <row r="67" spans="1:6" x14ac:dyDescent="0.25">
      <c r="A67" s="532" t="s">
        <v>160</v>
      </c>
      <c r="B67" t="s">
        <v>901</v>
      </c>
      <c r="C67" s="532" t="s">
        <v>902</v>
      </c>
      <c r="D67" s="142">
        <v>1.6E-2</v>
      </c>
      <c r="E67" s="369">
        <v>1.6E-2</v>
      </c>
      <c r="F67" s="12"/>
    </row>
    <row r="68" spans="1:6" x14ac:dyDescent="0.25">
      <c r="A68" s="532" t="s">
        <v>160</v>
      </c>
      <c r="B68" t="s">
        <v>270</v>
      </c>
      <c r="C68" s="532" t="s">
        <v>903</v>
      </c>
      <c r="D68" s="142">
        <v>2.7084999999999999</v>
      </c>
      <c r="E68" s="369">
        <v>1.0960000000000001</v>
      </c>
      <c r="F68" s="12"/>
    </row>
    <row r="69" spans="1:6" x14ac:dyDescent="0.25">
      <c r="A69" s="532" t="s">
        <v>160</v>
      </c>
      <c r="B69" t="s">
        <v>270</v>
      </c>
      <c r="C69" s="532" t="s">
        <v>888</v>
      </c>
      <c r="D69" s="142">
        <v>0</v>
      </c>
      <c r="E69" s="369">
        <v>0.5</v>
      </c>
      <c r="F69" s="12"/>
    </row>
    <row r="70" spans="1:6" x14ac:dyDescent="0.25">
      <c r="A70" s="532" t="s">
        <v>160</v>
      </c>
      <c r="B70" t="s">
        <v>904</v>
      </c>
      <c r="C70" s="532" t="s">
        <v>905</v>
      </c>
      <c r="D70" s="142">
        <v>0.24</v>
      </c>
      <c r="E70" s="369">
        <v>0.06</v>
      </c>
      <c r="F70" s="12"/>
    </row>
    <row r="71" spans="1:6" x14ac:dyDescent="0.25">
      <c r="A71" s="532" t="s">
        <v>160</v>
      </c>
      <c r="B71" t="s">
        <v>906</v>
      </c>
      <c r="C71" s="532" t="s">
        <v>907</v>
      </c>
      <c r="D71" s="142">
        <v>0.1535</v>
      </c>
      <c r="E71" s="369">
        <v>0.1565</v>
      </c>
      <c r="F71" s="12"/>
    </row>
    <row r="72" spans="1:6" x14ac:dyDescent="0.25">
      <c r="A72" s="532" t="s">
        <v>160</v>
      </c>
      <c r="B72" t="s">
        <v>271</v>
      </c>
      <c r="C72" s="532" t="s">
        <v>596</v>
      </c>
      <c r="D72" s="142">
        <v>5.5185000000000004</v>
      </c>
      <c r="E72" s="369">
        <v>5.6680000000000001</v>
      </c>
      <c r="F72" s="12"/>
    </row>
    <row r="73" spans="1:6" x14ac:dyDescent="0.25">
      <c r="A73" s="532" t="s">
        <v>160</v>
      </c>
      <c r="B73" t="s">
        <v>808</v>
      </c>
      <c r="C73" s="532" t="s">
        <v>908</v>
      </c>
      <c r="D73" s="142">
        <v>2.4910000000000001</v>
      </c>
      <c r="E73" s="369">
        <v>2.3260000000000001</v>
      </c>
      <c r="F73" s="12"/>
    </row>
    <row r="74" spans="1:6" x14ac:dyDescent="0.25">
      <c r="A74" s="532" t="s">
        <v>160</v>
      </c>
      <c r="B74" t="s">
        <v>808</v>
      </c>
      <c r="C74" s="532" t="s">
        <v>909</v>
      </c>
      <c r="D74" s="142">
        <v>3.5979999999999999</v>
      </c>
      <c r="E74" s="369">
        <v>0.64849999999999997</v>
      </c>
      <c r="F74" s="12"/>
    </row>
    <row r="75" spans="1:6" x14ac:dyDescent="0.25">
      <c r="A75" s="532" t="s">
        <v>160</v>
      </c>
      <c r="B75" t="s">
        <v>808</v>
      </c>
      <c r="C75" s="532" t="s">
        <v>910</v>
      </c>
      <c r="D75" s="142">
        <v>18.82</v>
      </c>
      <c r="E75" s="369">
        <v>22.945</v>
      </c>
      <c r="F75" s="12"/>
    </row>
    <row r="76" spans="1:6" x14ac:dyDescent="0.25">
      <c r="A76" s="532" t="s">
        <v>160</v>
      </c>
      <c r="B76" t="s">
        <v>808</v>
      </c>
      <c r="C76" s="532" t="s">
        <v>911</v>
      </c>
      <c r="D76" s="142">
        <v>0.79049999999999998</v>
      </c>
      <c r="E76" s="369">
        <v>5.0000000000000001E-4</v>
      </c>
      <c r="F76" s="12"/>
    </row>
    <row r="77" spans="1:6" x14ac:dyDescent="0.25">
      <c r="A77" s="532" t="s">
        <v>160</v>
      </c>
      <c r="B77" t="s">
        <v>808</v>
      </c>
      <c r="C77" s="532" t="s">
        <v>912</v>
      </c>
      <c r="D77" s="142">
        <v>8.5794999999999995</v>
      </c>
      <c r="E77" s="369">
        <v>7.6055000000000001</v>
      </c>
      <c r="F77" s="12"/>
    </row>
    <row r="78" spans="1:6" x14ac:dyDescent="0.25">
      <c r="A78" s="532" t="s">
        <v>160</v>
      </c>
      <c r="B78" t="s">
        <v>808</v>
      </c>
      <c r="C78" s="532" t="s">
        <v>913</v>
      </c>
      <c r="D78" s="142">
        <v>19.812999999999999</v>
      </c>
      <c r="E78" s="369">
        <v>15.009499999999999</v>
      </c>
      <c r="F78" s="12"/>
    </row>
    <row r="79" spans="1:6" x14ac:dyDescent="0.25">
      <c r="A79" s="532" t="s">
        <v>160</v>
      </c>
      <c r="B79" t="s">
        <v>808</v>
      </c>
      <c r="C79" s="532" t="s">
        <v>914</v>
      </c>
      <c r="D79" s="142">
        <v>36.284500000000001</v>
      </c>
      <c r="E79" s="369">
        <v>40.109499999999997</v>
      </c>
      <c r="F79" s="12"/>
    </row>
    <row r="80" spans="1:6" x14ac:dyDescent="0.25">
      <c r="A80" s="532" t="s">
        <v>160</v>
      </c>
      <c r="B80" t="s">
        <v>808</v>
      </c>
      <c r="C80" s="532" t="s">
        <v>915</v>
      </c>
      <c r="D80" s="142">
        <v>1.6865000000000001</v>
      </c>
      <c r="E80" s="369">
        <v>2.3174999999999999</v>
      </c>
      <c r="F80" s="12"/>
    </row>
    <row r="81" spans="1:6" x14ac:dyDescent="0.25">
      <c r="A81" s="532" t="s">
        <v>160</v>
      </c>
      <c r="B81" t="s">
        <v>808</v>
      </c>
      <c r="C81" s="532" t="s">
        <v>916</v>
      </c>
      <c r="D81" s="142">
        <v>15.0945</v>
      </c>
      <c r="E81" s="369">
        <v>8.4055</v>
      </c>
      <c r="F81" s="12"/>
    </row>
    <row r="82" spans="1:6" x14ac:dyDescent="0.25">
      <c r="A82" s="532" t="s">
        <v>160</v>
      </c>
      <c r="B82" t="s">
        <v>808</v>
      </c>
      <c r="C82" s="532" t="s">
        <v>917</v>
      </c>
      <c r="D82" s="142">
        <v>1.8825000000000001</v>
      </c>
      <c r="E82" s="369">
        <v>1.978</v>
      </c>
      <c r="F82" s="12"/>
    </row>
    <row r="83" spans="1:6" x14ac:dyDescent="0.25">
      <c r="A83" s="532" t="s">
        <v>160</v>
      </c>
      <c r="B83" t="s">
        <v>272</v>
      </c>
      <c r="C83" s="532" t="s">
        <v>918</v>
      </c>
      <c r="D83" s="142">
        <v>4.6784999999999997</v>
      </c>
      <c r="E83" s="369">
        <v>6.6425000000000001</v>
      </c>
      <c r="F83" s="12"/>
    </row>
    <row r="84" spans="1:6" x14ac:dyDescent="0.25">
      <c r="A84" s="532" t="s">
        <v>160</v>
      </c>
      <c r="B84" t="s">
        <v>272</v>
      </c>
      <c r="C84" s="532" t="s">
        <v>919</v>
      </c>
      <c r="D84" s="142">
        <v>2.9624999999999999</v>
      </c>
      <c r="E84" s="369">
        <v>1.71</v>
      </c>
      <c r="F84" s="12"/>
    </row>
    <row r="85" spans="1:6" x14ac:dyDescent="0.25">
      <c r="A85" s="532" t="s">
        <v>160</v>
      </c>
      <c r="B85" t="s">
        <v>272</v>
      </c>
      <c r="C85" s="532" t="s">
        <v>920</v>
      </c>
      <c r="D85" s="142">
        <v>13.906000000000001</v>
      </c>
      <c r="E85" s="369">
        <v>10.236499999999999</v>
      </c>
      <c r="F85" s="12"/>
    </row>
    <row r="86" spans="1:6" x14ac:dyDescent="0.25">
      <c r="A86" s="532" t="s">
        <v>160</v>
      </c>
      <c r="B86" t="s">
        <v>272</v>
      </c>
      <c r="C86" s="532" t="s">
        <v>921</v>
      </c>
      <c r="D86" s="142">
        <v>61.856999999999999</v>
      </c>
      <c r="E86" s="369">
        <v>54.533999999999999</v>
      </c>
      <c r="F86" s="12"/>
    </row>
    <row r="87" spans="1:6" x14ac:dyDescent="0.25">
      <c r="A87" s="532" t="s">
        <v>160</v>
      </c>
      <c r="B87" t="s">
        <v>272</v>
      </c>
      <c r="C87" s="532" t="s">
        <v>922</v>
      </c>
      <c r="D87" s="142">
        <v>12.173999999999999</v>
      </c>
      <c r="E87" s="369">
        <v>11.246</v>
      </c>
      <c r="F87" s="12"/>
    </row>
    <row r="88" spans="1:6" x14ac:dyDescent="0.25">
      <c r="A88" s="532" t="s">
        <v>160</v>
      </c>
      <c r="B88" t="s">
        <v>272</v>
      </c>
      <c r="C88" s="532" t="s">
        <v>923</v>
      </c>
      <c r="D88" s="142">
        <v>6.3540000000000001</v>
      </c>
      <c r="E88" s="369">
        <v>6.4734999999999996</v>
      </c>
      <c r="F88" s="12"/>
    </row>
    <row r="89" spans="1:6" x14ac:dyDescent="0.25">
      <c r="A89" s="532" t="s">
        <v>160</v>
      </c>
      <c r="B89" t="s">
        <v>272</v>
      </c>
      <c r="C89" s="532" t="s">
        <v>924</v>
      </c>
      <c r="D89" s="142">
        <v>4.5810000000000004</v>
      </c>
      <c r="E89" s="369">
        <v>4.9720000000000004</v>
      </c>
      <c r="F89" s="12"/>
    </row>
    <row r="90" spans="1:6" x14ac:dyDescent="0.25">
      <c r="A90" s="532" t="s">
        <v>160</v>
      </c>
      <c r="B90" t="s">
        <v>272</v>
      </c>
      <c r="C90" s="532" t="s">
        <v>925</v>
      </c>
      <c r="D90" s="142">
        <v>1.4855</v>
      </c>
      <c r="E90" s="369">
        <v>0.68049999999999999</v>
      </c>
      <c r="F90" s="12"/>
    </row>
    <row r="91" spans="1:6" x14ac:dyDescent="0.25">
      <c r="A91" s="532" t="s">
        <v>160</v>
      </c>
      <c r="B91" t="s">
        <v>272</v>
      </c>
      <c r="C91" s="532" t="s">
        <v>926</v>
      </c>
      <c r="D91" s="142">
        <v>11.7165</v>
      </c>
      <c r="E91" s="369">
        <v>7.8319999999999999</v>
      </c>
      <c r="F91" s="12"/>
    </row>
    <row r="92" spans="1:6" x14ac:dyDescent="0.25">
      <c r="A92" s="532" t="s">
        <v>160</v>
      </c>
      <c r="B92" t="s">
        <v>272</v>
      </c>
      <c r="C92" s="532" t="s">
        <v>927</v>
      </c>
      <c r="D92" s="142">
        <v>3.1629999999999998</v>
      </c>
      <c r="E92" s="369">
        <v>0.96</v>
      </c>
      <c r="F92" s="12"/>
    </row>
    <row r="93" spans="1:6" x14ac:dyDescent="0.25">
      <c r="A93" s="532" t="s">
        <v>160</v>
      </c>
      <c r="B93" t="s">
        <v>273</v>
      </c>
      <c r="C93" s="532" t="s">
        <v>928</v>
      </c>
      <c r="D93" s="142">
        <v>0.34150000000000003</v>
      </c>
      <c r="E93" s="369">
        <v>7.7499999999999999E-2</v>
      </c>
      <c r="F93" s="12"/>
    </row>
    <row r="94" spans="1:6" x14ac:dyDescent="0.25">
      <c r="A94" s="532" t="s">
        <v>160</v>
      </c>
      <c r="B94" t="s">
        <v>274</v>
      </c>
      <c r="C94" s="532" t="s">
        <v>929</v>
      </c>
      <c r="D94" s="142">
        <v>0</v>
      </c>
      <c r="E94" s="369">
        <v>5.133</v>
      </c>
      <c r="F94" s="12"/>
    </row>
    <row r="95" spans="1:6" x14ac:dyDescent="0.25">
      <c r="A95" s="532" t="s">
        <v>160</v>
      </c>
      <c r="B95" t="s">
        <v>274</v>
      </c>
      <c r="C95" s="532" t="s">
        <v>930</v>
      </c>
      <c r="D95" s="142">
        <v>0.54500000000000004</v>
      </c>
      <c r="E95" s="369">
        <v>0.19</v>
      </c>
      <c r="F95" s="12"/>
    </row>
    <row r="96" spans="1:6" x14ac:dyDescent="0.25">
      <c r="A96" s="532" t="s">
        <v>160</v>
      </c>
      <c r="B96" t="s">
        <v>274</v>
      </c>
      <c r="C96" s="532" t="s">
        <v>931</v>
      </c>
      <c r="D96" s="142">
        <v>1.9E-2</v>
      </c>
      <c r="E96" s="369">
        <v>0</v>
      </c>
      <c r="F96" s="12"/>
    </row>
    <row r="97" spans="1:6" x14ac:dyDescent="0.25">
      <c r="A97" s="532" t="s">
        <v>160</v>
      </c>
      <c r="B97" t="s">
        <v>274</v>
      </c>
      <c r="C97" s="532" t="s">
        <v>932</v>
      </c>
      <c r="D97" s="142">
        <v>1.214</v>
      </c>
      <c r="E97" s="369">
        <v>1.407</v>
      </c>
      <c r="F97" s="12"/>
    </row>
    <row r="98" spans="1:6" x14ac:dyDescent="0.25">
      <c r="A98" s="532" t="s">
        <v>160</v>
      </c>
      <c r="B98" t="s">
        <v>274</v>
      </c>
      <c r="C98" s="532" t="s">
        <v>598</v>
      </c>
      <c r="D98" s="142">
        <v>4.3789999999999996</v>
      </c>
      <c r="E98" s="369">
        <v>5.9459999999999997</v>
      </c>
      <c r="F98" s="12"/>
    </row>
    <row r="99" spans="1:6" x14ac:dyDescent="0.25">
      <c r="A99" s="532" t="s">
        <v>160</v>
      </c>
      <c r="B99" t="s">
        <v>275</v>
      </c>
      <c r="C99" s="532" t="s">
        <v>933</v>
      </c>
      <c r="D99" s="142">
        <v>1.3640000000000001</v>
      </c>
      <c r="E99" s="369">
        <v>0</v>
      </c>
      <c r="F99" s="12"/>
    </row>
    <row r="100" spans="1:6" x14ac:dyDescent="0.25">
      <c r="A100" s="532" t="s">
        <v>160</v>
      </c>
      <c r="B100" t="s">
        <v>934</v>
      </c>
      <c r="C100" s="532" t="s">
        <v>935</v>
      </c>
      <c r="D100" s="142">
        <v>4.0500000000000001E-2</v>
      </c>
      <c r="E100" s="369">
        <v>1.15E-2</v>
      </c>
      <c r="F100" s="12"/>
    </row>
    <row r="101" spans="1:6" x14ac:dyDescent="0.25">
      <c r="A101" s="532" t="s">
        <v>160</v>
      </c>
      <c r="B101" t="s">
        <v>809</v>
      </c>
      <c r="C101" s="532" t="s">
        <v>936</v>
      </c>
      <c r="D101" s="142">
        <v>5.2904999999999998</v>
      </c>
      <c r="E101" s="369">
        <v>7.0369999999999999</v>
      </c>
      <c r="F101" s="12"/>
    </row>
    <row r="102" spans="1:6" x14ac:dyDescent="0.25">
      <c r="A102" s="532" t="s">
        <v>160</v>
      </c>
      <c r="B102" t="s">
        <v>276</v>
      </c>
      <c r="C102" s="532" t="s">
        <v>937</v>
      </c>
      <c r="D102" s="142">
        <v>0.42499999999999999</v>
      </c>
      <c r="E102" s="369">
        <v>0.22800000000000001</v>
      </c>
      <c r="F102" s="12"/>
    </row>
    <row r="103" spans="1:6" x14ac:dyDescent="0.25">
      <c r="A103" s="532" t="s">
        <v>160</v>
      </c>
      <c r="B103" t="s">
        <v>938</v>
      </c>
      <c r="C103" s="532" t="s">
        <v>939</v>
      </c>
      <c r="D103" s="142">
        <v>7.3499999999999996E-2</v>
      </c>
      <c r="E103" s="369">
        <v>8.3000000000000004E-2</v>
      </c>
      <c r="F103" s="12"/>
    </row>
    <row r="104" spans="1:6" x14ac:dyDescent="0.25">
      <c r="A104" s="532" t="s">
        <v>160</v>
      </c>
      <c r="B104" t="s">
        <v>277</v>
      </c>
      <c r="C104" s="532" t="s">
        <v>599</v>
      </c>
      <c r="D104" s="142">
        <v>12.1935</v>
      </c>
      <c r="E104" s="369">
        <v>17.013500000000001</v>
      </c>
      <c r="F104" s="12"/>
    </row>
    <row r="105" spans="1:6" x14ac:dyDescent="0.25">
      <c r="A105" s="532" t="s">
        <v>160</v>
      </c>
      <c r="B105" t="s">
        <v>277</v>
      </c>
      <c r="C105" s="532" t="s">
        <v>933</v>
      </c>
      <c r="D105" s="142">
        <v>2.0724999999999998</v>
      </c>
      <c r="E105" s="369">
        <v>13.720499999999999</v>
      </c>
      <c r="F105" s="12"/>
    </row>
    <row r="106" spans="1:6" x14ac:dyDescent="0.25">
      <c r="A106" s="532" t="s">
        <v>160</v>
      </c>
      <c r="B106" t="s">
        <v>277</v>
      </c>
      <c r="C106" s="532" t="s">
        <v>940</v>
      </c>
      <c r="D106" s="142">
        <v>14.143000000000001</v>
      </c>
      <c r="E106" s="369">
        <v>7.23</v>
      </c>
      <c r="F106" s="12"/>
    </row>
    <row r="107" spans="1:6" x14ac:dyDescent="0.25">
      <c r="A107" s="532" t="s">
        <v>160</v>
      </c>
      <c r="B107" t="s">
        <v>941</v>
      </c>
      <c r="C107" s="532" t="s">
        <v>942</v>
      </c>
      <c r="D107" s="142">
        <v>0.19900000000000001</v>
      </c>
      <c r="E107" s="369">
        <v>0</v>
      </c>
      <c r="F107" s="12"/>
    </row>
    <row r="108" spans="1:6" x14ac:dyDescent="0.25">
      <c r="A108" s="532" t="s">
        <v>160</v>
      </c>
      <c r="B108" t="s">
        <v>278</v>
      </c>
      <c r="C108" s="532" t="s">
        <v>943</v>
      </c>
      <c r="D108" s="142">
        <v>1.49</v>
      </c>
      <c r="E108" s="369">
        <v>0.96350000000000002</v>
      </c>
      <c r="F108" s="12"/>
    </row>
    <row r="109" spans="1:6" x14ac:dyDescent="0.25">
      <c r="A109" s="532" t="s">
        <v>160</v>
      </c>
      <c r="B109" t="s">
        <v>279</v>
      </c>
      <c r="C109" s="532" t="s">
        <v>944</v>
      </c>
      <c r="D109" s="142">
        <v>0.36499999999999999</v>
      </c>
      <c r="E109" s="369">
        <v>1.1240000000000001</v>
      </c>
      <c r="F109" s="12"/>
    </row>
    <row r="110" spans="1:6" x14ac:dyDescent="0.25">
      <c r="A110" s="532" t="s">
        <v>160</v>
      </c>
      <c r="B110" t="s">
        <v>945</v>
      </c>
      <c r="C110" s="532" t="s">
        <v>942</v>
      </c>
      <c r="D110" s="142">
        <v>0</v>
      </c>
      <c r="E110" s="369">
        <v>0.34</v>
      </c>
      <c r="F110" s="12"/>
    </row>
    <row r="111" spans="1:6" x14ac:dyDescent="0.25">
      <c r="A111" s="532" t="s">
        <v>160</v>
      </c>
      <c r="B111" t="s">
        <v>600</v>
      </c>
      <c r="C111" s="532" t="s">
        <v>868</v>
      </c>
      <c r="D111" s="142">
        <v>0.79300000000000004</v>
      </c>
      <c r="E111" s="369">
        <v>0.28249999999999997</v>
      </c>
      <c r="F111" s="12"/>
    </row>
    <row r="112" spans="1:6" x14ac:dyDescent="0.25">
      <c r="A112" s="532" t="s">
        <v>160</v>
      </c>
      <c r="B112" t="s">
        <v>280</v>
      </c>
      <c r="C112" s="532" t="s">
        <v>946</v>
      </c>
      <c r="D112" s="142">
        <v>7.8410000000000002</v>
      </c>
      <c r="E112" s="369">
        <v>6.9859999999999998</v>
      </c>
      <c r="F112" s="12"/>
    </row>
    <row r="113" spans="1:6" x14ac:dyDescent="0.25">
      <c r="A113" s="532" t="s">
        <v>160</v>
      </c>
      <c r="B113" t="s">
        <v>281</v>
      </c>
      <c r="C113" s="532" t="s">
        <v>601</v>
      </c>
      <c r="D113" s="142">
        <v>4.8079999999999998</v>
      </c>
      <c r="E113" s="369">
        <v>2.3214999999999999</v>
      </c>
      <c r="F113" s="12"/>
    </row>
    <row r="114" spans="1:6" x14ac:dyDescent="0.25">
      <c r="A114" s="532" t="s">
        <v>160</v>
      </c>
      <c r="B114" t="s">
        <v>282</v>
      </c>
      <c r="C114" s="532" t="s">
        <v>602</v>
      </c>
      <c r="D114" s="142">
        <v>0.43</v>
      </c>
      <c r="E114" s="369">
        <v>1.1855</v>
      </c>
      <c r="F114" s="12"/>
    </row>
    <row r="115" spans="1:6" x14ac:dyDescent="0.25">
      <c r="A115" s="532" t="s">
        <v>160</v>
      </c>
      <c r="B115" t="s">
        <v>282</v>
      </c>
      <c r="C115" s="532" t="s">
        <v>947</v>
      </c>
      <c r="D115" s="142">
        <v>16.974</v>
      </c>
      <c r="E115" s="369">
        <v>20.816500000000001</v>
      </c>
      <c r="F115" s="12"/>
    </row>
    <row r="116" spans="1:6" x14ac:dyDescent="0.25">
      <c r="A116" s="532" t="s">
        <v>160</v>
      </c>
      <c r="B116" t="s">
        <v>283</v>
      </c>
      <c r="C116" s="532" t="s">
        <v>603</v>
      </c>
      <c r="D116" s="142">
        <v>1.6515</v>
      </c>
      <c r="E116" s="369">
        <v>2.9470000000000001</v>
      </c>
      <c r="F116" s="12"/>
    </row>
    <row r="117" spans="1:6" x14ac:dyDescent="0.25">
      <c r="A117" s="532" t="s">
        <v>160</v>
      </c>
      <c r="B117" t="s">
        <v>283</v>
      </c>
      <c r="C117" s="532" t="s">
        <v>948</v>
      </c>
      <c r="D117" s="142">
        <v>6.3010000000000002</v>
      </c>
      <c r="E117" s="369">
        <v>0</v>
      </c>
      <c r="F117" s="12"/>
    </row>
    <row r="118" spans="1:6" x14ac:dyDescent="0.25">
      <c r="A118" s="532" t="s">
        <v>160</v>
      </c>
      <c r="B118" t="s">
        <v>283</v>
      </c>
      <c r="C118" s="532" t="s">
        <v>604</v>
      </c>
      <c r="D118" s="142">
        <v>43.756999999999998</v>
      </c>
      <c r="E118" s="369">
        <v>45.396999999999998</v>
      </c>
      <c r="F118" s="12"/>
    </row>
    <row r="119" spans="1:6" x14ac:dyDescent="0.25">
      <c r="A119" s="532" t="s">
        <v>160</v>
      </c>
      <c r="B119" t="s">
        <v>284</v>
      </c>
      <c r="C119" s="532" t="s">
        <v>892</v>
      </c>
      <c r="D119" s="142">
        <v>0</v>
      </c>
      <c r="E119" s="369">
        <v>0.85550000000000004</v>
      </c>
      <c r="F119" s="12"/>
    </row>
    <row r="120" spans="1:6" x14ac:dyDescent="0.25">
      <c r="A120" s="532" t="s">
        <v>160</v>
      </c>
      <c r="B120" t="s">
        <v>285</v>
      </c>
      <c r="C120" s="532" t="s">
        <v>936</v>
      </c>
      <c r="D120" s="142">
        <v>3.6145</v>
      </c>
      <c r="E120" s="369">
        <v>0</v>
      </c>
      <c r="F120" s="12"/>
    </row>
    <row r="121" spans="1:6" x14ac:dyDescent="0.25">
      <c r="A121" s="532" t="s">
        <v>160</v>
      </c>
      <c r="B121" t="s">
        <v>949</v>
      </c>
      <c r="C121" s="532" t="s">
        <v>950</v>
      </c>
      <c r="D121" s="142">
        <v>0.221</v>
      </c>
      <c r="E121" s="369">
        <v>3.3000000000000002E-2</v>
      </c>
      <c r="F121" s="12"/>
    </row>
    <row r="122" spans="1:6" x14ac:dyDescent="0.25">
      <c r="A122" s="532" t="s">
        <v>160</v>
      </c>
      <c r="B122" t="s">
        <v>951</v>
      </c>
      <c r="C122" s="532" t="s">
        <v>952</v>
      </c>
      <c r="D122" s="142">
        <v>0.2155</v>
      </c>
      <c r="E122" s="369">
        <v>0.17599999999999999</v>
      </c>
      <c r="F122" s="12"/>
    </row>
    <row r="123" spans="1:6" x14ac:dyDescent="0.25">
      <c r="A123" s="532" t="s">
        <v>160</v>
      </c>
      <c r="B123" t="s">
        <v>537</v>
      </c>
      <c r="C123" s="532" t="s">
        <v>953</v>
      </c>
      <c r="D123" s="142">
        <v>0.39600000000000002</v>
      </c>
      <c r="E123" s="369">
        <v>0</v>
      </c>
      <c r="F123" s="12"/>
    </row>
    <row r="124" spans="1:6" x14ac:dyDescent="0.25">
      <c r="A124" s="532" t="s">
        <v>160</v>
      </c>
      <c r="B124" t="s">
        <v>286</v>
      </c>
      <c r="C124" s="532" t="s">
        <v>954</v>
      </c>
      <c r="D124" s="142">
        <v>0.20449999999999999</v>
      </c>
      <c r="E124" s="369">
        <v>0.41449999999999998</v>
      </c>
      <c r="F124" s="12"/>
    </row>
    <row r="125" spans="1:6" x14ac:dyDescent="0.25">
      <c r="A125" s="532" t="s">
        <v>160</v>
      </c>
      <c r="B125" t="s">
        <v>287</v>
      </c>
      <c r="C125" s="532" t="s">
        <v>955</v>
      </c>
      <c r="D125" s="142">
        <v>2.5999999999999999E-2</v>
      </c>
      <c r="E125" s="369">
        <v>1.9E-2</v>
      </c>
      <c r="F125" s="12"/>
    </row>
    <row r="126" spans="1:6" x14ac:dyDescent="0.25">
      <c r="A126" s="532" t="s">
        <v>160</v>
      </c>
      <c r="B126" t="s">
        <v>287</v>
      </c>
      <c r="C126" s="532" t="s">
        <v>956</v>
      </c>
      <c r="D126" s="142">
        <v>4.4499999999999998E-2</v>
      </c>
      <c r="E126" s="369">
        <v>0.216</v>
      </c>
      <c r="F126" s="12"/>
    </row>
    <row r="127" spans="1:6" x14ac:dyDescent="0.25">
      <c r="A127" s="532" t="s">
        <v>160</v>
      </c>
      <c r="B127" t="s">
        <v>287</v>
      </c>
      <c r="C127" s="532" t="s">
        <v>957</v>
      </c>
      <c r="D127" s="142">
        <v>0.63349999999999995</v>
      </c>
      <c r="E127" s="369">
        <v>0.121</v>
      </c>
      <c r="F127" s="12"/>
    </row>
    <row r="128" spans="1:6" x14ac:dyDescent="0.25">
      <c r="A128" s="532" t="s">
        <v>160</v>
      </c>
      <c r="B128" t="s">
        <v>287</v>
      </c>
      <c r="C128" s="532" t="s">
        <v>958</v>
      </c>
      <c r="D128" s="142">
        <v>8.1000000000000003E-2</v>
      </c>
      <c r="E128" s="369">
        <v>0</v>
      </c>
      <c r="F128" s="12"/>
    </row>
    <row r="129" spans="1:6" x14ac:dyDescent="0.25">
      <c r="A129" s="532" t="s">
        <v>160</v>
      </c>
      <c r="B129" t="s">
        <v>288</v>
      </c>
      <c r="C129" s="532" t="s">
        <v>959</v>
      </c>
      <c r="D129" s="142">
        <v>0.30549999999999999</v>
      </c>
      <c r="E129" s="369">
        <v>0.158</v>
      </c>
      <c r="F129" s="12"/>
    </row>
    <row r="130" spans="1:6" x14ac:dyDescent="0.25">
      <c r="A130" s="532" t="s">
        <v>160</v>
      </c>
      <c r="B130" t="s">
        <v>289</v>
      </c>
      <c r="C130" s="532" t="s">
        <v>605</v>
      </c>
      <c r="D130" s="142">
        <v>0.34899999999999998</v>
      </c>
      <c r="E130" s="369">
        <v>0.2225</v>
      </c>
      <c r="F130" s="12"/>
    </row>
    <row r="131" spans="1:6" x14ac:dyDescent="0.25">
      <c r="A131" s="532" t="s">
        <v>160</v>
      </c>
      <c r="B131" t="s">
        <v>960</v>
      </c>
      <c r="C131" s="532" t="s">
        <v>961</v>
      </c>
      <c r="D131" s="142">
        <v>1.2500000000000001E-2</v>
      </c>
      <c r="E131" s="369">
        <v>0.18149999999999999</v>
      </c>
      <c r="F131" s="12"/>
    </row>
    <row r="132" spans="1:6" x14ac:dyDescent="0.25">
      <c r="A132" s="532" t="s">
        <v>160</v>
      </c>
      <c r="B132" t="s">
        <v>290</v>
      </c>
      <c r="C132" s="532" t="s">
        <v>606</v>
      </c>
      <c r="D132" s="142">
        <v>1.7829999999999999</v>
      </c>
      <c r="E132" s="369">
        <v>2.1389999999999998</v>
      </c>
      <c r="F132" s="12"/>
    </row>
    <row r="133" spans="1:6" x14ac:dyDescent="0.25">
      <c r="A133" s="532" t="s">
        <v>160</v>
      </c>
      <c r="B133" t="s">
        <v>326</v>
      </c>
      <c r="C133" s="532" t="s">
        <v>962</v>
      </c>
      <c r="D133" s="142">
        <v>6.1639999999999997</v>
      </c>
      <c r="E133" s="369">
        <v>7.5534999999999997</v>
      </c>
      <c r="F133" s="12"/>
    </row>
    <row r="134" spans="1:6" x14ac:dyDescent="0.25">
      <c r="A134" s="532" t="s">
        <v>160</v>
      </c>
      <c r="B134" t="s">
        <v>963</v>
      </c>
      <c r="C134" s="532" t="s">
        <v>964</v>
      </c>
      <c r="D134" s="142">
        <v>6.9000000000000006E-2</v>
      </c>
      <c r="E134" s="369">
        <v>1.4E-2</v>
      </c>
      <c r="F134" s="12"/>
    </row>
    <row r="135" spans="1:6" x14ac:dyDescent="0.25">
      <c r="A135" s="532" t="s">
        <v>160</v>
      </c>
      <c r="B135" t="s">
        <v>965</v>
      </c>
      <c r="C135" s="532" t="s">
        <v>966</v>
      </c>
      <c r="D135" s="142">
        <v>8.7999999999999995E-2</v>
      </c>
      <c r="E135" s="369">
        <v>0</v>
      </c>
      <c r="F135" s="12"/>
    </row>
    <row r="136" spans="1:6" x14ac:dyDescent="0.25">
      <c r="A136" s="532" t="s">
        <v>160</v>
      </c>
      <c r="B136" t="s">
        <v>291</v>
      </c>
      <c r="C136" s="532" t="s">
        <v>967</v>
      </c>
      <c r="D136" s="142">
        <v>0.71250000000000002</v>
      </c>
      <c r="E136" s="369">
        <v>0.96150000000000002</v>
      </c>
      <c r="F136" s="12"/>
    </row>
    <row r="137" spans="1:6" x14ac:dyDescent="0.25">
      <c r="A137" s="532" t="s">
        <v>160</v>
      </c>
      <c r="B137" t="s">
        <v>968</v>
      </c>
      <c r="C137" s="532" t="s">
        <v>969</v>
      </c>
      <c r="D137" s="142">
        <v>0.26300000000000001</v>
      </c>
      <c r="E137" s="369">
        <v>0</v>
      </c>
      <c r="F137" s="12"/>
    </row>
    <row r="138" spans="1:6" x14ac:dyDescent="0.25">
      <c r="A138" s="532" t="s">
        <v>160</v>
      </c>
      <c r="B138" t="s">
        <v>292</v>
      </c>
      <c r="C138" s="532" t="s">
        <v>970</v>
      </c>
      <c r="D138" s="142">
        <v>1.988</v>
      </c>
      <c r="E138" s="369">
        <v>1.633</v>
      </c>
      <c r="F138" s="12"/>
    </row>
    <row r="139" spans="1:6" x14ac:dyDescent="0.25">
      <c r="A139" s="532" t="s">
        <v>160</v>
      </c>
      <c r="B139" t="s">
        <v>293</v>
      </c>
      <c r="C139" s="532" t="s">
        <v>862</v>
      </c>
      <c r="D139" s="142">
        <v>0.51800000000000002</v>
      </c>
      <c r="E139" s="369">
        <v>0.53500000000000003</v>
      </c>
      <c r="F139" s="12"/>
    </row>
    <row r="140" spans="1:6" x14ac:dyDescent="0.25">
      <c r="A140" s="532" t="s">
        <v>160</v>
      </c>
      <c r="B140" t="s">
        <v>293</v>
      </c>
      <c r="C140" s="532" t="s">
        <v>971</v>
      </c>
      <c r="D140" s="142">
        <v>0.01</v>
      </c>
      <c r="E140" s="369">
        <v>8.9075000000000006</v>
      </c>
      <c r="F140" s="12"/>
    </row>
    <row r="141" spans="1:6" x14ac:dyDescent="0.25">
      <c r="A141" s="532" t="s">
        <v>160</v>
      </c>
      <c r="B141" t="s">
        <v>293</v>
      </c>
      <c r="C141" s="532" t="s">
        <v>972</v>
      </c>
      <c r="D141" s="142">
        <v>42.234999999999999</v>
      </c>
      <c r="E141" s="369">
        <v>32.06</v>
      </c>
      <c r="F141" s="12"/>
    </row>
    <row r="142" spans="1:6" x14ac:dyDescent="0.25">
      <c r="A142" s="532" t="s">
        <v>160</v>
      </c>
      <c r="B142" t="s">
        <v>294</v>
      </c>
      <c r="C142" s="532" t="s">
        <v>607</v>
      </c>
      <c r="D142" s="142">
        <v>4.7690000000000001</v>
      </c>
      <c r="E142" s="369">
        <v>0</v>
      </c>
      <c r="F142" s="12"/>
    </row>
    <row r="143" spans="1:6" x14ac:dyDescent="0.25">
      <c r="A143" s="532" t="s">
        <v>160</v>
      </c>
      <c r="B143" t="s">
        <v>973</v>
      </c>
      <c r="C143" s="532" t="s">
        <v>874</v>
      </c>
      <c r="D143" s="142">
        <v>0</v>
      </c>
      <c r="E143" s="369">
        <v>22.895</v>
      </c>
      <c r="F143" s="12"/>
    </row>
    <row r="144" spans="1:6" x14ac:dyDescent="0.25">
      <c r="A144" s="532" t="s">
        <v>160</v>
      </c>
      <c r="B144" t="s">
        <v>295</v>
      </c>
      <c r="C144" s="532" t="s">
        <v>974</v>
      </c>
      <c r="D144" s="142">
        <v>5.1440000000000001</v>
      </c>
      <c r="E144" s="369">
        <v>5.9865000000000004</v>
      </c>
      <c r="F144" s="12"/>
    </row>
    <row r="145" spans="1:6" x14ac:dyDescent="0.25">
      <c r="A145" s="532" t="s">
        <v>160</v>
      </c>
      <c r="B145" t="s">
        <v>975</v>
      </c>
      <c r="C145" s="532" t="s">
        <v>976</v>
      </c>
      <c r="D145" s="142">
        <v>0.18</v>
      </c>
      <c r="E145" s="369">
        <v>0.17</v>
      </c>
      <c r="F145" s="12"/>
    </row>
    <row r="146" spans="1:6" x14ac:dyDescent="0.25">
      <c r="A146" s="532" t="s">
        <v>160</v>
      </c>
      <c r="B146" t="s">
        <v>296</v>
      </c>
      <c r="C146" s="532" t="s">
        <v>977</v>
      </c>
      <c r="D146" s="142">
        <v>26.614999999999998</v>
      </c>
      <c r="E146" s="369">
        <v>29.617000000000001</v>
      </c>
      <c r="F146" s="12"/>
    </row>
    <row r="147" spans="1:6" x14ac:dyDescent="0.25">
      <c r="A147" s="532" t="s">
        <v>160</v>
      </c>
      <c r="B147" t="s">
        <v>978</v>
      </c>
      <c r="C147" s="532" t="s">
        <v>979</v>
      </c>
      <c r="D147" s="142">
        <v>2.7E-2</v>
      </c>
      <c r="E147" s="369">
        <v>4.9500000000000002E-2</v>
      </c>
      <c r="F147" s="12"/>
    </row>
    <row r="148" spans="1:6" x14ac:dyDescent="0.25">
      <c r="A148" s="532" t="s">
        <v>160</v>
      </c>
      <c r="B148" t="s">
        <v>297</v>
      </c>
      <c r="C148" s="532" t="s">
        <v>980</v>
      </c>
      <c r="D148" s="142">
        <v>7.4515000000000002</v>
      </c>
      <c r="E148" s="369">
        <v>8.1750000000000007</v>
      </c>
      <c r="F148" s="12"/>
    </row>
    <row r="149" spans="1:6" x14ac:dyDescent="0.25">
      <c r="A149" s="532" t="s">
        <v>160</v>
      </c>
      <c r="B149" t="s">
        <v>981</v>
      </c>
      <c r="C149" s="532" t="s">
        <v>982</v>
      </c>
      <c r="D149" s="142">
        <v>0.03</v>
      </c>
      <c r="E149" s="369">
        <v>1.4999999999999999E-2</v>
      </c>
      <c r="F149" s="12"/>
    </row>
    <row r="150" spans="1:6" x14ac:dyDescent="0.25">
      <c r="A150" s="532" t="s">
        <v>160</v>
      </c>
      <c r="B150" t="s">
        <v>298</v>
      </c>
      <c r="C150" s="532" t="s">
        <v>983</v>
      </c>
      <c r="D150" s="142">
        <v>4.3570000000000002</v>
      </c>
      <c r="E150" s="369">
        <v>0.871</v>
      </c>
      <c r="F150" s="12"/>
    </row>
    <row r="151" spans="1:6" x14ac:dyDescent="0.25">
      <c r="A151" s="532" t="s">
        <v>160</v>
      </c>
      <c r="B151" t="s">
        <v>298</v>
      </c>
      <c r="C151" s="532" t="s">
        <v>984</v>
      </c>
      <c r="D151" s="142">
        <v>1.952</v>
      </c>
      <c r="E151" s="369">
        <v>0.315</v>
      </c>
      <c r="F151" s="12"/>
    </row>
    <row r="152" spans="1:6" x14ac:dyDescent="0.25">
      <c r="A152" s="532" t="s">
        <v>160</v>
      </c>
      <c r="B152" t="s">
        <v>299</v>
      </c>
      <c r="C152" s="532" t="s">
        <v>608</v>
      </c>
      <c r="D152" s="142">
        <v>2.1579999999999999</v>
      </c>
      <c r="E152" s="369">
        <v>0</v>
      </c>
      <c r="F152" s="12"/>
    </row>
    <row r="153" spans="1:6" x14ac:dyDescent="0.25">
      <c r="A153" s="532" t="s">
        <v>160</v>
      </c>
      <c r="B153" t="s">
        <v>985</v>
      </c>
      <c r="C153" s="532" t="s">
        <v>986</v>
      </c>
      <c r="D153" s="142">
        <v>2.5000000000000001E-3</v>
      </c>
      <c r="E153" s="369">
        <v>0</v>
      </c>
      <c r="F153" s="12"/>
    </row>
    <row r="154" spans="1:6" x14ac:dyDescent="0.25">
      <c r="A154" s="532" t="s">
        <v>160</v>
      </c>
      <c r="B154" t="s">
        <v>987</v>
      </c>
      <c r="C154" s="532" t="s">
        <v>988</v>
      </c>
      <c r="D154" s="142">
        <v>1.7500000000000002E-2</v>
      </c>
      <c r="E154" s="369">
        <v>3.85E-2</v>
      </c>
      <c r="F154" s="12"/>
    </row>
    <row r="155" spans="1:6" x14ac:dyDescent="0.25">
      <c r="A155" s="532" t="s">
        <v>160</v>
      </c>
      <c r="B155" t="s">
        <v>300</v>
      </c>
      <c r="C155" s="532" t="s">
        <v>989</v>
      </c>
      <c r="D155" s="142">
        <v>2.089</v>
      </c>
      <c r="E155" s="369">
        <v>1.3979999999999999</v>
      </c>
      <c r="F155" s="12"/>
    </row>
    <row r="156" spans="1:6" x14ac:dyDescent="0.25">
      <c r="A156" s="532" t="s">
        <v>160</v>
      </c>
      <c r="B156" t="s">
        <v>301</v>
      </c>
      <c r="C156" s="532" t="s">
        <v>990</v>
      </c>
      <c r="D156" s="142">
        <v>1.5449999999999999</v>
      </c>
      <c r="E156" s="369">
        <v>2.141</v>
      </c>
      <c r="F156" s="12"/>
    </row>
    <row r="157" spans="1:6" x14ac:dyDescent="0.25">
      <c r="A157" s="532" t="s">
        <v>160</v>
      </c>
      <c r="B157" t="s">
        <v>302</v>
      </c>
      <c r="C157" s="532" t="s">
        <v>991</v>
      </c>
      <c r="D157" s="142">
        <v>11.031499999999999</v>
      </c>
      <c r="E157" s="369">
        <v>19.809999999999999</v>
      </c>
      <c r="F157" s="12"/>
    </row>
    <row r="158" spans="1:6" x14ac:dyDescent="0.25">
      <c r="A158" s="532" t="s">
        <v>160</v>
      </c>
      <c r="B158" t="s">
        <v>302</v>
      </c>
      <c r="C158" s="532" t="s">
        <v>929</v>
      </c>
      <c r="D158" s="142">
        <v>10.340999999999999</v>
      </c>
      <c r="E158" s="369">
        <v>10.355</v>
      </c>
      <c r="F158" s="12"/>
    </row>
    <row r="159" spans="1:6" x14ac:dyDescent="0.25">
      <c r="A159" s="532" t="s">
        <v>160</v>
      </c>
      <c r="B159" t="s">
        <v>302</v>
      </c>
      <c r="C159" s="532" t="s">
        <v>992</v>
      </c>
      <c r="D159" s="142">
        <v>0</v>
      </c>
      <c r="E159" s="369">
        <v>0.1285</v>
      </c>
      <c r="F159" s="12"/>
    </row>
    <row r="160" spans="1:6" x14ac:dyDescent="0.25">
      <c r="A160" s="532" t="s">
        <v>160</v>
      </c>
      <c r="B160" t="s">
        <v>302</v>
      </c>
      <c r="C160" s="532" t="s">
        <v>993</v>
      </c>
      <c r="D160" s="142">
        <v>4.1635</v>
      </c>
      <c r="E160" s="369">
        <v>4.0145</v>
      </c>
      <c r="F160" s="12"/>
    </row>
    <row r="161" spans="1:6" x14ac:dyDescent="0.25">
      <c r="A161" s="532" t="s">
        <v>160</v>
      </c>
      <c r="B161" t="s">
        <v>302</v>
      </c>
      <c r="C161" s="532" t="s">
        <v>609</v>
      </c>
      <c r="D161" s="142">
        <v>40.274999999999999</v>
      </c>
      <c r="E161" s="369">
        <v>22.731999999999999</v>
      </c>
      <c r="F161" s="12"/>
    </row>
    <row r="162" spans="1:6" x14ac:dyDescent="0.25">
      <c r="A162" s="532" t="s">
        <v>160</v>
      </c>
      <c r="B162" t="s">
        <v>302</v>
      </c>
      <c r="C162" s="532" t="s">
        <v>994</v>
      </c>
      <c r="D162" s="142">
        <v>19.296500000000002</v>
      </c>
      <c r="E162" s="369">
        <v>16.828499999999998</v>
      </c>
      <c r="F162" s="12"/>
    </row>
    <row r="163" spans="1:6" x14ac:dyDescent="0.25">
      <c r="A163" s="532" t="s">
        <v>160</v>
      </c>
      <c r="B163" t="s">
        <v>302</v>
      </c>
      <c r="C163" s="532" t="s">
        <v>995</v>
      </c>
      <c r="D163" s="142">
        <v>2.4125000000000001</v>
      </c>
      <c r="E163" s="369">
        <v>0.69650000000000001</v>
      </c>
      <c r="F163" s="12"/>
    </row>
    <row r="164" spans="1:6" x14ac:dyDescent="0.25">
      <c r="A164" s="532" t="s">
        <v>160</v>
      </c>
      <c r="B164" t="s">
        <v>303</v>
      </c>
      <c r="C164" s="532" t="s">
        <v>996</v>
      </c>
      <c r="D164" s="142">
        <v>2.3795000000000002</v>
      </c>
      <c r="E164" s="369">
        <v>2.0975000000000001</v>
      </c>
      <c r="F164" s="12"/>
    </row>
    <row r="165" spans="1:6" x14ac:dyDescent="0.25">
      <c r="A165" s="532" t="s">
        <v>160</v>
      </c>
      <c r="B165" t="s">
        <v>303</v>
      </c>
      <c r="C165" s="532" t="s">
        <v>597</v>
      </c>
      <c r="D165" s="142">
        <v>1.5880000000000001</v>
      </c>
      <c r="E165" s="369">
        <v>7.0000000000000001E-3</v>
      </c>
      <c r="F165" s="12"/>
    </row>
    <row r="166" spans="1:6" x14ac:dyDescent="0.25">
      <c r="A166" s="532" t="s">
        <v>160</v>
      </c>
      <c r="B166" t="s">
        <v>303</v>
      </c>
      <c r="C166" s="532" t="s">
        <v>997</v>
      </c>
      <c r="D166" s="142">
        <v>12.7105</v>
      </c>
      <c r="E166" s="369">
        <v>12.737</v>
      </c>
      <c r="F166" s="12"/>
    </row>
    <row r="167" spans="1:6" x14ac:dyDescent="0.25">
      <c r="A167" s="532" t="s">
        <v>160</v>
      </c>
      <c r="B167" t="s">
        <v>303</v>
      </c>
      <c r="C167" s="532" t="s">
        <v>998</v>
      </c>
      <c r="D167" s="142">
        <v>1.2555000000000001</v>
      </c>
      <c r="E167" s="369">
        <v>7.4654999999999996</v>
      </c>
      <c r="F167" s="12"/>
    </row>
    <row r="168" spans="1:6" x14ac:dyDescent="0.25">
      <c r="A168" s="532" t="s">
        <v>160</v>
      </c>
      <c r="B168" t="s">
        <v>303</v>
      </c>
      <c r="C168" s="532" t="s">
        <v>999</v>
      </c>
      <c r="D168" s="142">
        <v>2.6499999999999999E-2</v>
      </c>
      <c r="E168" s="369">
        <v>9.4999999999999998E-3</v>
      </c>
      <c r="F168" s="12"/>
    </row>
    <row r="169" spans="1:6" x14ac:dyDescent="0.25">
      <c r="A169" s="532" t="s">
        <v>160</v>
      </c>
      <c r="B169" t="s">
        <v>303</v>
      </c>
      <c r="C169" s="532" t="s">
        <v>1000</v>
      </c>
      <c r="D169" s="142">
        <v>5.1764999999999999</v>
      </c>
      <c r="E169" s="369">
        <v>2.528</v>
      </c>
      <c r="F169" s="12"/>
    </row>
    <row r="170" spans="1:6" x14ac:dyDescent="0.25">
      <c r="A170" s="532" t="s">
        <v>160</v>
      </c>
      <c r="B170" t="s">
        <v>303</v>
      </c>
      <c r="C170" s="532" t="s">
        <v>1001</v>
      </c>
      <c r="D170" s="142">
        <v>6.0259999999999998</v>
      </c>
      <c r="E170" s="369">
        <v>9.8610000000000007</v>
      </c>
      <c r="F170" s="12"/>
    </row>
    <row r="171" spans="1:6" x14ac:dyDescent="0.25">
      <c r="A171" s="532" t="s">
        <v>160</v>
      </c>
      <c r="B171" t="s">
        <v>303</v>
      </c>
      <c r="C171" s="532" t="s">
        <v>1002</v>
      </c>
      <c r="D171" s="142">
        <v>0</v>
      </c>
      <c r="E171" s="369">
        <v>1E-3</v>
      </c>
      <c r="F171" s="12"/>
    </row>
    <row r="172" spans="1:6" x14ac:dyDescent="0.25">
      <c r="A172" s="532" t="s">
        <v>160</v>
      </c>
      <c r="B172" t="s">
        <v>303</v>
      </c>
      <c r="C172" s="532" t="s">
        <v>1003</v>
      </c>
      <c r="D172" s="142">
        <v>2.5999999999999999E-2</v>
      </c>
      <c r="E172" s="369">
        <v>1.0595000000000001</v>
      </c>
      <c r="F172" s="12"/>
    </row>
    <row r="173" spans="1:6" x14ac:dyDescent="0.25">
      <c r="A173" s="532" t="s">
        <v>160</v>
      </c>
      <c r="B173" t="s">
        <v>303</v>
      </c>
      <c r="C173" s="532" t="s">
        <v>1004</v>
      </c>
      <c r="D173" s="142">
        <v>3.95E-2</v>
      </c>
      <c r="E173" s="369">
        <v>0.13650000000000001</v>
      </c>
      <c r="F173" s="12"/>
    </row>
    <row r="174" spans="1:6" x14ac:dyDescent="0.25">
      <c r="A174" s="532" t="s">
        <v>160</v>
      </c>
      <c r="B174" t="s">
        <v>1005</v>
      </c>
      <c r="C174" s="532" t="s">
        <v>1006</v>
      </c>
      <c r="D174" s="142">
        <v>3.0000000000000001E-3</v>
      </c>
      <c r="E174" s="369">
        <v>1.8499999999999999E-2</v>
      </c>
      <c r="F174" s="12"/>
    </row>
    <row r="175" spans="1:6" x14ac:dyDescent="0.25">
      <c r="A175" s="532" t="s">
        <v>160</v>
      </c>
      <c r="B175" t="s">
        <v>304</v>
      </c>
      <c r="C175" s="532" t="s">
        <v>1007</v>
      </c>
      <c r="D175" s="142">
        <v>0.49249999999999999</v>
      </c>
      <c r="E175" s="369">
        <v>0</v>
      </c>
      <c r="F175" s="12"/>
    </row>
    <row r="176" spans="1:6" x14ac:dyDescent="0.25">
      <c r="A176" s="532" t="s">
        <v>160</v>
      </c>
      <c r="B176" t="s">
        <v>305</v>
      </c>
      <c r="C176" s="532" t="s">
        <v>1008</v>
      </c>
      <c r="D176" s="142">
        <v>0.63549999999999995</v>
      </c>
      <c r="E176" s="369">
        <v>0.71650000000000003</v>
      </c>
      <c r="F176" s="12"/>
    </row>
    <row r="177" spans="1:6" x14ac:dyDescent="0.25">
      <c r="A177" s="532" t="s">
        <v>160</v>
      </c>
      <c r="B177" t="s">
        <v>306</v>
      </c>
      <c r="C177" s="532" t="s">
        <v>1002</v>
      </c>
      <c r="D177" s="142">
        <v>7.2</v>
      </c>
      <c r="E177" s="369">
        <v>7.2</v>
      </c>
      <c r="F177" s="12"/>
    </row>
    <row r="178" spans="1:6" x14ac:dyDescent="0.25">
      <c r="A178" s="532" t="s">
        <v>160</v>
      </c>
      <c r="B178" t="s">
        <v>1009</v>
      </c>
      <c r="C178" s="532" t="s">
        <v>1010</v>
      </c>
      <c r="D178" s="142">
        <v>0</v>
      </c>
      <c r="E178" s="369">
        <v>0.42249999999999999</v>
      </c>
      <c r="F178" s="12"/>
    </row>
    <row r="179" spans="1:6" x14ac:dyDescent="0.25">
      <c r="A179" s="532" t="s">
        <v>160</v>
      </c>
      <c r="B179" t="s">
        <v>825</v>
      </c>
      <c r="C179" s="532" t="s">
        <v>1011</v>
      </c>
      <c r="D179" s="142">
        <v>6.62</v>
      </c>
      <c r="E179" s="369">
        <v>3.4304999999999999</v>
      </c>
      <c r="F179" s="12"/>
    </row>
    <row r="180" spans="1:6" x14ac:dyDescent="0.25">
      <c r="A180" s="532" t="s">
        <v>160</v>
      </c>
      <c r="B180" t="s">
        <v>610</v>
      </c>
      <c r="C180" s="532" t="s">
        <v>611</v>
      </c>
      <c r="D180" s="142">
        <v>0.17899999999999999</v>
      </c>
      <c r="E180" s="369">
        <v>2.5165000000000002</v>
      </c>
      <c r="F180" s="12"/>
    </row>
    <row r="181" spans="1:6" x14ac:dyDescent="0.25">
      <c r="A181" s="532" t="s">
        <v>160</v>
      </c>
      <c r="B181" t="s">
        <v>612</v>
      </c>
      <c r="C181" s="532" t="s">
        <v>1012</v>
      </c>
      <c r="D181" s="142">
        <v>0.81850000000000001</v>
      </c>
      <c r="E181" s="369">
        <v>0.36199999999999999</v>
      </c>
      <c r="F181" s="12"/>
    </row>
    <row r="182" spans="1:6" x14ac:dyDescent="0.25">
      <c r="A182" s="599" t="s">
        <v>307</v>
      </c>
      <c r="B182" s="600"/>
      <c r="C182" s="601"/>
      <c r="D182" s="370">
        <v>863.23299999999995</v>
      </c>
      <c r="E182" s="533">
        <v>810.79600000000005</v>
      </c>
      <c r="F182" s="12"/>
    </row>
    <row r="183" spans="1:6" x14ac:dyDescent="0.25">
      <c r="A183" s="532" t="s">
        <v>826</v>
      </c>
      <c r="B183" t="s">
        <v>308</v>
      </c>
      <c r="C183" s="532" t="s">
        <v>613</v>
      </c>
      <c r="D183" s="142">
        <v>425.0385</v>
      </c>
      <c r="E183" s="369">
        <v>422.4375</v>
      </c>
      <c r="F183" s="12"/>
    </row>
    <row r="184" spans="1:6" x14ac:dyDescent="0.25">
      <c r="A184" s="532" t="s">
        <v>826</v>
      </c>
      <c r="B184" t="s">
        <v>309</v>
      </c>
      <c r="C184" s="532" t="s">
        <v>614</v>
      </c>
      <c r="D184" s="142">
        <v>5.0730000000000004</v>
      </c>
      <c r="E184" s="369">
        <v>4.641</v>
      </c>
      <c r="F184" s="12"/>
    </row>
    <row r="185" spans="1:6" x14ac:dyDescent="0.25">
      <c r="A185" s="532" t="s">
        <v>826</v>
      </c>
      <c r="B185" t="s">
        <v>310</v>
      </c>
      <c r="C185" s="532" t="s">
        <v>615</v>
      </c>
      <c r="D185" s="142">
        <v>35.165999999999997</v>
      </c>
      <c r="E185" s="369">
        <v>44.44</v>
      </c>
      <c r="F185" s="12"/>
    </row>
    <row r="186" spans="1:6" x14ac:dyDescent="0.25">
      <c r="A186" s="532" t="s">
        <v>826</v>
      </c>
      <c r="B186" t="s">
        <v>1013</v>
      </c>
      <c r="C186" s="532" t="s">
        <v>1014</v>
      </c>
      <c r="D186" s="142">
        <v>0</v>
      </c>
      <c r="E186" s="369">
        <v>2.5939999999999999</v>
      </c>
      <c r="F186" s="12"/>
    </row>
    <row r="187" spans="1:6" x14ac:dyDescent="0.25">
      <c r="A187" s="532" t="s">
        <v>826</v>
      </c>
      <c r="B187" t="s">
        <v>312</v>
      </c>
      <c r="C187" s="532" t="s">
        <v>616</v>
      </c>
      <c r="D187" s="142">
        <v>989.6395</v>
      </c>
      <c r="E187" s="369">
        <v>1076.43</v>
      </c>
      <c r="F187" s="12"/>
    </row>
    <row r="188" spans="1:6" x14ac:dyDescent="0.25">
      <c r="A188" s="532" t="s">
        <v>826</v>
      </c>
      <c r="B188" t="s">
        <v>313</v>
      </c>
      <c r="C188" s="532" t="s">
        <v>1015</v>
      </c>
      <c r="D188" s="142">
        <v>21.295999999999999</v>
      </c>
      <c r="E188" s="369">
        <v>19.155000000000001</v>
      </c>
      <c r="F188" s="12"/>
    </row>
    <row r="189" spans="1:6" x14ac:dyDescent="0.25">
      <c r="A189" s="532" t="s">
        <v>826</v>
      </c>
      <c r="B189" t="s">
        <v>313</v>
      </c>
      <c r="C189" s="532" t="s">
        <v>616</v>
      </c>
      <c r="D189" s="142">
        <v>0.54449999999999998</v>
      </c>
      <c r="E189" s="369">
        <v>0.72399999999999998</v>
      </c>
      <c r="F189" s="12"/>
    </row>
    <row r="190" spans="1:6" x14ac:dyDescent="0.25">
      <c r="A190" s="532" t="s">
        <v>826</v>
      </c>
      <c r="B190" t="s">
        <v>314</v>
      </c>
      <c r="C190" s="532" t="s">
        <v>617</v>
      </c>
      <c r="D190" s="142">
        <v>18.798999999999999</v>
      </c>
      <c r="E190" s="369">
        <v>13.641500000000001</v>
      </c>
      <c r="F190" s="12"/>
    </row>
    <row r="191" spans="1:6" x14ac:dyDescent="0.25">
      <c r="A191" s="532" t="s">
        <v>826</v>
      </c>
      <c r="B191" t="s">
        <v>315</v>
      </c>
      <c r="C191" s="532" t="s">
        <v>618</v>
      </c>
      <c r="D191" s="142">
        <v>11.627000000000001</v>
      </c>
      <c r="E191" s="369">
        <v>28.821000000000002</v>
      </c>
      <c r="F191" s="12"/>
    </row>
    <row r="192" spans="1:6" x14ac:dyDescent="0.25">
      <c r="A192" s="532" t="s">
        <v>826</v>
      </c>
      <c r="B192" t="s">
        <v>316</v>
      </c>
      <c r="C192" s="532" t="s">
        <v>619</v>
      </c>
      <c r="D192" s="142">
        <v>37.834000000000003</v>
      </c>
      <c r="E192" s="369">
        <v>21.576499999999999</v>
      </c>
      <c r="F192" s="12"/>
    </row>
    <row r="193" spans="1:6" x14ac:dyDescent="0.25">
      <c r="A193" s="599" t="s">
        <v>827</v>
      </c>
      <c r="B193" s="600"/>
      <c r="C193" s="601"/>
      <c r="D193" s="370">
        <v>1545.0174999999999</v>
      </c>
      <c r="E193" s="533">
        <v>1634.4604999999999</v>
      </c>
      <c r="F193" s="12"/>
    </row>
    <row r="194" spans="1:6" x14ac:dyDescent="0.25">
      <c r="A194" s="532" t="s">
        <v>161</v>
      </c>
      <c r="B194" t="s">
        <v>317</v>
      </c>
      <c r="C194" s="532" t="s">
        <v>620</v>
      </c>
      <c r="D194" s="142">
        <v>382.28149999999999</v>
      </c>
      <c r="E194" s="369">
        <v>392.71850000000001</v>
      </c>
      <c r="F194" s="12"/>
    </row>
    <row r="195" spans="1:6" x14ac:dyDescent="0.25">
      <c r="A195" s="532" t="s">
        <v>161</v>
      </c>
      <c r="B195" t="s">
        <v>318</v>
      </c>
      <c r="C195" s="532" t="s">
        <v>621</v>
      </c>
      <c r="D195" s="142">
        <v>1.04</v>
      </c>
      <c r="E195" s="369">
        <v>0.156</v>
      </c>
      <c r="F195" s="12"/>
    </row>
    <row r="196" spans="1:6" x14ac:dyDescent="0.25">
      <c r="A196" s="599" t="s">
        <v>622</v>
      </c>
      <c r="B196" s="600"/>
      <c r="C196" s="601"/>
      <c r="D196" s="370">
        <v>383.32150000000001</v>
      </c>
      <c r="E196" s="533">
        <v>392.87450000000001</v>
      </c>
      <c r="F196" s="12"/>
    </row>
    <row r="197" spans="1:6" x14ac:dyDescent="0.25">
      <c r="A197" s="532" t="s">
        <v>319</v>
      </c>
      <c r="B197" t="s">
        <v>320</v>
      </c>
      <c r="C197" s="532" t="s">
        <v>623</v>
      </c>
      <c r="D197" s="142">
        <v>0.74750000000000005</v>
      </c>
      <c r="E197" s="369">
        <v>0</v>
      </c>
      <c r="F197" s="12"/>
    </row>
    <row r="198" spans="1:6" x14ac:dyDescent="0.25">
      <c r="A198" s="599" t="s">
        <v>321</v>
      </c>
      <c r="B198" s="600"/>
      <c r="C198" s="601"/>
      <c r="D198" s="370">
        <v>0.74750000000000005</v>
      </c>
      <c r="E198" s="533">
        <v>0</v>
      </c>
      <c r="F198" s="12"/>
    </row>
    <row r="199" spans="1:6" x14ac:dyDescent="0.25">
      <c r="A199" s="532" t="s">
        <v>322</v>
      </c>
      <c r="B199" t="s">
        <v>624</v>
      </c>
      <c r="C199" s="532" t="s">
        <v>1016</v>
      </c>
      <c r="D199" s="142">
        <v>0</v>
      </c>
      <c r="E199" s="369">
        <v>2.3010000000000002</v>
      </c>
      <c r="F199" s="12"/>
    </row>
    <row r="200" spans="1:6" x14ac:dyDescent="0.25">
      <c r="A200" s="532" t="s">
        <v>322</v>
      </c>
      <c r="B200" t="s">
        <v>624</v>
      </c>
      <c r="C200" s="532" t="s">
        <v>625</v>
      </c>
      <c r="D200" s="142">
        <v>2.3195000000000001</v>
      </c>
      <c r="E200" s="369">
        <v>1.1339999999999999</v>
      </c>
      <c r="F200" s="12"/>
    </row>
    <row r="201" spans="1:6" x14ac:dyDescent="0.25">
      <c r="A201" s="532" t="s">
        <v>322</v>
      </c>
      <c r="B201" t="s">
        <v>274</v>
      </c>
      <c r="C201" s="532" t="s">
        <v>1017</v>
      </c>
      <c r="D201" s="142">
        <v>0.2155</v>
      </c>
      <c r="E201" s="369">
        <v>0.32200000000000001</v>
      </c>
      <c r="F201" s="12"/>
    </row>
    <row r="202" spans="1:6" x14ac:dyDescent="0.25">
      <c r="A202" s="532" t="s">
        <v>322</v>
      </c>
      <c r="B202" t="s">
        <v>323</v>
      </c>
      <c r="C202" s="532" t="s">
        <v>1018</v>
      </c>
      <c r="D202" s="142">
        <v>31.247499999999999</v>
      </c>
      <c r="E202" s="369">
        <v>35.540999999999997</v>
      </c>
      <c r="F202" s="12"/>
    </row>
    <row r="203" spans="1:6" x14ac:dyDescent="0.25">
      <c r="A203" s="532" t="s">
        <v>322</v>
      </c>
      <c r="B203" t="s">
        <v>324</v>
      </c>
      <c r="C203" s="532" t="s">
        <v>1019</v>
      </c>
      <c r="D203" s="142">
        <v>9.9459999999999997</v>
      </c>
      <c r="E203" s="369">
        <v>10.005000000000001</v>
      </c>
      <c r="F203" s="12"/>
    </row>
    <row r="204" spans="1:6" x14ac:dyDescent="0.25">
      <c r="A204" s="532" t="s">
        <v>322</v>
      </c>
      <c r="B204" t="s">
        <v>287</v>
      </c>
      <c r="C204" s="532" t="s">
        <v>1020</v>
      </c>
      <c r="D204" s="142">
        <v>0.32500000000000001</v>
      </c>
      <c r="E204" s="369">
        <v>3.7999999999999999E-2</v>
      </c>
      <c r="F204" s="12"/>
    </row>
    <row r="205" spans="1:6" x14ac:dyDescent="0.25">
      <c r="A205" s="532" t="s">
        <v>322</v>
      </c>
      <c r="B205" t="s">
        <v>325</v>
      </c>
      <c r="C205" s="532" t="s">
        <v>1021</v>
      </c>
      <c r="D205" s="142">
        <v>6.54</v>
      </c>
      <c r="E205" s="369">
        <v>6.1070000000000002</v>
      </c>
      <c r="F205" s="12"/>
    </row>
    <row r="206" spans="1:6" x14ac:dyDescent="0.25">
      <c r="A206" s="532" t="s">
        <v>322</v>
      </c>
      <c r="B206" t="s">
        <v>327</v>
      </c>
      <c r="C206" s="532" t="s">
        <v>626</v>
      </c>
      <c r="D206" s="142">
        <v>2.5539999999999998</v>
      </c>
      <c r="E206" s="369">
        <v>1.76</v>
      </c>
      <c r="F206" s="12"/>
    </row>
    <row r="207" spans="1:6" x14ac:dyDescent="0.25">
      <c r="A207" s="532" t="s">
        <v>322</v>
      </c>
      <c r="B207" t="s">
        <v>327</v>
      </c>
      <c r="C207" s="532" t="s">
        <v>627</v>
      </c>
      <c r="D207" s="142">
        <v>2.339</v>
      </c>
      <c r="E207" s="369">
        <v>3.0550000000000002</v>
      </c>
      <c r="F207" s="12"/>
    </row>
    <row r="208" spans="1:6" x14ac:dyDescent="0.25">
      <c r="A208" s="532" t="s">
        <v>322</v>
      </c>
      <c r="B208" t="s">
        <v>302</v>
      </c>
      <c r="C208" s="532" t="s">
        <v>1022</v>
      </c>
      <c r="D208" s="142">
        <v>7.3499999999999996E-2</v>
      </c>
      <c r="E208" s="369">
        <v>0</v>
      </c>
      <c r="F208" s="12"/>
    </row>
    <row r="209" spans="1:6" x14ac:dyDescent="0.25">
      <c r="A209" s="532" t="s">
        <v>322</v>
      </c>
      <c r="B209" t="s">
        <v>302</v>
      </c>
      <c r="C209" s="532" t="s">
        <v>1023</v>
      </c>
      <c r="D209" s="142">
        <v>3.8065000000000002</v>
      </c>
      <c r="E209" s="369">
        <v>0</v>
      </c>
      <c r="F209" s="12"/>
    </row>
    <row r="210" spans="1:6" x14ac:dyDescent="0.25">
      <c r="A210" s="532" t="s">
        <v>322</v>
      </c>
      <c r="B210" t="s">
        <v>302</v>
      </c>
      <c r="C210" s="532" t="s">
        <v>1024</v>
      </c>
      <c r="D210" s="142">
        <v>6.4234999999999998</v>
      </c>
      <c r="E210" s="369">
        <v>4.7785000000000002</v>
      </c>
      <c r="F210" s="12"/>
    </row>
    <row r="211" spans="1:6" x14ac:dyDescent="0.25">
      <c r="A211" s="532" t="s">
        <v>322</v>
      </c>
      <c r="B211" t="s">
        <v>302</v>
      </c>
      <c r="C211" s="532" t="s">
        <v>1025</v>
      </c>
      <c r="D211" s="142">
        <v>3.1974999999999998</v>
      </c>
      <c r="E211" s="369">
        <v>3.8424999999999998</v>
      </c>
      <c r="F211" s="12"/>
    </row>
    <row r="212" spans="1:6" x14ac:dyDescent="0.25">
      <c r="A212" s="599" t="s">
        <v>328</v>
      </c>
      <c r="B212" s="600"/>
      <c r="C212" s="601"/>
      <c r="D212" s="370">
        <v>68.987499999999997</v>
      </c>
      <c r="E212" s="533">
        <v>68.884</v>
      </c>
      <c r="F212" s="12"/>
    </row>
    <row r="213" spans="1:6" x14ac:dyDescent="0.25">
      <c r="A213" s="532" t="s">
        <v>329</v>
      </c>
      <c r="B213" t="s">
        <v>330</v>
      </c>
      <c r="C213" s="532" t="s">
        <v>628</v>
      </c>
      <c r="D213" s="142">
        <v>0.495</v>
      </c>
      <c r="E213" s="369">
        <v>0.47</v>
      </c>
      <c r="F213" s="12"/>
    </row>
    <row r="214" spans="1:6" x14ac:dyDescent="0.25">
      <c r="A214" s="599" t="s">
        <v>331</v>
      </c>
      <c r="B214" s="600"/>
      <c r="C214" s="601"/>
      <c r="D214" s="370">
        <v>0.495</v>
      </c>
      <c r="E214" s="533">
        <v>0.47</v>
      </c>
      <c r="F214" s="12"/>
    </row>
    <row r="215" spans="1:6" x14ac:dyDescent="0.25">
      <c r="A215" s="532" t="s">
        <v>68</v>
      </c>
      <c r="B215" t="s">
        <v>1026</v>
      </c>
      <c r="C215" s="532" t="s">
        <v>1027</v>
      </c>
      <c r="D215" s="142">
        <v>0.13</v>
      </c>
      <c r="E215" s="369">
        <v>0.112</v>
      </c>
      <c r="F215" s="12"/>
    </row>
    <row r="216" spans="1:6" x14ac:dyDescent="0.25">
      <c r="A216" s="532" t="s">
        <v>68</v>
      </c>
      <c r="B216" t="s">
        <v>332</v>
      </c>
      <c r="C216" s="532" t="s">
        <v>629</v>
      </c>
      <c r="D216" s="142">
        <v>981.35799999999995</v>
      </c>
      <c r="E216" s="369">
        <v>1019.68</v>
      </c>
      <c r="F216" s="12"/>
    </row>
    <row r="217" spans="1:6" x14ac:dyDescent="0.25">
      <c r="A217" s="532" t="s">
        <v>68</v>
      </c>
      <c r="B217" t="s">
        <v>333</v>
      </c>
      <c r="C217" s="532" t="s">
        <v>630</v>
      </c>
      <c r="D217" s="142">
        <v>25.210999999999999</v>
      </c>
      <c r="E217" s="369">
        <v>189.70650000000001</v>
      </c>
      <c r="F217" s="12"/>
    </row>
    <row r="218" spans="1:6" x14ac:dyDescent="0.25">
      <c r="A218" s="532" t="s">
        <v>68</v>
      </c>
      <c r="B218" t="s">
        <v>334</v>
      </c>
      <c r="C218" s="532" t="s">
        <v>631</v>
      </c>
      <c r="D218" s="142">
        <v>1293.0219999999999</v>
      </c>
      <c r="E218" s="369">
        <v>1390.0485000000001</v>
      </c>
      <c r="F218" s="12"/>
    </row>
    <row r="219" spans="1:6" x14ac:dyDescent="0.25">
      <c r="A219" s="532" t="s">
        <v>68</v>
      </c>
      <c r="B219" t="s">
        <v>334</v>
      </c>
      <c r="C219" s="532" t="s">
        <v>632</v>
      </c>
      <c r="D219" s="142">
        <v>1751.19</v>
      </c>
      <c r="E219" s="369">
        <v>1740.0574999999999</v>
      </c>
      <c r="F219" s="12"/>
    </row>
    <row r="220" spans="1:6" x14ac:dyDescent="0.25">
      <c r="A220" s="532" t="s">
        <v>68</v>
      </c>
      <c r="B220" t="s">
        <v>335</v>
      </c>
      <c r="C220" s="532" t="s">
        <v>633</v>
      </c>
      <c r="D220" s="142">
        <v>314.16750000000002</v>
      </c>
      <c r="E220" s="369">
        <v>331.64749999999998</v>
      </c>
      <c r="F220" s="12"/>
    </row>
    <row r="221" spans="1:6" x14ac:dyDescent="0.25">
      <c r="A221" s="532" t="s">
        <v>68</v>
      </c>
      <c r="B221" t="s">
        <v>336</v>
      </c>
      <c r="C221" s="532" t="s">
        <v>634</v>
      </c>
      <c r="D221" s="142">
        <v>341.75549999999998</v>
      </c>
      <c r="E221" s="369">
        <v>392.21249999999998</v>
      </c>
      <c r="F221" s="12"/>
    </row>
    <row r="222" spans="1:6" x14ac:dyDescent="0.25">
      <c r="A222" s="532" t="s">
        <v>68</v>
      </c>
      <c r="B222" t="s">
        <v>1028</v>
      </c>
      <c r="C222" s="532" t="s">
        <v>1029</v>
      </c>
      <c r="D222" s="142">
        <v>0</v>
      </c>
      <c r="E222" s="369">
        <v>4.8000000000000001E-2</v>
      </c>
      <c r="F222" s="12"/>
    </row>
    <row r="223" spans="1:6" x14ac:dyDescent="0.25">
      <c r="A223" s="532" t="s">
        <v>68</v>
      </c>
      <c r="B223" t="s">
        <v>1030</v>
      </c>
      <c r="C223" s="532" t="s">
        <v>1031</v>
      </c>
      <c r="D223" s="142">
        <v>4.9500000000000002E-2</v>
      </c>
      <c r="E223" s="369">
        <v>0.55800000000000005</v>
      </c>
      <c r="F223" s="12"/>
    </row>
    <row r="224" spans="1:6" x14ac:dyDescent="0.25">
      <c r="A224" s="532" t="s">
        <v>68</v>
      </c>
      <c r="B224" t="s">
        <v>337</v>
      </c>
      <c r="C224" s="532" t="s">
        <v>635</v>
      </c>
      <c r="D224" s="142">
        <v>326.57499999999999</v>
      </c>
      <c r="E224" s="369">
        <v>0</v>
      </c>
      <c r="F224" s="12"/>
    </row>
    <row r="225" spans="1:6" x14ac:dyDescent="0.25">
      <c r="A225" s="532" t="s">
        <v>68</v>
      </c>
      <c r="B225" t="s">
        <v>338</v>
      </c>
      <c r="C225" s="532" t="s">
        <v>636</v>
      </c>
      <c r="D225" s="142">
        <v>393.76350000000002</v>
      </c>
      <c r="E225" s="369">
        <v>433.79500000000002</v>
      </c>
      <c r="F225" s="12"/>
    </row>
    <row r="226" spans="1:6" x14ac:dyDescent="0.25">
      <c r="A226" s="532" t="s">
        <v>68</v>
      </c>
      <c r="B226" t="s">
        <v>339</v>
      </c>
      <c r="C226" s="532" t="s">
        <v>637</v>
      </c>
      <c r="D226" s="142">
        <v>2.2250000000000001</v>
      </c>
      <c r="E226" s="369">
        <v>0</v>
      </c>
      <c r="F226" s="12"/>
    </row>
    <row r="227" spans="1:6" x14ac:dyDescent="0.25">
      <c r="A227" s="532" t="s">
        <v>68</v>
      </c>
      <c r="B227" t="s">
        <v>339</v>
      </c>
      <c r="C227" s="532" t="s">
        <v>638</v>
      </c>
      <c r="D227" s="142">
        <v>66.515500000000003</v>
      </c>
      <c r="E227" s="369">
        <v>53.366999999999997</v>
      </c>
      <c r="F227" s="12"/>
    </row>
    <row r="228" spans="1:6" x14ac:dyDescent="0.25">
      <c r="A228" s="532" t="s">
        <v>68</v>
      </c>
      <c r="B228" t="s">
        <v>339</v>
      </c>
      <c r="C228" s="532" t="s">
        <v>639</v>
      </c>
      <c r="D228" s="142">
        <v>51.936999999999998</v>
      </c>
      <c r="E228" s="369">
        <v>76.246499999999997</v>
      </c>
      <c r="F228" s="12"/>
    </row>
    <row r="229" spans="1:6" x14ac:dyDescent="0.25">
      <c r="A229" s="532" t="s">
        <v>68</v>
      </c>
      <c r="B229" t="s">
        <v>339</v>
      </c>
      <c r="C229" s="532" t="s">
        <v>1032</v>
      </c>
      <c r="D229" s="142">
        <v>0</v>
      </c>
      <c r="E229" s="369">
        <v>6.9279999999999999</v>
      </c>
      <c r="F229" s="12"/>
    </row>
    <row r="230" spans="1:6" x14ac:dyDescent="0.25">
      <c r="A230" s="532" t="s">
        <v>68</v>
      </c>
      <c r="B230" t="s">
        <v>340</v>
      </c>
      <c r="C230" s="532" t="s">
        <v>640</v>
      </c>
      <c r="D230" s="142">
        <v>207.857</v>
      </c>
      <c r="E230" s="369">
        <v>251.84399999999999</v>
      </c>
      <c r="F230" s="12"/>
    </row>
    <row r="231" spans="1:6" x14ac:dyDescent="0.25">
      <c r="A231" s="532" t="s">
        <v>68</v>
      </c>
      <c r="B231" t="s">
        <v>340</v>
      </c>
      <c r="C231" s="532" t="s">
        <v>641</v>
      </c>
      <c r="D231" s="142">
        <v>826.19949999999994</v>
      </c>
      <c r="E231" s="369">
        <v>773.72799999999995</v>
      </c>
      <c r="F231" s="12"/>
    </row>
    <row r="232" spans="1:6" x14ac:dyDescent="0.25">
      <c r="A232" s="532" t="s">
        <v>68</v>
      </c>
      <c r="B232" t="s">
        <v>340</v>
      </c>
      <c r="C232" s="532" t="s">
        <v>1033</v>
      </c>
      <c r="D232" s="142">
        <v>121.224</v>
      </c>
      <c r="E232" s="369">
        <v>184.18549999999999</v>
      </c>
      <c r="F232" s="12"/>
    </row>
    <row r="233" spans="1:6" x14ac:dyDescent="0.25">
      <c r="A233" s="532" t="s">
        <v>68</v>
      </c>
      <c r="B233" t="s">
        <v>341</v>
      </c>
      <c r="C233" s="532" t="s">
        <v>642</v>
      </c>
      <c r="D233" s="142">
        <v>1.6755</v>
      </c>
      <c r="E233" s="369">
        <v>0</v>
      </c>
      <c r="F233" s="12"/>
    </row>
    <row r="234" spans="1:6" x14ac:dyDescent="0.25">
      <c r="A234" s="532" t="s">
        <v>68</v>
      </c>
      <c r="B234" t="s">
        <v>1034</v>
      </c>
      <c r="C234" s="532" t="s">
        <v>705</v>
      </c>
      <c r="D234" s="142">
        <v>0</v>
      </c>
      <c r="E234" s="369">
        <v>65.982500000000002</v>
      </c>
      <c r="F234" s="12"/>
    </row>
    <row r="235" spans="1:6" x14ac:dyDescent="0.25">
      <c r="A235" s="532" t="s">
        <v>68</v>
      </c>
      <c r="B235" t="s">
        <v>828</v>
      </c>
      <c r="C235" s="532" t="s">
        <v>664</v>
      </c>
      <c r="D235" s="142">
        <v>129.27850000000001</v>
      </c>
      <c r="E235" s="369">
        <v>95.877499999999998</v>
      </c>
      <c r="F235" s="12"/>
    </row>
    <row r="236" spans="1:6" x14ac:dyDescent="0.25">
      <c r="A236" s="532" t="s">
        <v>68</v>
      </c>
      <c r="B236" t="s">
        <v>342</v>
      </c>
      <c r="C236" s="532" t="s">
        <v>643</v>
      </c>
      <c r="D236" s="142">
        <v>84.756</v>
      </c>
      <c r="E236" s="369">
        <v>236.73</v>
      </c>
      <c r="F236" s="12"/>
    </row>
    <row r="237" spans="1:6" x14ac:dyDescent="0.25">
      <c r="A237" s="532" t="s">
        <v>68</v>
      </c>
      <c r="B237" t="s">
        <v>1035</v>
      </c>
      <c r="C237" s="532" t="s">
        <v>644</v>
      </c>
      <c r="D237" s="142">
        <v>0.16550000000000001</v>
      </c>
      <c r="E237" s="369">
        <v>0</v>
      </c>
      <c r="F237" s="12"/>
    </row>
    <row r="238" spans="1:6" x14ac:dyDescent="0.25">
      <c r="A238" s="532" t="s">
        <v>68</v>
      </c>
      <c r="B238" t="s">
        <v>343</v>
      </c>
      <c r="C238" s="532" t="s">
        <v>1036</v>
      </c>
      <c r="D238" s="142">
        <v>0.02</v>
      </c>
      <c r="E238" s="369">
        <v>0.78549999999999998</v>
      </c>
      <c r="F238" s="12"/>
    </row>
    <row r="239" spans="1:6" x14ac:dyDescent="0.25">
      <c r="A239" s="532" t="s">
        <v>68</v>
      </c>
      <c r="B239" t="s">
        <v>343</v>
      </c>
      <c r="C239" s="532" t="s">
        <v>1037</v>
      </c>
      <c r="D239" s="142">
        <v>0</v>
      </c>
      <c r="E239" s="369">
        <v>8.1195000000000004</v>
      </c>
      <c r="F239" s="12"/>
    </row>
    <row r="240" spans="1:6" x14ac:dyDescent="0.25">
      <c r="A240" s="532" t="s">
        <v>68</v>
      </c>
      <c r="B240" t="s">
        <v>343</v>
      </c>
      <c r="C240" s="532" t="s">
        <v>645</v>
      </c>
      <c r="D240" s="142">
        <v>39.488500000000002</v>
      </c>
      <c r="E240" s="369">
        <v>2.52</v>
      </c>
      <c r="F240" s="12"/>
    </row>
    <row r="241" spans="1:6" x14ac:dyDescent="0.25">
      <c r="A241" s="532" t="s">
        <v>68</v>
      </c>
      <c r="B241" t="s">
        <v>343</v>
      </c>
      <c r="C241" s="532" t="s">
        <v>712</v>
      </c>
      <c r="D241" s="142">
        <v>0</v>
      </c>
      <c r="E241" s="369">
        <v>43.929000000000002</v>
      </c>
      <c r="F241" s="12"/>
    </row>
    <row r="242" spans="1:6" x14ac:dyDescent="0.25">
      <c r="A242" s="532" t="s">
        <v>68</v>
      </c>
      <c r="B242" t="s">
        <v>343</v>
      </c>
      <c r="C242" s="532" t="s">
        <v>646</v>
      </c>
      <c r="D242" s="142">
        <v>6.1219999999999999</v>
      </c>
      <c r="E242" s="369">
        <v>0</v>
      </c>
      <c r="F242" s="12"/>
    </row>
    <row r="243" spans="1:6" x14ac:dyDescent="0.25">
      <c r="A243" s="532" t="s">
        <v>68</v>
      </c>
      <c r="B243" t="s">
        <v>343</v>
      </c>
      <c r="C243" s="532" t="s">
        <v>810</v>
      </c>
      <c r="D243" s="142">
        <v>8.7509999999999994</v>
      </c>
      <c r="E243" s="369">
        <v>44.941000000000003</v>
      </c>
      <c r="F243" s="12"/>
    </row>
    <row r="244" spans="1:6" x14ac:dyDescent="0.25">
      <c r="A244" s="532" t="s">
        <v>68</v>
      </c>
      <c r="B244" t="s">
        <v>344</v>
      </c>
      <c r="C244" s="532" t="s">
        <v>1038</v>
      </c>
      <c r="D244" s="142">
        <v>0.40500000000000003</v>
      </c>
      <c r="E244" s="369">
        <v>0</v>
      </c>
      <c r="F244" s="12"/>
    </row>
    <row r="245" spans="1:6" x14ac:dyDescent="0.25">
      <c r="A245" s="532" t="s">
        <v>68</v>
      </c>
      <c r="B245" t="s">
        <v>344</v>
      </c>
      <c r="C245" s="532" t="s">
        <v>829</v>
      </c>
      <c r="D245" s="142">
        <v>0</v>
      </c>
      <c r="E245" s="369">
        <v>79.295000000000002</v>
      </c>
      <c r="F245" s="12"/>
    </row>
    <row r="246" spans="1:6" x14ac:dyDescent="0.25">
      <c r="A246" s="532" t="s">
        <v>68</v>
      </c>
      <c r="B246" t="s">
        <v>345</v>
      </c>
      <c r="C246" s="532" t="s">
        <v>648</v>
      </c>
      <c r="D246" s="142">
        <v>4.266</v>
      </c>
      <c r="E246" s="369">
        <v>4.9420000000000002</v>
      </c>
      <c r="F246" s="12"/>
    </row>
    <row r="247" spans="1:6" x14ac:dyDescent="0.25">
      <c r="A247" s="532" t="s">
        <v>68</v>
      </c>
      <c r="B247" t="s">
        <v>346</v>
      </c>
      <c r="C247" s="532" t="s">
        <v>649</v>
      </c>
      <c r="D247" s="142">
        <v>1.0685</v>
      </c>
      <c r="E247" s="369">
        <v>0.48249999999999998</v>
      </c>
      <c r="F247" s="12"/>
    </row>
    <row r="248" spans="1:6" x14ac:dyDescent="0.25">
      <c r="A248" s="532" t="s">
        <v>68</v>
      </c>
      <c r="B248" t="s">
        <v>650</v>
      </c>
      <c r="C248" s="532" t="s">
        <v>711</v>
      </c>
      <c r="D248" s="142">
        <v>0</v>
      </c>
      <c r="E248" s="369">
        <v>3.4904999999999999</v>
      </c>
      <c r="F248" s="12"/>
    </row>
    <row r="249" spans="1:6" x14ac:dyDescent="0.25">
      <c r="A249" s="532" t="s">
        <v>68</v>
      </c>
      <c r="B249" t="s">
        <v>650</v>
      </c>
      <c r="C249" s="532" t="s">
        <v>651</v>
      </c>
      <c r="D249" s="142">
        <v>422.96749999999997</v>
      </c>
      <c r="E249" s="369">
        <v>612.68949999999995</v>
      </c>
      <c r="F249" s="12"/>
    </row>
    <row r="250" spans="1:6" x14ac:dyDescent="0.25">
      <c r="A250" s="532" t="s">
        <v>68</v>
      </c>
      <c r="B250" t="s">
        <v>347</v>
      </c>
      <c r="C250" s="532" t="s">
        <v>830</v>
      </c>
      <c r="D250" s="142">
        <v>0.45500000000000002</v>
      </c>
      <c r="E250" s="369">
        <v>0</v>
      </c>
      <c r="F250" s="12"/>
    </row>
    <row r="251" spans="1:6" x14ac:dyDescent="0.25">
      <c r="A251" s="532" t="s">
        <v>68</v>
      </c>
      <c r="B251" t="s">
        <v>348</v>
      </c>
      <c r="C251" s="532" t="s">
        <v>652</v>
      </c>
      <c r="D251" s="142">
        <v>2.266</v>
      </c>
      <c r="E251" s="369">
        <v>2.4359999999999999</v>
      </c>
      <c r="F251" s="12"/>
    </row>
    <row r="252" spans="1:6" x14ac:dyDescent="0.25">
      <c r="A252" s="532" t="s">
        <v>68</v>
      </c>
      <c r="B252" t="s">
        <v>349</v>
      </c>
      <c r="C252" s="532" t="s">
        <v>1039</v>
      </c>
      <c r="D252" s="142">
        <v>0.53</v>
      </c>
      <c r="E252" s="369">
        <v>0</v>
      </c>
      <c r="F252" s="12"/>
    </row>
    <row r="253" spans="1:6" x14ac:dyDescent="0.25">
      <c r="A253" s="532" t="s">
        <v>68</v>
      </c>
      <c r="B253" t="s">
        <v>653</v>
      </c>
      <c r="C253" s="532" t="s">
        <v>654</v>
      </c>
      <c r="D253" s="142">
        <v>26.366</v>
      </c>
      <c r="E253" s="369">
        <v>8.7134999999999998</v>
      </c>
      <c r="F253" s="12"/>
    </row>
    <row r="254" spans="1:6" x14ac:dyDescent="0.25">
      <c r="A254" s="532" t="s">
        <v>68</v>
      </c>
      <c r="B254" t="s">
        <v>350</v>
      </c>
      <c r="C254" s="532" t="s">
        <v>655</v>
      </c>
      <c r="D254" s="142">
        <v>245.13249999999999</v>
      </c>
      <c r="E254" s="369">
        <v>261.072</v>
      </c>
      <c r="F254" s="12"/>
    </row>
    <row r="255" spans="1:6" x14ac:dyDescent="0.25">
      <c r="A255" s="532" t="s">
        <v>68</v>
      </c>
      <c r="B255" t="s">
        <v>1040</v>
      </c>
      <c r="C255" s="532" t="s">
        <v>1041</v>
      </c>
      <c r="D255" s="142">
        <v>0.19800000000000001</v>
      </c>
      <c r="E255" s="369">
        <v>0</v>
      </c>
      <c r="F255" s="12"/>
    </row>
    <row r="256" spans="1:6" x14ac:dyDescent="0.25">
      <c r="A256" s="532" t="s">
        <v>68</v>
      </c>
      <c r="B256" t="s">
        <v>351</v>
      </c>
      <c r="C256" s="532" t="s">
        <v>656</v>
      </c>
      <c r="D256" s="142">
        <v>396.32350000000002</v>
      </c>
      <c r="E256" s="369">
        <v>361.01850000000002</v>
      </c>
      <c r="F256" s="12"/>
    </row>
    <row r="257" spans="1:6" x14ac:dyDescent="0.25">
      <c r="A257" s="532" t="s">
        <v>68</v>
      </c>
      <c r="B257" t="s">
        <v>811</v>
      </c>
      <c r="C257" s="532" t="s">
        <v>647</v>
      </c>
      <c r="D257" s="142">
        <v>1.1879999999999999</v>
      </c>
      <c r="E257" s="369">
        <v>0</v>
      </c>
      <c r="F257" s="12"/>
    </row>
    <row r="258" spans="1:6" x14ac:dyDescent="0.25">
      <c r="A258" s="532" t="s">
        <v>68</v>
      </c>
      <c r="B258" t="s">
        <v>352</v>
      </c>
      <c r="C258" s="532" t="s">
        <v>657</v>
      </c>
      <c r="D258" s="142">
        <v>2.5779999999999998</v>
      </c>
      <c r="E258" s="369">
        <v>1.9115</v>
      </c>
      <c r="F258" s="12"/>
    </row>
    <row r="259" spans="1:6" x14ac:dyDescent="0.25">
      <c r="A259" s="532" t="s">
        <v>68</v>
      </c>
      <c r="B259" t="s">
        <v>353</v>
      </c>
      <c r="C259" s="532" t="s">
        <v>658</v>
      </c>
      <c r="D259" s="142">
        <v>273.47800000000001</v>
      </c>
      <c r="E259" s="369">
        <v>37.621000000000002</v>
      </c>
      <c r="F259" s="12"/>
    </row>
    <row r="260" spans="1:6" x14ac:dyDescent="0.25">
      <c r="A260" s="532" t="s">
        <v>68</v>
      </c>
      <c r="B260" t="s">
        <v>353</v>
      </c>
      <c r="C260" s="532" t="s">
        <v>1042</v>
      </c>
      <c r="D260" s="142">
        <v>18.888999999999999</v>
      </c>
      <c r="E260" s="369">
        <v>0</v>
      </c>
      <c r="F260" s="12"/>
    </row>
    <row r="261" spans="1:6" x14ac:dyDescent="0.25">
      <c r="A261" s="532" t="s">
        <v>68</v>
      </c>
      <c r="B261" t="s">
        <v>354</v>
      </c>
      <c r="C261" s="532" t="s">
        <v>659</v>
      </c>
      <c r="D261" s="142">
        <v>107.2835</v>
      </c>
      <c r="E261" s="369">
        <v>184.98150000000001</v>
      </c>
      <c r="F261" s="12"/>
    </row>
    <row r="262" spans="1:6" x14ac:dyDescent="0.25">
      <c r="A262" s="532" t="s">
        <v>68</v>
      </c>
      <c r="B262" t="s">
        <v>831</v>
      </c>
      <c r="C262" s="532" t="s">
        <v>832</v>
      </c>
      <c r="D262" s="142">
        <v>0</v>
      </c>
      <c r="E262" s="369">
        <v>33.216000000000001</v>
      </c>
      <c r="F262" s="12"/>
    </row>
    <row r="263" spans="1:6" x14ac:dyDescent="0.25">
      <c r="A263" s="532" t="s">
        <v>68</v>
      </c>
      <c r="B263" t="s">
        <v>355</v>
      </c>
      <c r="C263" s="532" t="s">
        <v>1043</v>
      </c>
      <c r="D263" s="142">
        <v>141.82050000000001</v>
      </c>
      <c r="E263" s="369">
        <v>94.991</v>
      </c>
      <c r="F263" s="12"/>
    </row>
    <row r="264" spans="1:6" x14ac:dyDescent="0.25">
      <c r="A264" s="532" t="s">
        <v>68</v>
      </c>
      <c r="B264" t="s">
        <v>355</v>
      </c>
      <c r="C264" s="532" t="s">
        <v>660</v>
      </c>
      <c r="D264" s="142">
        <v>700.45450000000005</v>
      </c>
      <c r="E264" s="369">
        <v>1044.1465000000001</v>
      </c>
      <c r="F264" s="12"/>
    </row>
    <row r="265" spans="1:6" x14ac:dyDescent="0.25">
      <c r="A265" s="532" t="s">
        <v>68</v>
      </c>
      <c r="B265" t="s">
        <v>355</v>
      </c>
      <c r="C265" s="532" t="s">
        <v>1044</v>
      </c>
      <c r="D265" s="142">
        <v>346.14400000000001</v>
      </c>
      <c r="E265" s="369">
        <v>267.41649999999998</v>
      </c>
      <c r="F265" s="12"/>
    </row>
    <row r="266" spans="1:6" x14ac:dyDescent="0.25">
      <c r="A266" s="532" t="s">
        <v>68</v>
      </c>
      <c r="B266" t="s">
        <v>1045</v>
      </c>
      <c r="C266" s="532" t="s">
        <v>1046</v>
      </c>
      <c r="D266" s="142">
        <v>0.13150000000000001</v>
      </c>
      <c r="E266" s="369">
        <v>0.2165</v>
      </c>
      <c r="F266" s="12"/>
    </row>
    <row r="267" spans="1:6" x14ac:dyDescent="0.25">
      <c r="A267" s="532" t="s">
        <v>68</v>
      </c>
      <c r="B267" t="s">
        <v>356</v>
      </c>
      <c r="C267" s="532" t="s">
        <v>1047</v>
      </c>
      <c r="D267" s="142">
        <v>282.90899999999999</v>
      </c>
      <c r="E267" s="369">
        <v>375.75150000000002</v>
      </c>
      <c r="F267" s="12"/>
    </row>
    <row r="268" spans="1:6" x14ac:dyDescent="0.25">
      <c r="A268" s="532" t="s">
        <v>68</v>
      </c>
      <c r="B268" t="s">
        <v>357</v>
      </c>
      <c r="C268" s="532" t="s">
        <v>661</v>
      </c>
      <c r="D268" s="142">
        <v>713.50450000000001</v>
      </c>
      <c r="E268" s="369">
        <v>791.93600000000004</v>
      </c>
      <c r="F268" s="12"/>
    </row>
    <row r="269" spans="1:6" x14ac:dyDescent="0.25">
      <c r="A269" s="532" t="s">
        <v>68</v>
      </c>
      <c r="B269" t="s">
        <v>357</v>
      </c>
      <c r="C269" s="532" t="s">
        <v>812</v>
      </c>
      <c r="D269" s="142">
        <v>31.27</v>
      </c>
      <c r="E269" s="369">
        <v>134.21700000000001</v>
      </c>
      <c r="F269" s="12"/>
    </row>
    <row r="270" spans="1:6" x14ac:dyDescent="0.25">
      <c r="A270" s="532" t="s">
        <v>68</v>
      </c>
      <c r="B270" t="s">
        <v>357</v>
      </c>
      <c r="C270" s="532" t="s">
        <v>662</v>
      </c>
      <c r="D270" s="142">
        <v>181.072</v>
      </c>
      <c r="E270" s="369">
        <v>289.88749999999999</v>
      </c>
      <c r="F270" s="12"/>
    </row>
    <row r="271" spans="1:6" x14ac:dyDescent="0.25">
      <c r="A271" s="532" t="s">
        <v>68</v>
      </c>
      <c r="B271" t="s">
        <v>358</v>
      </c>
      <c r="C271" s="532" t="s">
        <v>663</v>
      </c>
      <c r="D271" s="142">
        <v>9.2454999999999998</v>
      </c>
      <c r="E271" s="369">
        <v>0</v>
      </c>
      <c r="F271" s="12"/>
    </row>
    <row r="272" spans="1:6" x14ac:dyDescent="0.25">
      <c r="A272" s="532" t="s">
        <v>68</v>
      </c>
      <c r="B272" t="s">
        <v>359</v>
      </c>
      <c r="C272" s="532" t="s">
        <v>665</v>
      </c>
      <c r="D272" s="142">
        <v>808.35199999999998</v>
      </c>
      <c r="E272" s="369">
        <v>768.601</v>
      </c>
      <c r="F272" s="12"/>
    </row>
    <row r="273" spans="1:17" x14ac:dyDescent="0.25">
      <c r="A273" s="532" t="s">
        <v>68</v>
      </c>
      <c r="B273" t="s">
        <v>813</v>
      </c>
      <c r="C273" s="532" t="s">
        <v>1048</v>
      </c>
      <c r="D273" s="142">
        <v>8.9435000000000002</v>
      </c>
      <c r="E273" s="369">
        <v>41.414999999999999</v>
      </c>
      <c r="F273" s="12"/>
    </row>
    <row r="274" spans="1:17" x14ac:dyDescent="0.25">
      <c r="A274" s="532" t="s">
        <v>68</v>
      </c>
      <c r="B274" t="s">
        <v>813</v>
      </c>
      <c r="C274" s="532" t="s">
        <v>1049</v>
      </c>
      <c r="D274" s="142">
        <v>445.92899999999997</v>
      </c>
      <c r="E274" s="369">
        <v>1959.1949999999999</v>
      </c>
      <c r="F274" s="12"/>
    </row>
    <row r="275" spans="1:17" x14ac:dyDescent="0.25">
      <c r="A275" s="532" t="s">
        <v>68</v>
      </c>
      <c r="B275" t="s">
        <v>360</v>
      </c>
      <c r="C275" s="532" t="s">
        <v>666</v>
      </c>
      <c r="D275" s="142">
        <v>446.82249999999999</v>
      </c>
      <c r="E275" s="369">
        <v>632.63049999999998</v>
      </c>
      <c r="F275" s="12"/>
    </row>
    <row r="276" spans="1:17" x14ac:dyDescent="0.25">
      <c r="A276" s="532" t="s">
        <v>68</v>
      </c>
      <c r="B276" t="s">
        <v>361</v>
      </c>
      <c r="C276" s="532" t="s">
        <v>667</v>
      </c>
      <c r="D276" s="142">
        <v>797.17250000000001</v>
      </c>
      <c r="E276" s="369">
        <v>861.24699999999996</v>
      </c>
      <c r="F276" s="12"/>
    </row>
    <row r="277" spans="1:17" x14ac:dyDescent="0.25">
      <c r="A277" s="532" t="s">
        <v>68</v>
      </c>
      <c r="B277" t="s">
        <v>362</v>
      </c>
      <c r="C277" s="532" t="s">
        <v>668</v>
      </c>
      <c r="D277" s="142">
        <v>1015.511</v>
      </c>
      <c r="E277" s="369">
        <v>1344.492</v>
      </c>
      <c r="F277" s="12"/>
    </row>
    <row r="278" spans="1:17" x14ac:dyDescent="0.25">
      <c r="A278" s="532" t="s">
        <v>68</v>
      </c>
      <c r="B278" t="s">
        <v>363</v>
      </c>
      <c r="C278" s="532" t="s">
        <v>669</v>
      </c>
      <c r="D278" s="142">
        <v>925.58450000000005</v>
      </c>
      <c r="E278" s="369">
        <v>891.90899999999999</v>
      </c>
      <c r="F278" s="12"/>
    </row>
    <row r="279" spans="1:17" x14ac:dyDescent="0.25">
      <c r="A279" s="532" t="s">
        <v>68</v>
      </c>
      <c r="B279" t="s">
        <v>1050</v>
      </c>
      <c r="C279" s="532" t="s">
        <v>673</v>
      </c>
      <c r="D279" s="142">
        <v>0</v>
      </c>
      <c r="E279" s="369">
        <v>3.48</v>
      </c>
      <c r="F279" s="12"/>
      <c r="I279" s="4"/>
      <c r="J279" s="4"/>
      <c r="L279" s="4"/>
      <c r="M279" s="363"/>
      <c r="N279" s="363"/>
      <c r="O279" s="363"/>
      <c r="P279" s="363"/>
    </row>
    <row r="280" spans="1:17" x14ac:dyDescent="0.25">
      <c r="A280" s="532" t="s">
        <v>68</v>
      </c>
      <c r="B280" t="s">
        <v>364</v>
      </c>
      <c r="C280" s="532" t="s">
        <v>670</v>
      </c>
      <c r="D280" s="142">
        <v>4.9249999999999998</v>
      </c>
      <c r="E280" s="369">
        <v>0.94950000000000001</v>
      </c>
      <c r="F280" s="12"/>
      <c r="M280" s="12"/>
      <c r="N280" s="12"/>
      <c r="O280" s="12"/>
      <c r="P280" s="12"/>
    </row>
    <row r="281" spans="1:17" x14ac:dyDescent="0.25">
      <c r="A281" s="532" t="s">
        <v>68</v>
      </c>
      <c r="B281" t="s">
        <v>365</v>
      </c>
      <c r="C281" s="532" t="s">
        <v>671</v>
      </c>
      <c r="D281" s="142">
        <v>6.9050000000000002</v>
      </c>
      <c r="E281" s="369">
        <v>11.531499999999999</v>
      </c>
      <c r="F281" s="12"/>
      <c r="I281" s="4"/>
      <c r="J281" s="4"/>
      <c r="L281" s="4"/>
      <c r="M281" s="363"/>
      <c r="N281" s="363"/>
      <c r="O281" s="363"/>
      <c r="P281" s="363"/>
    </row>
    <row r="282" spans="1:17" x14ac:dyDescent="0.25">
      <c r="A282" s="532" t="s">
        <v>68</v>
      </c>
      <c r="B282" t="s">
        <v>672</v>
      </c>
      <c r="C282" s="532" t="s">
        <v>1051</v>
      </c>
      <c r="D282" s="142">
        <v>18.126999999999999</v>
      </c>
      <c r="E282" s="369">
        <v>63.790500000000002</v>
      </c>
      <c r="F282" s="12"/>
      <c r="M282" s="12"/>
      <c r="N282" s="12"/>
      <c r="O282" s="12"/>
      <c r="P282" s="12"/>
    </row>
    <row r="283" spans="1:17" x14ac:dyDescent="0.25">
      <c r="A283" s="532" t="s">
        <v>68</v>
      </c>
      <c r="B283" t="s">
        <v>366</v>
      </c>
      <c r="C283" s="532" t="s">
        <v>1052</v>
      </c>
      <c r="D283" s="142">
        <v>2834.3440000000001</v>
      </c>
      <c r="E283" s="369">
        <v>4303.9245000000001</v>
      </c>
      <c r="F283" s="12"/>
      <c r="I283" s="4"/>
      <c r="J283" s="4"/>
      <c r="L283" s="4"/>
      <c r="M283" s="363"/>
      <c r="N283" s="363"/>
      <c r="O283" s="363"/>
      <c r="P283" s="363"/>
    </row>
    <row r="284" spans="1:17" x14ac:dyDescent="0.25">
      <c r="A284" s="532" t="s">
        <v>68</v>
      </c>
      <c r="B284" t="s">
        <v>833</v>
      </c>
      <c r="C284" s="532" t="s">
        <v>635</v>
      </c>
      <c r="D284" s="142">
        <v>0</v>
      </c>
      <c r="E284" s="369">
        <v>329.88400000000001</v>
      </c>
      <c r="F284" s="12"/>
      <c r="M284" s="12"/>
      <c r="N284" s="12"/>
      <c r="O284" s="12"/>
      <c r="P284" s="12"/>
    </row>
    <row r="285" spans="1:17" x14ac:dyDescent="0.25">
      <c r="A285" s="532" t="s">
        <v>68</v>
      </c>
      <c r="B285" t="s">
        <v>367</v>
      </c>
      <c r="C285" s="532" t="s">
        <v>1053</v>
      </c>
      <c r="D285" s="142">
        <v>5.5510000000000002</v>
      </c>
      <c r="E285" s="369">
        <v>38.762</v>
      </c>
      <c r="F285" s="12"/>
      <c r="M285" s="12"/>
      <c r="N285" s="12"/>
      <c r="O285" s="12"/>
      <c r="P285" s="12"/>
      <c r="Q285" s="12">
        <f>SUM(N284:N285)</f>
        <v>0</v>
      </c>
    </row>
    <row r="286" spans="1:17" x14ac:dyDescent="0.25">
      <c r="A286" s="532" t="s">
        <v>68</v>
      </c>
      <c r="B286" t="s">
        <v>367</v>
      </c>
      <c r="C286" s="532" t="s">
        <v>1054</v>
      </c>
      <c r="D286" s="142">
        <v>241.90450000000001</v>
      </c>
      <c r="E286" s="369">
        <v>220.88849999999999</v>
      </c>
      <c r="F286" s="12"/>
      <c r="M286" s="12"/>
      <c r="N286" s="12"/>
      <c r="O286" s="12"/>
      <c r="P286" s="12"/>
    </row>
    <row r="287" spans="1:17" x14ac:dyDescent="0.25">
      <c r="A287" s="532" t="s">
        <v>68</v>
      </c>
      <c r="B287" t="s">
        <v>368</v>
      </c>
      <c r="C287" s="532" t="s">
        <v>673</v>
      </c>
      <c r="D287" s="142">
        <v>5.274</v>
      </c>
      <c r="E287" s="369">
        <v>5.82</v>
      </c>
      <c r="F287" s="12"/>
      <c r="I287" s="4"/>
      <c r="J287" s="4"/>
      <c r="L287" s="4"/>
      <c r="M287" s="363"/>
      <c r="N287" s="363"/>
      <c r="O287" s="363"/>
      <c r="P287" s="363"/>
    </row>
    <row r="288" spans="1:17" x14ac:dyDescent="0.25">
      <c r="A288" s="532" t="s">
        <v>68</v>
      </c>
      <c r="B288" t="s">
        <v>814</v>
      </c>
      <c r="C288" s="532" t="s">
        <v>815</v>
      </c>
      <c r="D288" s="142">
        <v>6.1224999999999996</v>
      </c>
      <c r="E288" s="369">
        <v>70.938000000000002</v>
      </c>
      <c r="F288" s="12"/>
      <c r="M288" s="12"/>
      <c r="N288" s="12"/>
      <c r="O288" s="12"/>
      <c r="P288" s="12"/>
    </row>
    <row r="289" spans="1:16" x14ac:dyDescent="0.25">
      <c r="A289" s="532" t="s">
        <v>68</v>
      </c>
      <c r="B289" t="s">
        <v>817</v>
      </c>
      <c r="C289" s="532" t="s">
        <v>644</v>
      </c>
      <c r="D289" s="142">
        <v>2.056</v>
      </c>
      <c r="E289" s="369">
        <v>2.5110000000000001</v>
      </c>
      <c r="F289" s="12"/>
      <c r="M289" s="12"/>
      <c r="N289" s="12"/>
      <c r="O289" s="12"/>
      <c r="P289" s="12"/>
    </row>
    <row r="290" spans="1:16" x14ac:dyDescent="0.25">
      <c r="A290" s="532" t="s">
        <v>68</v>
      </c>
      <c r="B290" t="s">
        <v>369</v>
      </c>
      <c r="C290" s="532" t="s">
        <v>674</v>
      </c>
      <c r="D290" s="142">
        <v>0.25</v>
      </c>
      <c r="E290" s="369">
        <v>0.21</v>
      </c>
      <c r="F290" s="12"/>
    </row>
    <row r="291" spans="1:16" x14ac:dyDescent="0.25">
      <c r="A291" s="532" t="s">
        <v>68</v>
      </c>
      <c r="B291" t="s">
        <v>370</v>
      </c>
      <c r="C291" s="532" t="s">
        <v>675</v>
      </c>
      <c r="D291" s="142">
        <v>68.873999999999995</v>
      </c>
      <c r="E291" s="369">
        <v>0</v>
      </c>
      <c r="F291" s="12"/>
    </row>
    <row r="292" spans="1:16" x14ac:dyDescent="0.25">
      <c r="A292" s="532" t="s">
        <v>68</v>
      </c>
      <c r="B292" t="s">
        <v>371</v>
      </c>
      <c r="C292" s="532" t="s">
        <v>676</v>
      </c>
      <c r="D292" s="142">
        <v>60.16</v>
      </c>
      <c r="E292" s="369">
        <v>89.462000000000003</v>
      </c>
      <c r="F292" s="12"/>
    </row>
    <row r="293" spans="1:16" x14ac:dyDescent="0.25">
      <c r="A293" s="532" t="s">
        <v>68</v>
      </c>
      <c r="B293" t="s">
        <v>372</v>
      </c>
      <c r="C293" s="532" t="s">
        <v>677</v>
      </c>
      <c r="D293" s="142">
        <v>0.70399999999999996</v>
      </c>
      <c r="E293" s="369">
        <v>1.6E-2</v>
      </c>
      <c r="F293" s="12"/>
    </row>
    <row r="294" spans="1:16" x14ac:dyDescent="0.25">
      <c r="A294" s="532" t="s">
        <v>68</v>
      </c>
      <c r="B294" t="s">
        <v>373</v>
      </c>
      <c r="C294" s="532" t="s">
        <v>1055</v>
      </c>
      <c r="D294" s="142">
        <v>0.48</v>
      </c>
      <c r="E294" s="369">
        <v>0.42</v>
      </c>
      <c r="F294" s="12"/>
    </row>
    <row r="295" spans="1:16" x14ac:dyDescent="0.25">
      <c r="A295" s="532" t="s">
        <v>68</v>
      </c>
      <c r="B295" t="s">
        <v>374</v>
      </c>
      <c r="C295" s="532" t="s">
        <v>1056</v>
      </c>
      <c r="D295" s="142">
        <v>154.154</v>
      </c>
      <c r="E295" s="369">
        <v>230.904</v>
      </c>
      <c r="F295" s="12"/>
    </row>
    <row r="296" spans="1:16" x14ac:dyDescent="0.25">
      <c r="A296" s="532" t="s">
        <v>68</v>
      </c>
      <c r="B296" t="s">
        <v>375</v>
      </c>
      <c r="C296" s="532" t="s">
        <v>678</v>
      </c>
      <c r="D296" s="142">
        <v>3.8174999999999999</v>
      </c>
      <c r="E296" s="369">
        <v>5.0529999999999999</v>
      </c>
      <c r="F296" s="12"/>
    </row>
    <row r="297" spans="1:16" x14ac:dyDescent="0.25">
      <c r="A297" s="532" t="s">
        <v>68</v>
      </c>
      <c r="B297" t="s">
        <v>1057</v>
      </c>
      <c r="C297" s="532" t="s">
        <v>1058</v>
      </c>
      <c r="D297" s="142">
        <v>0.78349999999999997</v>
      </c>
      <c r="E297" s="369">
        <v>0.40949999999999998</v>
      </c>
      <c r="F297" s="12"/>
    </row>
    <row r="298" spans="1:16" x14ac:dyDescent="0.25">
      <c r="A298" s="532" t="s">
        <v>68</v>
      </c>
      <c r="B298" t="s">
        <v>376</v>
      </c>
      <c r="C298" s="532" t="s">
        <v>1051</v>
      </c>
      <c r="D298" s="142">
        <v>5.4999999999999997E-3</v>
      </c>
      <c r="E298" s="369">
        <v>0</v>
      </c>
      <c r="F298" s="12"/>
    </row>
    <row r="299" spans="1:16" x14ac:dyDescent="0.25">
      <c r="A299" s="532" t="s">
        <v>68</v>
      </c>
      <c r="B299" t="s">
        <v>377</v>
      </c>
      <c r="C299" s="532" t="s">
        <v>1059</v>
      </c>
      <c r="D299" s="142">
        <v>8.8859999999999992</v>
      </c>
      <c r="E299" s="369">
        <v>0</v>
      </c>
      <c r="F299" s="12"/>
    </row>
    <row r="300" spans="1:16" x14ac:dyDescent="0.25">
      <c r="A300" s="532" t="s">
        <v>68</v>
      </c>
      <c r="B300" t="s">
        <v>378</v>
      </c>
      <c r="C300" s="532" t="s">
        <v>679</v>
      </c>
      <c r="D300" s="142">
        <v>0</v>
      </c>
      <c r="E300" s="369">
        <v>0.88300000000000001</v>
      </c>
      <c r="F300" s="12"/>
    </row>
    <row r="301" spans="1:16" x14ac:dyDescent="0.25">
      <c r="A301" s="532" t="s">
        <v>68</v>
      </c>
      <c r="B301" t="s">
        <v>379</v>
      </c>
      <c r="C301" s="532" t="s">
        <v>680</v>
      </c>
      <c r="D301" s="142">
        <v>5.016</v>
      </c>
      <c r="E301" s="369">
        <v>4.9375</v>
      </c>
      <c r="F301" s="12"/>
    </row>
    <row r="302" spans="1:16" x14ac:dyDescent="0.25">
      <c r="A302" s="532" t="s">
        <v>68</v>
      </c>
      <c r="B302" t="s">
        <v>834</v>
      </c>
      <c r="C302" s="532" t="s">
        <v>675</v>
      </c>
      <c r="D302" s="142">
        <v>0</v>
      </c>
      <c r="E302" s="369">
        <v>66.352000000000004</v>
      </c>
      <c r="F302" s="12"/>
    </row>
    <row r="303" spans="1:16" x14ac:dyDescent="0.25">
      <c r="A303" s="532" t="s">
        <v>68</v>
      </c>
      <c r="B303" t="s">
        <v>834</v>
      </c>
      <c r="C303" s="532" t="s">
        <v>1060</v>
      </c>
      <c r="D303" s="142">
        <v>0</v>
      </c>
      <c r="E303" s="369">
        <v>4.5579999999999998</v>
      </c>
      <c r="F303" s="12"/>
    </row>
    <row r="304" spans="1:16" x14ac:dyDescent="0.25">
      <c r="A304" s="532" t="s">
        <v>68</v>
      </c>
      <c r="B304" t="s">
        <v>834</v>
      </c>
      <c r="C304" s="532" t="s">
        <v>830</v>
      </c>
      <c r="D304" s="142">
        <v>0</v>
      </c>
      <c r="E304" s="369">
        <v>61.366</v>
      </c>
      <c r="F304" s="12"/>
    </row>
    <row r="305" spans="1:6" x14ac:dyDescent="0.25">
      <c r="A305" s="532" t="s">
        <v>68</v>
      </c>
      <c r="B305" t="s">
        <v>1061</v>
      </c>
      <c r="C305" s="532" t="s">
        <v>1062</v>
      </c>
      <c r="D305" s="142">
        <v>0</v>
      </c>
      <c r="E305" s="369">
        <v>2.17</v>
      </c>
      <c r="F305" s="12"/>
    </row>
    <row r="306" spans="1:6" x14ac:dyDescent="0.25">
      <c r="A306" s="532" t="s">
        <v>68</v>
      </c>
      <c r="B306" t="s">
        <v>380</v>
      </c>
      <c r="C306" s="532" t="s">
        <v>681</v>
      </c>
      <c r="D306" s="142">
        <v>465.77499999999998</v>
      </c>
      <c r="E306" s="369">
        <v>579.14449999999999</v>
      </c>
      <c r="F306" s="12"/>
    </row>
    <row r="307" spans="1:6" x14ac:dyDescent="0.25">
      <c r="A307" s="532" t="s">
        <v>68</v>
      </c>
      <c r="B307" t="s">
        <v>381</v>
      </c>
      <c r="C307" s="532" t="s">
        <v>682</v>
      </c>
      <c r="D307" s="142">
        <v>90.525499999999994</v>
      </c>
      <c r="E307" s="369">
        <v>326.76600000000002</v>
      </c>
      <c r="F307" s="12"/>
    </row>
    <row r="308" spans="1:6" x14ac:dyDescent="0.25">
      <c r="A308" s="532" t="s">
        <v>68</v>
      </c>
      <c r="B308" t="s">
        <v>1063</v>
      </c>
      <c r="C308" s="532" t="s">
        <v>1064</v>
      </c>
      <c r="D308" s="142">
        <v>0</v>
      </c>
      <c r="E308" s="369">
        <v>42.018500000000003</v>
      </c>
      <c r="F308" s="12"/>
    </row>
    <row r="309" spans="1:6" x14ac:dyDescent="0.25">
      <c r="A309" s="532" t="s">
        <v>68</v>
      </c>
      <c r="B309" t="s">
        <v>382</v>
      </c>
      <c r="C309" s="532" t="s">
        <v>1048</v>
      </c>
      <c r="D309" s="142">
        <v>37.444000000000003</v>
      </c>
      <c r="E309" s="369">
        <v>0</v>
      </c>
      <c r="F309" s="12"/>
    </row>
    <row r="310" spans="1:6" x14ac:dyDescent="0.25">
      <c r="A310" s="532" t="s">
        <v>68</v>
      </c>
      <c r="B310" t="s">
        <v>382</v>
      </c>
      <c r="C310" s="532" t="s">
        <v>1049</v>
      </c>
      <c r="D310" s="142">
        <v>1349.6125</v>
      </c>
      <c r="E310" s="369">
        <v>0</v>
      </c>
      <c r="F310" s="12"/>
    </row>
    <row r="311" spans="1:6" x14ac:dyDescent="0.25">
      <c r="A311" s="532" t="s">
        <v>68</v>
      </c>
      <c r="B311" t="s">
        <v>383</v>
      </c>
      <c r="C311" s="532" t="s">
        <v>683</v>
      </c>
      <c r="D311" s="142">
        <v>2104.3325</v>
      </c>
      <c r="E311" s="369">
        <v>2115.0864999999999</v>
      </c>
      <c r="F311" s="12"/>
    </row>
    <row r="312" spans="1:6" x14ac:dyDescent="0.25">
      <c r="A312" s="532" t="s">
        <v>68</v>
      </c>
      <c r="B312" t="s">
        <v>384</v>
      </c>
      <c r="C312" s="532" t="s">
        <v>684</v>
      </c>
      <c r="D312" s="142">
        <v>427.60700000000003</v>
      </c>
      <c r="E312" s="369">
        <v>405.03300000000002</v>
      </c>
      <c r="F312" s="12"/>
    </row>
    <row r="313" spans="1:6" x14ac:dyDescent="0.25">
      <c r="A313" s="532" t="s">
        <v>68</v>
      </c>
      <c r="B313" t="s">
        <v>384</v>
      </c>
      <c r="C313" s="532" t="s">
        <v>685</v>
      </c>
      <c r="D313" s="142">
        <v>453.48450000000003</v>
      </c>
      <c r="E313" s="369">
        <v>458.2</v>
      </c>
      <c r="F313" s="12"/>
    </row>
    <row r="314" spans="1:6" x14ac:dyDescent="0.25">
      <c r="A314" s="532" t="s">
        <v>68</v>
      </c>
      <c r="B314" t="s">
        <v>384</v>
      </c>
      <c r="C314" s="532" t="s">
        <v>686</v>
      </c>
      <c r="D314" s="142">
        <v>131.935</v>
      </c>
      <c r="E314" s="369">
        <v>169.61600000000001</v>
      </c>
      <c r="F314" s="12"/>
    </row>
    <row r="315" spans="1:6" x14ac:dyDescent="0.25">
      <c r="A315" s="532" t="s">
        <v>68</v>
      </c>
      <c r="B315" t="s">
        <v>385</v>
      </c>
      <c r="C315" s="532" t="s">
        <v>687</v>
      </c>
      <c r="D315" s="142">
        <v>20.675999999999998</v>
      </c>
      <c r="E315" s="369">
        <v>8.4260000000000002</v>
      </c>
      <c r="F315" s="12"/>
    </row>
    <row r="316" spans="1:6" x14ac:dyDescent="0.25">
      <c r="A316" s="532" t="s">
        <v>68</v>
      </c>
      <c r="B316" t="s">
        <v>385</v>
      </c>
      <c r="C316" s="532" t="s">
        <v>688</v>
      </c>
      <c r="D316" s="142">
        <v>240.32499999999999</v>
      </c>
      <c r="E316" s="369">
        <v>271.68099999999998</v>
      </c>
      <c r="F316" s="12"/>
    </row>
    <row r="317" spans="1:6" x14ac:dyDescent="0.25">
      <c r="A317" s="532" t="s">
        <v>68</v>
      </c>
      <c r="B317" t="s">
        <v>386</v>
      </c>
      <c r="C317" s="532" t="s">
        <v>1065</v>
      </c>
      <c r="D317" s="142">
        <v>0</v>
      </c>
      <c r="E317" s="369">
        <v>45.816499999999998</v>
      </c>
      <c r="F317" s="12"/>
    </row>
    <row r="318" spans="1:6" x14ac:dyDescent="0.25">
      <c r="A318" s="532" t="s">
        <v>68</v>
      </c>
      <c r="B318" t="s">
        <v>386</v>
      </c>
      <c r="C318" s="532" t="s">
        <v>1066</v>
      </c>
      <c r="D318" s="142">
        <v>88.393500000000003</v>
      </c>
      <c r="E318" s="369">
        <v>126.2715</v>
      </c>
      <c r="F318" s="12"/>
    </row>
    <row r="319" spans="1:6" x14ac:dyDescent="0.25">
      <c r="A319" s="532" t="s">
        <v>68</v>
      </c>
      <c r="B319" t="s">
        <v>386</v>
      </c>
      <c r="C319" s="532" t="s">
        <v>689</v>
      </c>
      <c r="D319" s="142">
        <v>1036.4960000000001</v>
      </c>
      <c r="E319" s="369">
        <v>1030.8895</v>
      </c>
      <c r="F319" s="12"/>
    </row>
    <row r="320" spans="1:6" x14ac:dyDescent="0.25">
      <c r="A320" s="532" t="s">
        <v>68</v>
      </c>
      <c r="B320" t="s">
        <v>387</v>
      </c>
      <c r="C320" s="532" t="s">
        <v>690</v>
      </c>
      <c r="D320" s="142">
        <v>1378.8030000000001</v>
      </c>
      <c r="E320" s="369">
        <v>1418.7515000000001</v>
      </c>
      <c r="F320" s="12"/>
    </row>
    <row r="321" spans="1:6" x14ac:dyDescent="0.25">
      <c r="A321" s="532" t="s">
        <v>68</v>
      </c>
      <c r="B321" t="s">
        <v>387</v>
      </c>
      <c r="C321" s="532" t="s">
        <v>691</v>
      </c>
      <c r="D321" s="142">
        <v>544.577</v>
      </c>
      <c r="E321" s="369">
        <v>593.46749999999997</v>
      </c>
      <c r="F321" s="12"/>
    </row>
    <row r="322" spans="1:6" x14ac:dyDescent="0.25">
      <c r="A322" s="532" t="s">
        <v>68</v>
      </c>
      <c r="B322" t="s">
        <v>387</v>
      </c>
      <c r="C322" s="532" t="s">
        <v>692</v>
      </c>
      <c r="D322" s="142">
        <v>331.48599999999999</v>
      </c>
      <c r="E322" s="369">
        <v>372.5795</v>
      </c>
      <c r="F322" s="12"/>
    </row>
    <row r="323" spans="1:6" x14ac:dyDescent="0.25">
      <c r="A323" s="532" t="s">
        <v>68</v>
      </c>
      <c r="B323" t="s">
        <v>388</v>
      </c>
      <c r="C323" s="532" t="s">
        <v>693</v>
      </c>
      <c r="D323" s="142">
        <v>228.221</v>
      </c>
      <c r="E323" s="369">
        <v>187.27600000000001</v>
      </c>
      <c r="F323" s="12"/>
    </row>
    <row r="324" spans="1:6" x14ac:dyDescent="0.25">
      <c r="A324" s="532" t="s">
        <v>68</v>
      </c>
      <c r="B324" t="s">
        <v>388</v>
      </c>
      <c r="C324" s="532" t="s">
        <v>640</v>
      </c>
      <c r="D324" s="142">
        <v>0.98</v>
      </c>
      <c r="E324" s="369">
        <v>0</v>
      </c>
      <c r="F324" s="12"/>
    </row>
    <row r="325" spans="1:6" x14ac:dyDescent="0.25">
      <c r="A325" s="532" t="s">
        <v>68</v>
      </c>
      <c r="B325" t="s">
        <v>388</v>
      </c>
      <c r="C325" s="532" t="s">
        <v>1067</v>
      </c>
      <c r="D325" s="142">
        <v>466.45049999999998</v>
      </c>
      <c r="E325" s="369">
        <v>249.9425</v>
      </c>
      <c r="F325" s="12"/>
    </row>
    <row r="326" spans="1:6" x14ac:dyDescent="0.25">
      <c r="A326" s="532" t="s">
        <v>68</v>
      </c>
      <c r="B326" t="s">
        <v>388</v>
      </c>
      <c r="C326" s="532" t="s">
        <v>694</v>
      </c>
      <c r="D326" s="142">
        <v>618.30799999999999</v>
      </c>
      <c r="E326" s="369">
        <v>574.56150000000002</v>
      </c>
      <c r="F326" s="12"/>
    </row>
    <row r="327" spans="1:6" x14ac:dyDescent="0.25">
      <c r="A327" s="532" t="s">
        <v>68</v>
      </c>
      <c r="B327" t="s">
        <v>389</v>
      </c>
      <c r="C327" s="532" t="s">
        <v>695</v>
      </c>
      <c r="D327" s="142">
        <v>428.10899999999998</v>
      </c>
      <c r="E327" s="369">
        <v>537.52800000000002</v>
      </c>
      <c r="F327" s="12"/>
    </row>
    <row r="328" spans="1:6" x14ac:dyDescent="0.25">
      <c r="A328" s="532" t="s">
        <v>68</v>
      </c>
      <c r="B328" t="s">
        <v>389</v>
      </c>
      <c r="C328" s="532" t="s">
        <v>816</v>
      </c>
      <c r="D328" s="142">
        <v>37.332000000000001</v>
      </c>
      <c r="E328" s="369">
        <v>179.19649999999999</v>
      </c>
      <c r="F328" s="12"/>
    </row>
    <row r="329" spans="1:6" x14ac:dyDescent="0.25">
      <c r="A329" s="532" t="s">
        <v>68</v>
      </c>
      <c r="B329" t="s">
        <v>390</v>
      </c>
      <c r="C329" s="532" t="s">
        <v>696</v>
      </c>
      <c r="D329" s="142">
        <v>501.70549999999997</v>
      </c>
      <c r="E329" s="369">
        <v>688.29399999999998</v>
      </c>
      <c r="F329" s="12"/>
    </row>
    <row r="330" spans="1:6" x14ac:dyDescent="0.25">
      <c r="A330" s="532" t="s">
        <v>68</v>
      </c>
      <c r="B330" t="s">
        <v>391</v>
      </c>
      <c r="C330" s="532" t="s">
        <v>697</v>
      </c>
      <c r="D330" s="142">
        <v>1.095</v>
      </c>
      <c r="E330" s="369">
        <v>3.0569999999999999</v>
      </c>
      <c r="F330" s="12"/>
    </row>
    <row r="331" spans="1:6" x14ac:dyDescent="0.25">
      <c r="A331" s="532" t="s">
        <v>68</v>
      </c>
      <c r="B331" t="s">
        <v>392</v>
      </c>
      <c r="C331" s="532" t="s">
        <v>698</v>
      </c>
      <c r="D331" s="142">
        <v>106.3655</v>
      </c>
      <c r="E331" s="369">
        <v>127.819</v>
      </c>
      <c r="F331" s="12"/>
    </row>
    <row r="332" spans="1:6" x14ac:dyDescent="0.25">
      <c r="A332" s="532" t="s">
        <v>68</v>
      </c>
      <c r="B332" t="s">
        <v>393</v>
      </c>
      <c r="C332" s="532" t="s">
        <v>699</v>
      </c>
      <c r="D332" s="142">
        <v>0.28199999999999997</v>
      </c>
      <c r="E332" s="369">
        <v>0.57899999999999996</v>
      </c>
      <c r="F332" s="12"/>
    </row>
    <row r="333" spans="1:6" x14ac:dyDescent="0.25">
      <c r="A333" s="532" t="s">
        <v>68</v>
      </c>
      <c r="B333" t="s">
        <v>1068</v>
      </c>
      <c r="C333" s="532" t="s">
        <v>674</v>
      </c>
      <c r="D333" s="142">
        <v>8.3000000000000004E-2</v>
      </c>
      <c r="E333" s="369">
        <v>0.14649999999999999</v>
      </c>
      <c r="F333" s="12"/>
    </row>
    <row r="334" spans="1:6" x14ac:dyDescent="0.25">
      <c r="A334" s="532" t="s">
        <v>68</v>
      </c>
      <c r="B334" t="s">
        <v>394</v>
      </c>
      <c r="C334" s="532" t="s">
        <v>700</v>
      </c>
      <c r="D334" s="142">
        <v>0.82050000000000001</v>
      </c>
      <c r="E334" s="369">
        <v>0</v>
      </c>
      <c r="F334" s="12"/>
    </row>
    <row r="335" spans="1:6" x14ac:dyDescent="0.25">
      <c r="A335" s="532" t="s">
        <v>68</v>
      </c>
      <c r="B335" t="s">
        <v>395</v>
      </c>
      <c r="C335" s="532" t="s">
        <v>1069</v>
      </c>
      <c r="D335" s="142">
        <v>1333.5809999999999</v>
      </c>
      <c r="E335" s="369">
        <v>1425.963</v>
      </c>
      <c r="F335" s="12"/>
    </row>
    <row r="336" spans="1:6" x14ac:dyDescent="0.25">
      <c r="A336" s="532" t="s">
        <v>68</v>
      </c>
      <c r="B336" t="s">
        <v>396</v>
      </c>
      <c r="C336" s="532" t="s">
        <v>701</v>
      </c>
      <c r="D336" s="142">
        <v>9.4559999999999995</v>
      </c>
      <c r="E336" s="369">
        <v>8.8245000000000005</v>
      </c>
      <c r="F336" s="12"/>
    </row>
    <row r="337" spans="1:6" x14ac:dyDescent="0.25">
      <c r="A337" s="532" t="s">
        <v>68</v>
      </c>
      <c r="B337" t="s">
        <v>835</v>
      </c>
      <c r="C337" s="532" t="s">
        <v>836</v>
      </c>
      <c r="D337" s="142">
        <v>0</v>
      </c>
      <c r="E337" s="369">
        <v>17.856999999999999</v>
      </c>
      <c r="F337" s="12"/>
    </row>
    <row r="338" spans="1:6" x14ac:dyDescent="0.25">
      <c r="A338" s="532" t="s">
        <v>68</v>
      </c>
      <c r="B338" t="s">
        <v>397</v>
      </c>
      <c r="C338" s="532" t="s">
        <v>702</v>
      </c>
      <c r="D338" s="142">
        <v>1.6679999999999999</v>
      </c>
      <c r="E338" s="369">
        <v>0.89</v>
      </c>
      <c r="F338" s="12"/>
    </row>
    <row r="339" spans="1:6" x14ac:dyDescent="0.25">
      <c r="A339" s="532" t="s">
        <v>68</v>
      </c>
      <c r="B339" t="s">
        <v>398</v>
      </c>
      <c r="C339" s="532" t="s">
        <v>1070</v>
      </c>
      <c r="D339" s="142">
        <v>0.89349999999999996</v>
      </c>
      <c r="E339" s="369">
        <v>0.4355</v>
      </c>
      <c r="F339" s="12"/>
    </row>
    <row r="340" spans="1:6" x14ac:dyDescent="0.25">
      <c r="A340" s="532" t="s">
        <v>68</v>
      </c>
      <c r="B340" t="s">
        <v>1071</v>
      </c>
      <c r="C340" s="532" t="s">
        <v>1072</v>
      </c>
      <c r="D340" s="142">
        <v>0</v>
      </c>
      <c r="E340" s="369">
        <v>1.385</v>
      </c>
      <c r="F340" s="12"/>
    </row>
    <row r="341" spans="1:6" x14ac:dyDescent="0.25">
      <c r="A341" s="532" t="s">
        <v>68</v>
      </c>
      <c r="B341" t="s">
        <v>399</v>
      </c>
      <c r="C341" s="532" t="s">
        <v>703</v>
      </c>
      <c r="D341" s="142">
        <v>3.5760000000000001</v>
      </c>
      <c r="E341" s="369">
        <v>6.4565000000000001</v>
      </c>
      <c r="F341" s="12"/>
    </row>
    <row r="342" spans="1:6" x14ac:dyDescent="0.25">
      <c r="A342" s="532" t="s">
        <v>68</v>
      </c>
      <c r="B342" t="s">
        <v>1073</v>
      </c>
      <c r="C342" s="532" t="s">
        <v>704</v>
      </c>
      <c r="D342" s="142">
        <v>0</v>
      </c>
      <c r="E342" s="369">
        <v>129.17949999999999</v>
      </c>
      <c r="F342" s="12"/>
    </row>
    <row r="343" spans="1:6" x14ac:dyDescent="0.25">
      <c r="A343" s="532" t="s">
        <v>68</v>
      </c>
      <c r="B343" t="s">
        <v>1073</v>
      </c>
      <c r="C343" s="532" t="s">
        <v>705</v>
      </c>
      <c r="D343" s="142">
        <v>0</v>
      </c>
      <c r="E343" s="369">
        <v>95.918499999999995</v>
      </c>
      <c r="F343" s="12"/>
    </row>
    <row r="344" spans="1:6" x14ac:dyDescent="0.25">
      <c r="A344" s="532" t="s">
        <v>68</v>
      </c>
      <c r="B344" t="s">
        <v>1073</v>
      </c>
      <c r="C344" s="532" t="s">
        <v>706</v>
      </c>
      <c r="D344" s="142">
        <v>0</v>
      </c>
      <c r="E344" s="369">
        <v>68.021500000000003</v>
      </c>
      <c r="F344" s="12"/>
    </row>
    <row r="345" spans="1:6" x14ac:dyDescent="0.25">
      <c r="A345" s="532" t="s">
        <v>68</v>
      </c>
      <c r="B345" t="s">
        <v>400</v>
      </c>
      <c r="C345" s="532" t="s">
        <v>704</v>
      </c>
      <c r="D345" s="142">
        <v>184.0395</v>
      </c>
      <c r="E345" s="369">
        <v>153.69800000000001</v>
      </c>
      <c r="F345" s="12"/>
    </row>
    <row r="346" spans="1:6" x14ac:dyDescent="0.25">
      <c r="A346" s="532" t="s">
        <v>68</v>
      </c>
      <c r="B346" t="s">
        <v>400</v>
      </c>
      <c r="C346" s="532" t="s">
        <v>705</v>
      </c>
      <c r="D346" s="142">
        <v>217.02500000000001</v>
      </c>
      <c r="E346" s="369">
        <v>97.302000000000007</v>
      </c>
      <c r="F346" s="12"/>
    </row>
    <row r="347" spans="1:6" x14ac:dyDescent="0.25">
      <c r="A347" s="532" t="s">
        <v>68</v>
      </c>
      <c r="B347" t="s">
        <v>400</v>
      </c>
      <c r="C347" s="532" t="s">
        <v>706</v>
      </c>
      <c r="D347" s="142">
        <v>133.93799999999999</v>
      </c>
      <c r="E347" s="369">
        <v>84.391000000000005</v>
      </c>
      <c r="F347" s="12"/>
    </row>
    <row r="348" spans="1:6" x14ac:dyDescent="0.25">
      <c r="A348" s="532" t="s">
        <v>68</v>
      </c>
      <c r="B348" t="s">
        <v>401</v>
      </c>
      <c r="C348" s="532" t="s">
        <v>707</v>
      </c>
      <c r="D348" s="142">
        <v>96.725999999999999</v>
      </c>
      <c r="E348" s="369">
        <v>69.227500000000006</v>
      </c>
      <c r="F348" s="12"/>
    </row>
    <row r="349" spans="1:6" x14ac:dyDescent="0.25">
      <c r="A349" s="532" t="s">
        <v>68</v>
      </c>
      <c r="B349" t="s">
        <v>402</v>
      </c>
      <c r="C349" s="532" t="s">
        <v>708</v>
      </c>
      <c r="D349" s="142">
        <v>1459.2739999999999</v>
      </c>
      <c r="E349" s="369">
        <v>1799.1945000000001</v>
      </c>
      <c r="F349" s="12"/>
    </row>
    <row r="350" spans="1:6" x14ac:dyDescent="0.25">
      <c r="A350" s="532" t="s">
        <v>68</v>
      </c>
      <c r="B350" t="s">
        <v>403</v>
      </c>
      <c r="C350" s="532" t="s">
        <v>709</v>
      </c>
      <c r="D350" s="142">
        <v>0.95399999999999996</v>
      </c>
      <c r="E350" s="369">
        <v>0</v>
      </c>
      <c r="F350" s="12"/>
    </row>
    <row r="351" spans="1:6" x14ac:dyDescent="0.25">
      <c r="A351" s="532" t="s">
        <v>68</v>
      </c>
      <c r="B351" t="s">
        <v>1074</v>
      </c>
      <c r="C351" s="532" t="s">
        <v>1075</v>
      </c>
      <c r="D351" s="142">
        <v>1.2500000000000001E-2</v>
      </c>
      <c r="E351" s="369">
        <v>0</v>
      </c>
      <c r="F351" s="12"/>
    </row>
    <row r="352" spans="1:6" x14ac:dyDescent="0.25">
      <c r="A352" s="532" t="s">
        <v>68</v>
      </c>
      <c r="B352" t="s">
        <v>404</v>
      </c>
      <c r="C352" s="532" t="s">
        <v>710</v>
      </c>
      <c r="D352" s="142">
        <v>97.549000000000007</v>
      </c>
      <c r="E352" s="369">
        <v>105.452</v>
      </c>
      <c r="F352" s="12"/>
    </row>
    <row r="353" spans="1:6" x14ac:dyDescent="0.25">
      <c r="A353" s="532" t="s">
        <v>68</v>
      </c>
      <c r="B353" t="s">
        <v>404</v>
      </c>
      <c r="C353" s="532" t="s">
        <v>1076</v>
      </c>
      <c r="D353" s="142">
        <v>96.543000000000006</v>
      </c>
      <c r="E353" s="369">
        <v>93.826999999999998</v>
      </c>
      <c r="F353" s="12"/>
    </row>
    <row r="354" spans="1:6" x14ac:dyDescent="0.25">
      <c r="A354" s="532" t="s">
        <v>68</v>
      </c>
      <c r="B354" t="s">
        <v>404</v>
      </c>
      <c r="C354" s="532" t="s">
        <v>688</v>
      </c>
      <c r="D354" s="142">
        <v>0</v>
      </c>
      <c r="E354" s="369">
        <v>9.6869999999999994</v>
      </c>
      <c r="F354" s="12"/>
    </row>
    <row r="355" spans="1:6" x14ac:dyDescent="0.25">
      <c r="A355" s="532" t="s">
        <v>68</v>
      </c>
      <c r="B355" t="s">
        <v>1077</v>
      </c>
      <c r="C355" s="532" t="s">
        <v>1078</v>
      </c>
      <c r="D355" s="142">
        <v>0</v>
      </c>
      <c r="E355" s="369">
        <v>2.7949999999999999</v>
      </c>
      <c r="F355" s="12"/>
    </row>
    <row r="356" spans="1:6" x14ac:dyDescent="0.25">
      <c r="A356" s="532" t="s">
        <v>68</v>
      </c>
      <c r="B356" t="s">
        <v>1079</v>
      </c>
      <c r="C356" s="532" t="s">
        <v>1080</v>
      </c>
      <c r="D356" s="142">
        <v>0</v>
      </c>
      <c r="E356" s="369">
        <v>0.245</v>
      </c>
      <c r="F356" s="12"/>
    </row>
    <row r="357" spans="1:6" x14ac:dyDescent="0.25">
      <c r="A357" s="532" t="s">
        <v>68</v>
      </c>
      <c r="B357" t="s">
        <v>405</v>
      </c>
      <c r="C357" s="532" t="s">
        <v>711</v>
      </c>
      <c r="D357" s="142">
        <v>1.1000000000000001</v>
      </c>
      <c r="E357" s="369">
        <v>1.05</v>
      </c>
      <c r="F357" s="12"/>
    </row>
    <row r="358" spans="1:6" x14ac:dyDescent="0.25">
      <c r="A358" s="532" t="s">
        <v>68</v>
      </c>
      <c r="B358" t="s">
        <v>837</v>
      </c>
      <c r="C358" s="532" t="s">
        <v>838</v>
      </c>
      <c r="D358" s="142">
        <v>0</v>
      </c>
      <c r="E358" s="369">
        <v>18.170999999999999</v>
      </c>
      <c r="F358" s="12"/>
    </row>
    <row r="359" spans="1:6" x14ac:dyDescent="0.25">
      <c r="A359" s="532" t="s">
        <v>68</v>
      </c>
      <c r="B359" t="s">
        <v>406</v>
      </c>
      <c r="C359" s="532" t="s">
        <v>712</v>
      </c>
      <c r="D359" s="142">
        <v>161.65899999999999</v>
      </c>
      <c r="E359" s="369">
        <v>161.005</v>
      </c>
      <c r="F359" s="12"/>
    </row>
    <row r="360" spans="1:6" x14ac:dyDescent="0.25">
      <c r="A360" s="532" t="s">
        <v>68</v>
      </c>
      <c r="B360" t="s">
        <v>407</v>
      </c>
      <c r="C360" s="532" t="s">
        <v>1081</v>
      </c>
      <c r="D360" s="142">
        <v>0.1</v>
      </c>
      <c r="E360" s="369">
        <v>7.4999999999999997E-2</v>
      </c>
      <c r="F360" s="12"/>
    </row>
    <row r="361" spans="1:6" x14ac:dyDescent="0.25">
      <c r="A361" s="532" t="s">
        <v>68</v>
      </c>
      <c r="B361" t="s">
        <v>408</v>
      </c>
      <c r="C361" s="532" t="s">
        <v>713</v>
      </c>
      <c r="D361" s="142">
        <v>0.71199999999999997</v>
      </c>
      <c r="E361" s="369">
        <v>0.66</v>
      </c>
      <c r="F361" s="12"/>
    </row>
    <row r="362" spans="1:6" x14ac:dyDescent="0.25">
      <c r="A362" s="599" t="s">
        <v>409</v>
      </c>
      <c r="B362" s="600"/>
      <c r="C362" s="601"/>
      <c r="D362" s="370">
        <v>33650.068500000001</v>
      </c>
      <c r="E362" s="533">
        <v>38816.050000000003</v>
      </c>
      <c r="F362" s="12"/>
    </row>
    <row r="363" spans="1:6" x14ac:dyDescent="0.25">
      <c r="A363" s="532" t="s">
        <v>410</v>
      </c>
      <c r="B363" t="s">
        <v>411</v>
      </c>
      <c r="C363" s="532" t="s">
        <v>1082</v>
      </c>
      <c r="D363" s="142">
        <v>0.4325</v>
      </c>
      <c r="E363" s="369">
        <v>0.30049999999999999</v>
      </c>
      <c r="F363" s="12"/>
    </row>
    <row r="364" spans="1:6" x14ac:dyDescent="0.25">
      <c r="A364" s="532" t="s">
        <v>410</v>
      </c>
      <c r="B364" t="s">
        <v>818</v>
      </c>
      <c r="C364" s="532" t="s">
        <v>1083</v>
      </c>
      <c r="D364" s="142">
        <v>11.1935</v>
      </c>
      <c r="E364" s="369">
        <v>9.91</v>
      </c>
      <c r="F364" s="12"/>
    </row>
    <row r="365" spans="1:6" x14ac:dyDescent="0.25">
      <c r="A365" s="532" t="s">
        <v>410</v>
      </c>
      <c r="B365" t="s">
        <v>412</v>
      </c>
      <c r="C365" s="532" t="s">
        <v>714</v>
      </c>
      <c r="D365" s="142">
        <v>4.2169999999999996</v>
      </c>
      <c r="E365" s="369">
        <v>2.8875000000000002</v>
      </c>
      <c r="F365" s="12"/>
    </row>
    <row r="366" spans="1:6" x14ac:dyDescent="0.25">
      <c r="A366" s="532" t="s">
        <v>410</v>
      </c>
      <c r="B366" t="s">
        <v>413</v>
      </c>
      <c r="C366" s="532" t="s">
        <v>1084</v>
      </c>
      <c r="D366" s="142">
        <v>0.59150000000000003</v>
      </c>
      <c r="E366" s="369">
        <v>0.76100000000000001</v>
      </c>
      <c r="F366" s="12"/>
    </row>
    <row r="367" spans="1:6" x14ac:dyDescent="0.25">
      <c r="A367" s="532" t="s">
        <v>410</v>
      </c>
      <c r="B367" t="s">
        <v>413</v>
      </c>
      <c r="C367" s="532" t="s">
        <v>1085</v>
      </c>
      <c r="D367" s="142">
        <v>0.78700000000000003</v>
      </c>
      <c r="E367" s="369">
        <v>0.79500000000000004</v>
      </c>
      <c r="F367" s="12"/>
    </row>
    <row r="368" spans="1:6" x14ac:dyDescent="0.25">
      <c r="A368" s="532" t="s">
        <v>410</v>
      </c>
      <c r="B368" t="s">
        <v>413</v>
      </c>
      <c r="C368" s="532" t="s">
        <v>1086</v>
      </c>
      <c r="D368" s="142">
        <v>0.77800000000000002</v>
      </c>
      <c r="E368" s="369">
        <v>0.81799999999999995</v>
      </c>
      <c r="F368" s="12"/>
    </row>
    <row r="369" spans="1:6" x14ac:dyDescent="0.25">
      <c r="A369" s="532" t="s">
        <v>410</v>
      </c>
      <c r="B369" t="s">
        <v>414</v>
      </c>
      <c r="C369" s="532" t="s">
        <v>1087</v>
      </c>
      <c r="D369" s="142">
        <v>3.7774999999999999</v>
      </c>
      <c r="E369" s="369">
        <v>3.2269999999999999</v>
      </c>
      <c r="F369" s="12"/>
    </row>
    <row r="370" spans="1:6" x14ac:dyDescent="0.25">
      <c r="A370" s="532" t="s">
        <v>410</v>
      </c>
      <c r="B370" t="s">
        <v>1088</v>
      </c>
      <c r="C370" s="532" t="s">
        <v>1089</v>
      </c>
      <c r="D370" s="142">
        <v>6.7500000000000004E-2</v>
      </c>
      <c r="E370" s="369">
        <v>0.21099999999999999</v>
      </c>
      <c r="F370" s="12"/>
    </row>
    <row r="371" spans="1:6" x14ac:dyDescent="0.25">
      <c r="A371" s="532" t="s">
        <v>410</v>
      </c>
      <c r="B371" t="s">
        <v>1090</v>
      </c>
      <c r="C371" s="532" t="s">
        <v>1091</v>
      </c>
      <c r="D371" s="142">
        <v>0.107</v>
      </c>
      <c r="E371" s="369">
        <v>0.1105</v>
      </c>
      <c r="F371" s="12"/>
    </row>
    <row r="372" spans="1:6" x14ac:dyDescent="0.25">
      <c r="A372" s="532" t="s">
        <v>410</v>
      </c>
      <c r="B372" t="s">
        <v>1092</v>
      </c>
      <c r="C372" s="532" t="s">
        <v>1093</v>
      </c>
      <c r="D372" s="142">
        <v>0</v>
      </c>
      <c r="E372" s="369">
        <v>9.9000000000000005E-2</v>
      </c>
      <c r="F372" s="12"/>
    </row>
    <row r="373" spans="1:6" x14ac:dyDescent="0.25">
      <c r="A373" s="532" t="s">
        <v>410</v>
      </c>
      <c r="B373" t="s">
        <v>415</v>
      </c>
      <c r="C373" s="532" t="s">
        <v>1093</v>
      </c>
      <c r="D373" s="142">
        <v>0.28299999999999997</v>
      </c>
      <c r="E373" s="369">
        <v>0.27450000000000002</v>
      </c>
      <c r="F373" s="12"/>
    </row>
    <row r="374" spans="1:6" x14ac:dyDescent="0.25">
      <c r="A374" s="532" t="s">
        <v>410</v>
      </c>
      <c r="B374" t="s">
        <v>416</v>
      </c>
      <c r="C374" s="532" t="s">
        <v>715</v>
      </c>
      <c r="D374" s="142">
        <v>1.2544999999999999</v>
      </c>
      <c r="E374" s="369">
        <v>1.575</v>
      </c>
      <c r="F374" s="12"/>
    </row>
    <row r="375" spans="1:6" x14ac:dyDescent="0.25">
      <c r="A375" s="599" t="s">
        <v>417</v>
      </c>
      <c r="B375" s="600"/>
      <c r="C375" s="601"/>
      <c r="D375" s="370">
        <v>23.489000000000001</v>
      </c>
      <c r="E375" s="533">
        <v>20.969000000000001</v>
      </c>
      <c r="F375" s="12"/>
    </row>
    <row r="376" spans="1:6" x14ac:dyDescent="0.25">
      <c r="A376" s="532" t="s">
        <v>839</v>
      </c>
      <c r="B376" t="s">
        <v>475</v>
      </c>
      <c r="C376" s="532" t="s">
        <v>767</v>
      </c>
      <c r="D376" s="142">
        <v>111.51600000000001</v>
      </c>
      <c r="E376" s="369">
        <v>65.423500000000004</v>
      </c>
      <c r="F376" s="12"/>
    </row>
    <row r="377" spans="1:6" x14ac:dyDescent="0.25">
      <c r="A377" s="532" t="s">
        <v>839</v>
      </c>
      <c r="B377" t="s">
        <v>476</v>
      </c>
      <c r="C377" s="532" t="s">
        <v>1094</v>
      </c>
      <c r="D377" s="142">
        <v>0.80100000000000005</v>
      </c>
      <c r="E377" s="369">
        <v>0.80700000000000005</v>
      </c>
      <c r="F377" s="12"/>
    </row>
    <row r="378" spans="1:6" x14ac:dyDescent="0.25">
      <c r="A378" s="532" t="s">
        <v>839</v>
      </c>
      <c r="B378" t="s">
        <v>477</v>
      </c>
      <c r="C378" s="532" t="s">
        <v>1095</v>
      </c>
      <c r="D378" s="142">
        <v>41.319000000000003</v>
      </c>
      <c r="E378" s="369">
        <v>53.915999999999997</v>
      </c>
      <c r="F378" s="12"/>
    </row>
    <row r="379" spans="1:6" x14ac:dyDescent="0.25">
      <c r="A379" s="532" t="s">
        <v>839</v>
      </c>
      <c r="B379" t="s">
        <v>477</v>
      </c>
      <c r="C379" s="532" t="s">
        <v>1096</v>
      </c>
      <c r="D379" s="142">
        <v>61.167999999999999</v>
      </c>
      <c r="E379" s="369">
        <v>60.683</v>
      </c>
      <c r="F379" s="12"/>
    </row>
    <row r="380" spans="1:6" x14ac:dyDescent="0.25">
      <c r="A380" s="532" t="s">
        <v>839</v>
      </c>
      <c r="B380" t="s">
        <v>478</v>
      </c>
      <c r="C380" s="532" t="s">
        <v>1097</v>
      </c>
      <c r="D380" s="142">
        <v>189.18</v>
      </c>
      <c r="E380" s="369">
        <v>165.755</v>
      </c>
      <c r="F380" s="12"/>
    </row>
    <row r="381" spans="1:6" x14ac:dyDescent="0.25">
      <c r="A381" s="532" t="s">
        <v>839</v>
      </c>
      <c r="B381" t="s">
        <v>1098</v>
      </c>
      <c r="C381" s="532" t="s">
        <v>1099</v>
      </c>
      <c r="D381" s="142">
        <v>0</v>
      </c>
      <c r="E381" s="369">
        <v>175.7645</v>
      </c>
      <c r="F381" s="12"/>
    </row>
    <row r="382" spans="1:6" x14ac:dyDescent="0.25">
      <c r="A382" s="532" t="s">
        <v>839</v>
      </c>
      <c r="B382" t="s">
        <v>479</v>
      </c>
      <c r="C382" s="532" t="s">
        <v>1100</v>
      </c>
      <c r="D382" s="142">
        <v>252.29050000000001</v>
      </c>
      <c r="E382" s="369">
        <v>195.2945</v>
      </c>
      <c r="F382" s="12"/>
    </row>
    <row r="383" spans="1:6" x14ac:dyDescent="0.25">
      <c r="A383" s="532" t="s">
        <v>839</v>
      </c>
      <c r="B383" t="s">
        <v>479</v>
      </c>
      <c r="C383" s="532" t="s">
        <v>1101</v>
      </c>
      <c r="D383" s="142">
        <v>498.98250000000002</v>
      </c>
      <c r="E383" s="369">
        <v>369.08199999999999</v>
      </c>
      <c r="F383" s="12"/>
    </row>
    <row r="384" spans="1:6" x14ac:dyDescent="0.25">
      <c r="A384" s="532" t="s">
        <v>839</v>
      </c>
      <c r="B384" t="s">
        <v>479</v>
      </c>
      <c r="C384" s="532" t="s">
        <v>1099</v>
      </c>
      <c r="D384" s="142">
        <v>308.74299999999999</v>
      </c>
      <c r="E384" s="369">
        <v>467.33499999999998</v>
      </c>
      <c r="F384" s="12"/>
    </row>
    <row r="385" spans="1:6" x14ac:dyDescent="0.25">
      <c r="A385" s="532" t="s">
        <v>839</v>
      </c>
      <c r="B385" t="s">
        <v>480</v>
      </c>
      <c r="C385" s="532" t="s">
        <v>822</v>
      </c>
      <c r="D385" s="142">
        <v>29.493500000000001</v>
      </c>
      <c r="E385" s="369">
        <v>110.9255</v>
      </c>
      <c r="F385" s="12"/>
    </row>
    <row r="386" spans="1:6" x14ac:dyDescent="0.25">
      <c r="A386" s="532" t="s">
        <v>839</v>
      </c>
      <c r="B386" t="s">
        <v>480</v>
      </c>
      <c r="C386" s="532" t="s">
        <v>768</v>
      </c>
      <c r="D386" s="142">
        <v>18.567499999999999</v>
      </c>
      <c r="E386" s="369">
        <v>4.8964999999999996</v>
      </c>
      <c r="F386" s="12"/>
    </row>
    <row r="387" spans="1:6" x14ac:dyDescent="0.25">
      <c r="A387" s="532" t="s">
        <v>839</v>
      </c>
      <c r="B387" t="s">
        <v>481</v>
      </c>
      <c r="C387" s="532" t="s">
        <v>1102</v>
      </c>
      <c r="D387" s="142">
        <v>73.483000000000004</v>
      </c>
      <c r="E387" s="369">
        <v>76.5655</v>
      </c>
      <c r="F387" s="12"/>
    </row>
    <row r="388" spans="1:6" x14ac:dyDescent="0.25">
      <c r="A388" s="532" t="s">
        <v>839</v>
      </c>
      <c r="B388" t="s">
        <v>313</v>
      </c>
      <c r="C388" s="532" t="s">
        <v>1103</v>
      </c>
      <c r="D388" s="142">
        <v>3.0525000000000002</v>
      </c>
      <c r="E388" s="369">
        <v>3.496</v>
      </c>
      <c r="F388" s="12"/>
    </row>
    <row r="389" spans="1:6" x14ac:dyDescent="0.25">
      <c r="A389" s="532" t="s">
        <v>839</v>
      </c>
      <c r="B389" t="s">
        <v>482</v>
      </c>
      <c r="C389" s="532" t="s">
        <v>769</v>
      </c>
      <c r="D389" s="142">
        <v>336.83499999999998</v>
      </c>
      <c r="E389" s="369">
        <v>148.36699999999999</v>
      </c>
      <c r="F389" s="12"/>
    </row>
    <row r="390" spans="1:6" x14ac:dyDescent="0.25">
      <c r="A390" s="532" t="s">
        <v>839</v>
      </c>
      <c r="B390" t="s">
        <v>483</v>
      </c>
      <c r="C390" s="532" t="s">
        <v>770</v>
      </c>
      <c r="D390" s="142">
        <v>361.92599999999999</v>
      </c>
      <c r="E390" s="369">
        <v>392.76600000000002</v>
      </c>
      <c r="F390" s="12"/>
    </row>
    <row r="391" spans="1:6" x14ac:dyDescent="0.25">
      <c r="A391" s="532" t="s">
        <v>839</v>
      </c>
      <c r="B391" t="s">
        <v>484</v>
      </c>
      <c r="C391" s="532" t="s">
        <v>1104</v>
      </c>
      <c r="D391" s="142">
        <v>410.86099999999999</v>
      </c>
      <c r="E391" s="369">
        <v>395.60500000000002</v>
      </c>
      <c r="F391" s="12"/>
    </row>
    <row r="392" spans="1:6" x14ac:dyDescent="0.25">
      <c r="A392" s="532" t="s">
        <v>839</v>
      </c>
      <c r="B392" t="s">
        <v>485</v>
      </c>
      <c r="C392" s="532" t="s">
        <v>1105</v>
      </c>
      <c r="D392" s="142">
        <v>75.816000000000003</v>
      </c>
      <c r="E392" s="369">
        <v>84.344499999999996</v>
      </c>
      <c r="F392" s="12"/>
    </row>
    <row r="393" spans="1:6" x14ac:dyDescent="0.25">
      <c r="A393" s="532" t="s">
        <v>839</v>
      </c>
      <c r="B393" t="s">
        <v>485</v>
      </c>
      <c r="C393" s="532" t="s">
        <v>1106</v>
      </c>
      <c r="D393" s="142">
        <v>61.656500000000001</v>
      </c>
      <c r="E393" s="369">
        <v>51.714500000000001</v>
      </c>
      <c r="F393" s="12"/>
    </row>
    <row r="394" spans="1:6" x14ac:dyDescent="0.25">
      <c r="A394" s="599" t="s">
        <v>840</v>
      </c>
      <c r="B394" s="600"/>
      <c r="C394" s="601"/>
      <c r="D394" s="370">
        <v>2835.6909999999998</v>
      </c>
      <c r="E394" s="533">
        <v>2822.741</v>
      </c>
      <c r="F394" s="12"/>
    </row>
    <row r="395" spans="1:6" x14ac:dyDescent="0.25">
      <c r="A395" s="532" t="s">
        <v>841</v>
      </c>
      <c r="B395" t="s">
        <v>286</v>
      </c>
      <c r="C395" s="532" t="s">
        <v>1107</v>
      </c>
      <c r="D395" s="142">
        <v>12.951000000000001</v>
      </c>
      <c r="E395" s="369">
        <v>13.715999999999999</v>
      </c>
      <c r="F395" s="12"/>
    </row>
    <row r="396" spans="1:6" x14ac:dyDescent="0.25">
      <c r="A396" s="599" t="s">
        <v>842</v>
      </c>
      <c r="B396" s="600"/>
      <c r="C396" s="601"/>
      <c r="D396" s="370">
        <v>12.951000000000001</v>
      </c>
      <c r="E396" s="533">
        <v>13.715999999999999</v>
      </c>
      <c r="F396" s="12"/>
    </row>
    <row r="397" spans="1:6" x14ac:dyDescent="0.25">
      <c r="A397" s="532" t="s">
        <v>69</v>
      </c>
      <c r="B397" t="s">
        <v>716</v>
      </c>
      <c r="C397" s="532" t="s">
        <v>717</v>
      </c>
      <c r="D397" s="142">
        <v>5.7530000000000001</v>
      </c>
      <c r="E397" s="369">
        <v>0</v>
      </c>
      <c r="F397" s="12"/>
    </row>
    <row r="398" spans="1:6" x14ac:dyDescent="0.25">
      <c r="A398" s="532" t="s">
        <v>69</v>
      </c>
      <c r="B398" t="s">
        <v>418</v>
      </c>
      <c r="C398" s="532" t="s">
        <v>718</v>
      </c>
      <c r="D398" s="142">
        <v>50.115000000000002</v>
      </c>
      <c r="E398" s="369">
        <v>63.468499999999999</v>
      </c>
      <c r="F398" s="12"/>
    </row>
    <row r="399" spans="1:6" x14ac:dyDescent="0.25">
      <c r="A399" s="532" t="s">
        <v>69</v>
      </c>
      <c r="B399" t="s">
        <v>418</v>
      </c>
      <c r="C399" s="532" t="s">
        <v>719</v>
      </c>
      <c r="D399" s="142">
        <v>158.6635</v>
      </c>
      <c r="E399" s="369">
        <v>194.66550000000001</v>
      </c>
      <c r="F399" s="12"/>
    </row>
    <row r="400" spans="1:6" x14ac:dyDescent="0.25">
      <c r="A400" s="532" t="s">
        <v>69</v>
      </c>
      <c r="B400" t="s">
        <v>418</v>
      </c>
      <c r="C400" s="532" t="s">
        <v>721</v>
      </c>
      <c r="D400" s="142">
        <v>169.125</v>
      </c>
      <c r="E400" s="369">
        <v>123.83499999999999</v>
      </c>
      <c r="F400" s="12"/>
    </row>
    <row r="401" spans="1:6" x14ac:dyDescent="0.25">
      <c r="A401" s="532" t="s">
        <v>69</v>
      </c>
      <c r="B401" t="s">
        <v>418</v>
      </c>
      <c r="C401" s="532" t="s">
        <v>722</v>
      </c>
      <c r="D401" s="142">
        <v>286.91649999999998</v>
      </c>
      <c r="E401" s="369">
        <v>314.4255</v>
      </c>
      <c r="F401" s="12"/>
    </row>
    <row r="402" spans="1:6" x14ac:dyDescent="0.25">
      <c r="A402" s="532" t="s">
        <v>69</v>
      </c>
      <c r="B402" t="s">
        <v>419</v>
      </c>
      <c r="C402" s="532" t="s">
        <v>723</v>
      </c>
      <c r="D402" s="142">
        <v>55.233499999999999</v>
      </c>
      <c r="E402" s="369">
        <v>70.394499999999994</v>
      </c>
      <c r="F402" s="12"/>
    </row>
    <row r="403" spans="1:6" x14ac:dyDescent="0.25">
      <c r="A403" s="532" t="s">
        <v>69</v>
      </c>
      <c r="B403" t="s">
        <v>419</v>
      </c>
      <c r="C403" s="532" t="s">
        <v>1108</v>
      </c>
      <c r="D403" s="142">
        <v>1792.1880000000001</v>
      </c>
      <c r="E403" s="369">
        <v>2107.4769999999999</v>
      </c>
      <c r="F403" s="12"/>
    </row>
    <row r="404" spans="1:6" x14ac:dyDescent="0.25">
      <c r="A404" s="532" t="s">
        <v>69</v>
      </c>
      <c r="B404" t="s">
        <v>419</v>
      </c>
      <c r="C404" s="532" t="s">
        <v>1109</v>
      </c>
      <c r="D404" s="142">
        <v>1246.5889999999999</v>
      </c>
      <c r="E404" s="369">
        <v>1225.2615000000001</v>
      </c>
      <c r="F404" s="12"/>
    </row>
    <row r="405" spans="1:6" x14ac:dyDescent="0.25">
      <c r="A405" s="532" t="s">
        <v>69</v>
      </c>
      <c r="B405" t="s">
        <v>419</v>
      </c>
      <c r="C405" s="532" t="s">
        <v>724</v>
      </c>
      <c r="D405" s="142">
        <v>4662.6530000000002</v>
      </c>
      <c r="E405" s="369">
        <v>4780.6864999999998</v>
      </c>
      <c r="F405" s="12"/>
    </row>
    <row r="406" spans="1:6" x14ac:dyDescent="0.25">
      <c r="A406" s="532" t="s">
        <v>69</v>
      </c>
      <c r="B406" t="s">
        <v>419</v>
      </c>
      <c r="C406" s="532" t="s">
        <v>1110</v>
      </c>
      <c r="D406" s="142">
        <v>3209.7804999999998</v>
      </c>
      <c r="E406" s="369">
        <v>4002.7505000000001</v>
      </c>
      <c r="F406" s="12"/>
    </row>
    <row r="407" spans="1:6" x14ac:dyDescent="0.25">
      <c r="A407" s="532" t="s">
        <v>69</v>
      </c>
      <c r="B407" t="s">
        <v>419</v>
      </c>
      <c r="C407" s="532" t="s">
        <v>1111</v>
      </c>
      <c r="D407" s="142">
        <v>2116.6395000000002</v>
      </c>
      <c r="E407" s="369">
        <v>2193.1295</v>
      </c>
      <c r="F407" s="12"/>
    </row>
    <row r="408" spans="1:6" x14ac:dyDescent="0.25">
      <c r="A408" s="532" t="s">
        <v>69</v>
      </c>
      <c r="B408" t="s">
        <v>420</v>
      </c>
      <c r="C408" s="532" t="s">
        <v>725</v>
      </c>
      <c r="D408" s="142">
        <v>3352.3829999999998</v>
      </c>
      <c r="E408" s="369">
        <v>3083.8649999999998</v>
      </c>
      <c r="F408" s="12"/>
    </row>
    <row r="409" spans="1:6" x14ac:dyDescent="0.25">
      <c r="A409" s="532" t="s">
        <v>69</v>
      </c>
      <c r="B409" t="s">
        <v>421</v>
      </c>
      <c r="C409" s="532" t="s">
        <v>726</v>
      </c>
      <c r="D409" s="142">
        <v>5.5949999999999998</v>
      </c>
      <c r="E409" s="369">
        <v>65.332999999999998</v>
      </c>
      <c r="F409" s="12"/>
    </row>
    <row r="410" spans="1:6" x14ac:dyDescent="0.25">
      <c r="A410" s="532" t="s">
        <v>69</v>
      </c>
      <c r="B410" t="s">
        <v>422</v>
      </c>
      <c r="C410" s="532" t="s">
        <v>727</v>
      </c>
      <c r="D410" s="142">
        <v>1.3420000000000001</v>
      </c>
      <c r="E410" s="369">
        <v>1.6944999999999999</v>
      </c>
      <c r="F410" s="12"/>
    </row>
    <row r="411" spans="1:6" x14ac:dyDescent="0.25">
      <c r="A411" s="532" t="s">
        <v>69</v>
      </c>
      <c r="B411" t="s">
        <v>819</v>
      </c>
      <c r="C411" s="532" t="s">
        <v>720</v>
      </c>
      <c r="D411" s="142">
        <v>12.025499999999999</v>
      </c>
      <c r="E411" s="369">
        <v>0</v>
      </c>
      <c r="F411" s="12"/>
    </row>
    <row r="412" spans="1:6" x14ac:dyDescent="0.25">
      <c r="A412" s="532" t="s">
        <v>69</v>
      </c>
      <c r="B412" t="s">
        <v>423</v>
      </c>
      <c r="C412" s="532" t="s">
        <v>728</v>
      </c>
      <c r="D412" s="142">
        <v>174.13800000000001</v>
      </c>
      <c r="E412" s="369">
        <v>236.208</v>
      </c>
      <c r="F412" s="12"/>
    </row>
    <row r="413" spans="1:6" x14ac:dyDescent="0.25">
      <c r="A413" s="532" t="s">
        <v>69</v>
      </c>
      <c r="B413" t="s">
        <v>423</v>
      </c>
      <c r="C413" s="532" t="s">
        <v>729</v>
      </c>
      <c r="D413" s="142">
        <v>3.7999999999999999E-2</v>
      </c>
      <c r="E413" s="369">
        <v>5.7000000000000002E-2</v>
      </c>
      <c r="F413" s="12"/>
    </row>
    <row r="414" spans="1:6" x14ac:dyDescent="0.25">
      <c r="A414" s="532" t="s">
        <v>69</v>
      </c>
      <c r="B414" t="s">
        <v>423</v>
      </c>
      <c r="C414" s="532" t="s">
        <v>730</v>
      </c>
      <c r="D414" s="142">
        <v>61.54</v>
      </c>
      <c r="E414" s="369">
        <v>144.744</v>
      </c>
      <c r="F414" s="12"/>
    </row>
    <row r="415" spans="1:6" x14ac:dyDescent="0.25">
      <c r="A415" s="532" t="s">
        <v>69</v>
      </c>
      <c r="B415" t="s">
        <v>423</v>
      </c>
      <c r="C415" s="532" t="s">
        <v>1112</v>
      </c>
      <c r="D415" s="142">
        <v>0.82799999999999996</v>
      </c>
      <c r="E415" s="369">
        <v>1.4710000000000001</v>
      </c>
      <c r="F415" s="12"/>
    </row>
    <row r="416" spans="1:6" x14ac:dyDescent="0.25">
      <c r="A416" s="532" t="s">
        <v>69</v>
      </c>
      <c r="B416" t="s">
        <v>1113</v>
      </c>
      <c r="C416" s="532" t="s">
        <v>1114</v>
      </c>
      <c r="D416" s="142">
        <v>6270.9160000000002</v>
      </c>
      <c r="E416" s="369">
        <v>6815.5405000000001</v>
      </c>
      <c r="F416" s="12"/>
    </row>
    <row r="417" spans="1:6" x14ac:dyDescent="0.25">
      <c r="A417" s="532" t="s">
        <v>69</v>
      </c>
      <c r="B417" t="s">
        <v>1113</v>
      </c>
      <c r="C417" s="532" t="s">
        <v>1115</v>
      </c>
      <c r="D417" s="142">
        <v>791.64449999999999</v>
      </c>
      <c r="E417" s="369">
        <v>671.95</v>
      </c>
      <c r="F417" s="12"/>
    </row>
    <row r="418" spans="1:6" x14ac:dyDescent="0.25">
      <c r="A418" s="532" t="s">
        <v>69</v>
      </c>
      <c r="B418" t="s">
        <v>1113</v>
      </c>
      <c r="C418" s="532" t="s">
        <v>731</v>
      </c>
      <c r="D418" s="142">
        <v>1.56</v>
      </c>
      <c r="E418" s="369">
        <v>0</v>
      </c>
      <c r="F418" s="12"/>
    </row>
    <row r="419" spans="1:6" x14ac:dyDescent="0.25">
      <c r="A419" s="532" t="s">
        <v>69</v>
      </c>
      <c r="B419" t="s">
        <v>1113</v>
      </c>
      <c r="C419" s="532" t="s">
        <v>732</v>
      </c>
      <c r="D419" s="142">
        <v>4383.4650000000001</v>
      </c>
      <c r="E419" s="369">
        <v>4206.8149999999996</v>
      </c>
      <c r="F419" s="12"/>
    </row>
    <row r="420" spans="1:6" x14ac:dyDescent="0.25">
      <c r="A420" s="532" t="s">
        <v>69</v>
      </c>
      <c r="B420" t="s">
        <v>1113</v>
      </c>
      <c r="C420" s="532" t="s">
        <v>1116</v>
      </c>
      <c r="D420" s="142">
        <v>1922.6134999999999</v>
      </c>
      <c r="E420" s="369">
        <v>1962.2155</v>
      </c>
      <c r="F420" s="12"/>
    </row>
    <row r="421" spans="1:6" x14ac:dyDescent="0.25">
      <c r="A421" s="532" t="s">
        <v>69</v>
      </c>
      <c r="B421" t="s">
        <v>424</v>
      </c>
      <c r="C421" s="532" t="s">
        <v>733</v>
      </c>
      <c r="D421" s="142">
        <v>2062.9850000000001</v>
      </c>
      <c r="E421" s="369">
        <v>2689.4720000000002</v>
      </c>
      <c r="F421" s="12"/>
    </row>
    <row r="422" spans="1:6" x14ac:dyDescent="0.25">
      <c r="A422" s="532" t="s">
        <v>69</v>
      </c>
      <c r="B422" t="s">
        <v>425</v>
      </c>
      <c r="C422" s="532" t="s">
        <v>1117</v>
      </c>
      <c r="D422" s="142">
        <v>1540.2929999999999</v>
      </c>
      <c r="E422" s="369">
        <v>1759.9135000000001</v>
      </c>
      <c r="F422" s="12"/>
    </row>
    <row r="423" spans="1:6" x14ac:dyDescent="0.25">
      <c r="A423" s="532" t="s">
        <v>69</v>
      </c>
      <c r="B423" t="s">
        <v>426</v>
      </c>
      <c r="C423" s="532" t="s">
        <v>1118</v>
      </c>
      <c r="D423" s="142">
        <v>1981.711</v>
      </c>
      <c r="E423" s="369">
        <v>2535.9684999999999</v>
      </c>
      <c r="F423" s="12"/>
    </row>
    <row r="424" spans="1:6" x14ac:dyDescent="0.25">
      <c r="A424" s="532" t="s">
        <v>69</v>
      </c>
      <c r="B424" t="s">
        <v>426</v>
      </c>
      <c r="C424" s="532" t="s">
        <v>1119</v>
      </c>
      <c r="D424" s="142">
        <v>1526.731</v>
      </c>
      <c r="E424" s="369">
        <v>1644.5315000000001</v>
      </c>
      <c r="F424" s="12"/>
    </row>
    <row r="425" spans="1:6" x14ac:dyDescent="0.25">
      <c r="A425" s="532" t="s">
        <v>69</v>
      </c>
      <c r="B425" t="s">
        <v>426</v>
      </c>
      <c r="C425" s="532" t="s">
        <v>1120</v>
      </c>
      <c r="D425" s="142">
        <v>1146.721</v>
      </c>
      <c r="E425" s="369">
        <v>1689.7864999999999</v>
      </c>
      <c r="F425" s="12"/>
    </row>
    <row r="426" spans="1:6" x14ac:dyDescent="0.25">
      <c r="A426" s="532" t="s">
        <v>69</v>
      </c>
      <c r="B426" t="s">
        <v>426</v>
      </c>
      <c r="C426" s="532" t="s">
        <v>1121</v>
      </c>
      <c r="D426" s="142">
        <v>918.32299999999998</v>
      </c>
      <c r="E426" s="369">
        <v>945.25750000000005</v>
      </c>
      <c r="F426" s="12"/>
    </row>
    <row r="427" spans="1:6" x14ac:dyDescent="0.25">
      <c r="A427" s="532" t="s">
        <v>69</v>
      </c>
      <c r="B427" t="s">
        <v>426</v>
      </c>
      <c r="C427" s="532" t="s">
        <v>1122</v>
      </c>
      <c r="D427" s="142">
        <v>3695.3305</v>
      </c>
      <c r="E427" s="369">
        <v>2259.2705000000001</v>
      </c>
      <c r="F427" s="12"/>
    </row>
    <row r="428" spans="1:6" x14ac:dyDescent="0.25">
      <c r="A428" s="532" t="s">
        <v>69</v>
      </c>
      <c r="B428" t="s">
        <v>426</v>
      </c>
      <c r="C428" s="532" t="s">
        <v>1123</v>
      </c>
      <c r="D428" s="142">
        <v>1973.0364999999999</v>
      </c>
      <c r="E428" s="369">
        <v>2251.9459999999999</v>
      </c>
      <c r="F428" s="12"/>
    </row>
    <row r="429" spans="1:6" x14ac:dyDescent="0.25">
      <c r="A429" s="532" t="s">
        <v>69</v>
      </c>
      <c r="B429" t="s">
        <v>820</v>
      </c>
      <c r="C429" s="532" t="s">
        <v>821</v>
      </c>
      <c r="D429" s="142">
        <v>10.8935</v>
      </c>
      <c r="E429" s="369">
        <v>369.11700000000002</v>
      </c>
      <c r="F429" s="12"/>
    </row>
    <row r="430" spans="1:6" x14ac:dyDescent="0.25">
      <c r="A430" s="532" t="s">
        <v>69</v>
      </c>
      <c r="B430" t="s">
        <v>734</v>
      </c>
      <c r="C430" s="532" t="s">
        <v>735</v>
      </c>
      <c r="D430" s="142">
        <v>21.844999999999999</v>
      </c>
      <c r="E430" s="369">
        <v>0.38100000000000001</v>
      </c>
      <c r="F430" s="12"/>
    </row>
    <row r="431" spans="1:6" x14ac:dyDescent="0.25">
      <c r="A431" s="532" t="s">
        <v>69</v>
      </c>
      <c r="B431" t="s">
        <v>427</v>
      </c>
      <c r="C431" s="532" t="s">
        <v>736</v>
      </c>
      <c r="D431" s="142">
        <v>2598.0985000000001</v>
      </c>
      <c r="E431" s="369">
        <v>2824.5814999999998</v>
      </c>
      <c r="F431" s="12"/>
    </row>
    <row r="432" spans="1:6" x14ac:dyDescent="0.25">
      <c r="A432" s="532" t="s">
        <v>69</v>
      </c>
      <c r="B432" t="s">
        <v>428</v>
      </c>
      <c r="C432" s="532" t="s">
        <v>1124</v>
      </c>
      <c r="D432" s="142">
        <v>1560.557</v>
      </c>
      <c r="E432" s="369">
        <v>1658.4639999999999</v>
      </c>
      <c r="F432" s="12"/>
    </row>
    <row r="433" spans="1:6" x14ac:dyDescent="0.25">
      <c r="A433" s="532" t="s">
        <v>69</v>
      </c>
      <c r="B433" t="s">
        <v>738</v>
      </c>
      <c r="C433" s="532" t="s">
        <v>737</v>
      </c>
      <c r="D433" s="142">
        <v>37.858499999999999</v>
      </c>
      <c r="E433" s="369">
        <v>71.287000000000006</v>
      </c>
      <c r="F433" s="12"/>
    </row>
    <row r="434" spans="1:6" x14ac:dyDescent="0.25">
      <c r="A434" s="532" t="s">
        <v>69</v>
      </c>
      <c r="B434" t="s">
        <v>429</v>
      </c>
      <c r="C434" s="532" t="s">
        <v>1125</v>
      </c>
      <c r="D434" s="142">
        <v>62.871499999999997</v>
      </c>
      <c r="E434" s="369">
        <v>30.989000000000001</v>
      </c>
      <c r="F434" s="12"/>
    </row>
    <row r="435" spans="1:6" x14ac:dyDescent="0.25">
      <c r="A435" s="532" t="s">
        <v>69</v>
      </c>
      <c r="B435" t="s">
        <v>430</v>
      </c>
      <c r="C435" s="532" t="s">
        <v>739</v>
      </c>
      <c r="D435" s="142">
        <v>655.22950000000003</v>
      </c>
      <c r="E435" s="369">
        <v>515.21500000000003</v>
      </c>
      <c r="F435" s="12"/>
    </row>
    <row r="436" spans="1:6" x14ac:dyDescent="0.25">
      <c r="A436" s="532" t="s">
        <v>69</v>
      </c>
      <c r="B436" t="s">
        <v>431</v>
      </c>
      <c r="C436" s="532" t="s">
        <v>740</v>
      </c>
      <c r="D436" s="142">
        <v>307.63</v>
      </c>
      <c r="E436" s="369">
        <v>468.63650000000001</v>
      </c>
      <c r="F436" s="12"/>
    </row>
    <row r="437" spans="1:6" x14ac:dyDescent="0.25">
      <c r="A437" s="532" t="s">
        <v>69</v>
      </c>
      <c r="B437" t="s">
        <v>432</v>
      </c>
      <c r="C437" s="532" t="s">
        <v>741</v>
      </c>
      <c r="D437" s="142">
        <v>1116.5105000000001</v>
      </c>
      <c r="E437" s="369">
        <v>1261.5535</v>
      </c>
      <c r="F437" s="12"/>
    </row>
    <row r="438" spans="1:6" x14ac:dyDescent="0.25">
      <c r="A438" s="532" t="s">
        <v>69</v>
      </c>
      <c r="B438" t="s">
        <v>433</v>
      </c>
      <c r="C438" s="532" t="s">
        <v>727</v>
      </c>
      <c r="D438" s="142">
        <v>15.497</v>
      </c>
      <c r="E438" s="369">
        <v>8.2590000000000003</v>
      </c>
      <c r="F438" s="12"/>
    </row>
    <row r="439" spans="1:6" x14ac:dyDescent="0.25">
      <c r="A439" s="532" t="s">
        <v>69</v>
      </c>
      <c r="B439" t="s">
        <v>433</v>
      </c>
      <c r="C439" s="532" t="s">
        <v>742</v>
      </c>
      <c r="D439" s="142">
        <v>17.662500000000001</v>
      </c>
      <c r="E439" s="369">
        <v>6.3455000000000004</v>
      </c>
      <c r="F439" s="12"/>
    </row>
    <row r="440" spans="1:6" x14ac:dyDescent="0.25">
      <c r="A440" s="532" t="s">
        <v>69</v>
      </c>
      <c r="B440" t="s">
        <v>433</v>
      </c>
      <c r="C440" s="532" t="s">
        <v>744</v>
      </c>
      <c r="D440" s="142">
        <v>6.0265000000000004</v>
      </c>
      <c r="E440" s="369">
        <v>0</v>
      </c>
      <c r="F440" s="12"/>
    </row>
    <row r="441" spans="1:6" x14ac:dyDescent="0.25">
      <c r="A441" s="532" t="s">
        <v>69</v>
      </c>
      <c r="B441" t="s">
        <v>434</v>
      </c>
      <c r="C441" s="532" t="s">
        <v>1126</v>
      </c>
      <c r="D441" s="142">
        <v>555.76499999999999</v>
      </c>
      <c r="E441" s="369">
        <v>0</v>
      </c>
      <c r="F441" s="12"/>
    </row>
    <row r="442" spans="1:6" x14ac:dyDescent="0.25">
      <c r="A442" s="532" t="s">
        <v>69</v>
      </c>
      <c r="B442" t="s">
        <v>435</v>
      </c>
      <c r="C442" s="532" t="s">
        <v>1127</v>
      </c>
      <c r="D442" s="142">
        <v>2149.7044999999998</v>
      </c>
      <c r="E442" s="369">
        <v>1385.1669999999999</v>
      </c>
      <c r="F442" s="12"/>
    </row>
    <row r="443" spans="1:6" x14ac:dyDescent="0.25">
      <c r="A443" s="532" t="s">
        <v>69</v>
      </c>
      <c r="B443" t="s">
        <v>436</v>
      </c>
      <c r="C443" s="532" t="s">
        <v>743</v>
      </c>
      <c r="D443" s="142">
        <v>30.446000000000002</v>
      </c>
      <c r="E443" s="369">
        <v>9.9120000000000008</v>
      </c>
      <c r="F443" s="12"/>
    </row>
    <row r="444" spans="1:6" x14ac:dyDescent="0.25">
      <c r="A444" s="532" t="s">
        <v>69</v>
      </c>
      <c r="B444" t="s">
        <v>1128</v>
      </c>
      <c r="C444" s="532" t="s">
        <v>726</v>
      </c>
      <c r="D444" s="142">
        <v>0.28799999999999998</v>
      </c>
      <c r="E444" s="369">
        <v>0.222</v>
      </c>
      <c r="F444" s="12"/>
    </row>
    <row r="445" spans="1:6" x14ac:dyDescent="0.25">
      <c r="A445" s="532" t="s">
        <v>69</v>
      </c>
      <c r="B445" t="s">
        <v>843</v>
      </c>
      <c r="C445" s="532" t="s">
        <v>1114</v>
      </c>
      <c r="D445" s="142">
        <v>0</v>
      </c>
      <c r="E445" s="369">
        <v>82.278999999999996</v>
      </c>
      <c r="F445" s="12"/>
    </row>
    <row r="446" spans="1:6" x14ac:dyDescent="0.25">
      <c r="A446" s="532" t="s">
        <v>69</v>
      </c>
      <c r="B446" t="s">
        <v>437</v>
      </c>
      <c r="C446" s="532" t="s">
        <v>1118</v>
      </c>
      <c r="D446" s="142">
        <v>3.3439999999999999</v>
      </c>
      <c r="E446" s="369">
        <v>6.859</v>
      </c>
      <c r="F446" s="12"/>
    </row>
    <row r="447" spans="1:6" x14ac:dyDescent="0.25">
      <c r="A447" s="532" t="s">
        <v>69</v>
      </c>
      <c r="B447" t="s">
        <v>438</v>
      </c>
      <c r="C447" s="532" t="s">
        <v>1129</v>
      </c>
      <c r="D447" s="142">
        <v>1.9019999999999999</v>
      </c>
      <c r="E447" s="369">
        <v>0</v>
      </c>
      <c r="F447" s="12"/>
    </row>
    <row r="448" spans="1:6" x14ac:dyDescent="0.25">
      <c r="A448" s="532" t="s">
        <v>69</v>
      </c>
      <c r="B448" t="s">
        <v>438</v>
      </c>
      <c r="C448" s="532" t="s">
        <v>744</v>
      </c>
      <c r="D448" s="142">
        <v>110.27</v>
      </c>
      <c r="E448" s="369">
        <v>256.85449999999997</v>
      </c>
      <c r="F448" s="12"/>
    </row>
    <row r="449" spans="1:6" x14ac:dyDescent="0.25">
      <c r="A449" s="532" t="s">
        <v>69</v>
      </c>
      <c r="B449" t="s">
        <v>439</v>
      </c>
      <c r="C449" s="532" t="s">
        <v>745</v>
      </c>
      <c r="D449" s="142">
        <v>310.54399999999998</v>
      </c>
      <c r="E449" s="369">
        <v>1.2290000000000001</v>
      </c>
      <c r="F449" s="12"/>
    </row>
    <row r="450" spans="1:6" x14ac:dyDescent="0.25">
      <c r="A450" s="532" t="s">
        <v>69</v>
      </c>
      <c r="B450" t="s">
        <v>439</v>
      </c>
      <c r="C450" s="532" t="s">
        <v>746</v>
      </c>
      <c r="D450" s="142">
        <v>890.12350000000004</v>
      </c>
      <c r="E450" s="369">
        <v>44.701000000000001</v>
      </c>
      <c r="F450" s="12"/>
    </row>
    <row r="451" spans="1:6" x14ac:dyDescent="0.25">
      <c r="A451" s="532" t="s">
        <v>69</v>
      </c>
      <c r="B451" t="s">
        <v>439</v>
      </c>
      <c r="C451" s="532" t="s">
        <v>747</v>
      </c>
      <c r="D451" s="142">
        <v>220.00049999999999</v>
      </c>
      <c r="E451" s="369">
        <v>0.67800000000000005</v>
      </c>
      <c r="F451" s="12"/>
    </row>
    <row r="452" spans="1:6" x14ac:dyDescent="0.25">
      <c r="A452" s="532" t="s">
        <v>69</v>
      </c>
      <c r="B452" t="s">
        <v>441</v>
      </c>
      <c r="C452" s="532" t="s">
        <v>748</v>
      </c>
      <c r="D452" s="142">
        <v>2498.212</v>
      </c>
      <c r="E452" s="369">
        <v>2737.134</v>
      </c>
      <c r="F452" s="12"/>
    </row>
    <row r="453" spans="1:6" x14ac:dyDescent="0.25">
      <c r="A453" s="532" t="s">
        <v>69</v>
      </c>
      <c r="B453" t="s">
        <v>441</v>
      </c>
      <c r="C453" s="532" t="s">
        <v>749</v>
      </c>
      <c r="D453" s="142">
        <v>1801.7415000000001</v>
      </c>
      <c r="E453" s="369">
        <v>1779.982</v>
      </c>
      <c r="F453" s="12"/>
    </row>
    <row r="454" spans="1:6" x14ac:dyDescent="0.25">
      <c r="A454" s="532" t="s">
        <v>69</v>
      </c>
      <c r="B454" t="s">
        <v>442</v>
      </c>
      <c r="C454" s="532" t="s">
        <v>750</v>
      </c>
      <c r="D454" s="142">
        <v>332.67750000000001</v>
      </c>
      <c r="E454" s="369">
        <v>327.90550000000002</v>
      </c>
      <c r="F454" s="12"/>
    </row>
    <row r="455" spans="1:6" x14ac:dyDescent="0.25">
      <c r="A455" s="532" t="s">
        <v>69</v>
      </c>
      <c r="B455" t="s">
        <v>443</v>
      </c>
      <c r="C455" s="532" t="s">
        <v>751</v>
      </c>
      <c r="D455" s="142">
        <v>3931.9254999999998</v>
      </c>
      <c r="E455" s="369">
        <v>3798.9085</v>
      </c>
      <c r="F455" s="12"/>
    </row>
    <row r="456" spans="1:6" x14ac:dyDescent="0.25">
      <c r="A456" s="532" t="s">
        <v>69</v>
      </c>
      <c r="B456" t="s">
        <v>444</v>
      </c>
      <c r="C456" s="532" t="s">
        <v>729</v>
      </c>
      <c r="D456" s="142">
        <v>105.137</v>
      </c>
      <c r="E456" s="369">
        <v>176.23599999999999</v>
      </c>
      <c r="F456" s="12"/>
    </row>
    <row r="457" spans="1:6" x14ac:dyDescent="0.25">
      <c r="A457" s="532" t="s">
        <v>69</v>
      </c>
      <c r="B457" t="s">
        <v>471</v>
      </c>
      <c r="C457" s="532" t="s">
        <v>744</v>
      </c>
      <c r="D457" s="142">
        <v>0.32150000000000001</v>
      </c>
      <c r="E457" s="369">
        <v>0</v>
      </c>
      <c r="F457" s="12"/>
    </row>
    <row r="458" spans="1:6" x14ac:dyDescent="0.25">
      <c r="A458" s="532" t="s">
        <v>69</v>
      </c>
      <c r="B458" t="s">
        <v>1130</v>
      </c>
      <c r="C458" s="532" t="s">
        <v>1131</v>
      </c>
      <c r="D458" s="142">
        <v>0.05</v>
      </c>
      <c r="E458" s="369">
        <v>0.05</v>
      </c>
      <c r="F458" s="12"/>
    </row>
    <row r="459" spans="1:6" x14ac:dyDescent="0.25">
      <c r="A459" s="532" t="s">
        <v>69</v>
      </c>
      <c r="B459" t="s">
        <v>445</v>
      </c>
      <c r="C459" s="532" t="s">
        <v>744</v>
      </c>
      <c r="D459" s="142">
        <v>44.685499999999998</v>
      </c>
      <c r="E459" s="369">
        <v>0</v>
      </c>
      <c r="F459" s="12"/>
    </row>
    <row r="460" spans="1:6" x14ac:dyDescent="0.25">
      <c r="A460" s="532" t="s">
        <v>69</v>
      </c>
      <c r="B460" t="s">
        <v>446</v>
      </c>
      <c r="C460" s="532" t="s">
        <v>752</v>
      </c>
      <c r="D460" s="142">
        <v>386.2285</v>
      </c>
      <c r="E460" s="369">
        <v>409.61099999999999</v>
      </c>
      <c r="F460" s="12"/>
    </row>
    <row r="461" spans="1:6" x14ac:dyDescent="0.25">
      <c r="A461" s="532" t="s">
        <v>69</v>
      </c>
      <c r="B461" t="s">
        <v>1132</v>
      </c>
      <c r="C461" s="532" t="s">
        <v>746</v>
      </c>
      <c r="D461" s="142">
        <v>0</v>
      </c>
      <c r="E461" s="369">
        <v>91.218000000000004</v>
      </c>
      <c r="F461" s="12"/>
    </row>
    <row r="462" spans="1:6" x14ac:dyDescent="0.25">
      <c r="A462" s="532" t="s">
        <v>69</v>
      </c>
      <c r="B462" t="s">
        <v>1132</v>
      </c>
      <c r="C462" s="532" t="s">
        <v>747</v>
      </c>
      <c r="D462" s="142">
        <v>0</v>
      </c>
      <c r="E462" s="369">
        <v>0.8</v>
      </c>
      <c r="F462" s="12"/>
    </row>
    <row r="463" spans="1:6" x14ac:dyDescent="0.25">
      <c r="A463" s="599" t="s">
        <v>447</v>
      </c>
      <c r="B463" s="600"/>
      <c r="C463" s="601"/>
      <c r="D463" s="370">
        <v>65360.922500000001</v>
      </c>
      <c r="E463" s="533">
        <v>66366.709000000003</v>
      </c>
      <c r="F463" s="12"/>
    </row>
    <row r="464" spans="1:6" x14ac:dyDescent="0.25">
      <c r="A464" s="532" t="s">
        <v>753</v>
      </c>
      <c r="B464" t="s">
        <v>1133</v>
      </c>
      <c r="C464" s="532" t="s">
        <v>1134</v>
      </c>
      <c r="D464" s="142">
        <v>0.42649999999999999</v>
      </c>
      <c r="E464" s="369">
        <v>0</v>
      </c>
      <c r="F464" s="12"/>
    </row>
    <row r="465" spans="1:6" x14ac:dyDescent="0.25">
      <c r="A465" s="532" t="s">
        <v>753</v>
      </c>
      <c r="B465" t="s">
        <v>448</v>
      </c>
      <c r="C465" s="532" t="s">
        <v>1135</v>
      </c>
      <c r="D465" s="142">
        <v>0.995</v>
      </c>
      <c r="E465" s="369">
        <v>0.8</v>
      </c>
      <c r="F465" s="12"/>
    </row>
    <row r="466" spans="1:6" x14ac:dyDescent="0.25">
      <c r="A466" s="532" t="s">
        <v>753</v>
      </c>
      <c r="B466" t="s">
        <v>1136</v>
      </c>
      <c r="C466" s="532" t="s">
        <v>1137</v>
      </c>
      <c r="D466" s="142">
        <v>5.5E-2</v>
      </c>
      <c r="E466" s="369">
        <v>4.2500000000000003E-2</v>
      </c>
      <c r="F466" s="12"/>
    </row>
    <row r="467" spans="1:6" x14ac:dyDescent="0.25">
      <c r="A467" s="532" t="s">
        <v>753</v>
      </c>
      <c r="B467" t="s">
        <v>449</v>
      </c>
      <c r="C467" s="532" t="s">
        <v>1138</v>
      </c>
      <c r="D467" s="142">
        <v>4</v>
      </c>
      <c r="E467" s="369">
        <v>1.65</v>
      </c>
      <c r="F467" s="12"/>
    </row>
    <row r="468" spans="1:6" x14ac:dyDescent="0.25">
      <c r="A468" s="532" t="s">
        <v>753</v>
      </c>
      <c r="B468" t="s">
        <v>450</v>
      </c>
      <c r="C468" s="532" t="s">
        <v>1139</v>
      </c>
      <c r="D468" s="142">
        <v>1.6265000000000001</v>
      </c>
      <c r="E468" s="369">
        <v>1.6970000000000001</v>
      </c>
      <c r="F468" s="12"/>
    </row>
    <row r="469" spans="1:6" x14ac:dyDescent="0.25">
      <c r="A469" s="532" t="s">
        <v>753</v>
      </c>
      <c r="B469" t="s">
        <v>451</v>
      </c>
      <c r="C469" s="532" t="s">
        <v>754</v>
      </c>
      <c r="D469" s="142">
        <v>17.1295</v>
      </c>
      <c r="E469" s="369">
        <v>14.720499999999999</v>
      </c>
      <c r="F469" s="12"/>
    </row>
    <row r="470" spans="1:6" x14ac:dyDescent="0.25">
      <c r="A470" s="532" t="s">
        <v>753</v>
      </c>
      <c r="B470" t="s">
        <v>451</v>
      </c>
      <c r="C470" s="532" t="s">
        <v>1140</v>
      </c>
      <c r="D470" s="142">
        <v>1.7509999999999999</v>
      </c>
      <c r="E470" s="369">
        <v>1.2</v>
      </c>
      <c r="F470" s="12"/>
    </row>
    <row r="471" spans="1:6" x14ac:dyDescent="0.25">
      <c r="A471" s="532" t="s">
        <v>753</v>
      </c>
      <c r="B471" t="s">
        <v>451</v>
      </c>
      <c r="C471" s="532" t="s">
        <v>1141</v>
      </c>
      <c r="D471" s="142">
        <v>25.378</v>
      </c>
      <c r="E471" s="369">
        <v>24.2285</v>
      </c>
      <c r="F471" s="12"/>
    </row>
    <row r="472" spans="1:6" x14ac:dyDescent="0.25">
      <c r="A472" s="532" t="s">
        <v>753</v>
      </c>
      <c r="B472" t="s">
        <v>451</v>
      </c>
      <c r="C472" s="532" t="s">
        <v>755</v>
      </c>
      <c r="D472" s="142">
        <v>12.31</v>
      </c>
      <c r="E472" s="369">
        <v>14.08</v>
      </c>
      <c r="F472" s="12"/>
    </row>
    <row r="473" spans="1:6" x14ac:dyDescent="0.25">
      <c r="A473" s="532" t="s">
        <v>753</v>
      </c>
      <c r="B473" t="s">
        <v>452</v>
      </c>
      <c r="C473" s="532" t="s">
        <v>756</v>
      </c>
      <c r="D473" s="142">
        <v>2.625</v>
      </c>
      <c r="E473" s="369">
        <v>2.4285000000000001</v>
      </c>
      <c r="F473" s="12"/>
    </row>
    <row r="474" spans="1:6" x14ac:dyDescent="0.25">
      <c r="A474" s="532" t="s">
        <v>753</v>
      </c>
      <c r="B474" t="s">
        <v>453</v>
      </c>
      <c r="C474" s="532" t="s">
        <v>1142</v>
      </c>
      <c r="D474" s="142">
        <v>0.41449999999999998</v>
      </c>
      <c r="E474" s="369">
        <v>1.113</v>
      </c>
      <c r="F474" s="12"/>
    </row>
    <row r="475" spans="1:6" x14ac:dyDescent="0.25">
      <c r="A475" s="532" t="s">
        <v>753</v>
      </c>
      <c r="B475" t="s">
        <v>274</v>
      </c>
      <c r="C475" s="532" t="s">
        <v>1140</v>
      </c>
      <c r="D475" s="142">
        <v>7.2324999999999999</v>
      </c>
      <c r="E475" s="369">
        <v>6.9889999999999999</v>
      </c>
      <c r="F475" s="12"/>
    </row>
    <row r="476" spans="1:6" x14ac:dyDescent="0.25">
      <c r="A476" s="532" t="s">
        <v>753</v>
      </c>
      <c r="B476" t="s">
        <v>274</v>
      </c>
      <c r="C476" s="532" t="s">
        <v>1143</v>
      </c>
      <c r="D476" s="142">
        <v>6.8040000000000003</v>
      </c>
      <c r="E476" s="369">
        <v>5.4189999999999996</v>
      </c>
      <c r="F476" s="12"/>
    </row>
    <row r="477" spans="1:6" x14ac:dyDescent="0.25">
      <c r="A477" s="532" t="s">
        <v>753</v>
      </c>
      <c r="B477" t="s">
        <v>274</v>
      </c>
      <c r="C477" s="532" t="s">
        <v>1144</v>
      </c>
      <c r="D477" s="142">
        <v>2.1819999999999999</v>
      </c>
      <c r="E477" s="369">
        <v>1.0529999999999999</v>
      </c>
      <c r="F477" s="12"/>
    </row>
    <row r="478" spans="1:6" x14ac:dyDescent="0.25">
      <c r="A478" s="532" t="s">
        <v>753</v>
      </c>
      <c r="B478" t="s">
        <v>454</v>
      </c>
      <c r="C478" s="532" t="s">
        <v>1145</v>
      </c>
      <c r="D478" s="142">
        <v>0.58599999999999997</v>
      </c>
      <c r="E478" s="369">
        <v>0.26500000000000001</v>
      </c>
      <c r="F478" s="12"/>
    </row>
    <row r="479" spans="1:6" x14ac:dyDescent="0.25">
      <c r="A479" s="532" t="s">
        <v>753</v>
      </c>
      <c r="B479" t="s">
        <v>1146</v>
      </c>
      <c r="C479" s="532" t="s">
        <v>1147</v>
      </c>
      <c r="D479" s="142">
        <v>0</v>
      </c>
      <c r="E479" s="369">
        <v>0.2155</v>
      </c>
      <c r="F479" s="12"/>
    </row>
    <row r="480" spans="1:6" x14ac:dyDescent="0.25">
      <c r="A480" s="532" t="s">
        <v>753</v>
      </c>
      <c r="B480" t="s">
        <v>455</v>
      </c>
      <c r="C480" s="532" t="s">
        <v>757</v>
      </c>
      <c r="D480" s="142">
        <v>1.0745</v>
      </c>
      <c r="E480" s="369">
        <v>0.91</v>
      </c>
      <c r="F480" s="12"/>
    </row>
    <row r="481" spans="1:6" x14ac:dyDescent="0.25">
      <c r="A481" s="532" t="s">
        <v>753</v>
      </c>
      <c r="B481" t="s">
        <v>456</v>
      </c>
      <c r="C481" s="532" t="s">
        <v>758</v>
      </c>
      <c r="D481" s="142">
        <v>2.9710000000000001</v>
      </c>
      <c r="E481" s="369">
        <v>4.0049999999999999</v>
      </c>
      <c r="F481" s="12"/>
    </row>
    <row r="482" spans="1:6" x14ac:dyDescent="0.25">
      <c r="A482" s="532" t="s">
        <v>753</v>
      </c>
      <c r="B482" t="s">
        <v>456</v>
      </c>
      <c r="C482" s="532" t="s">
        <v>1148</v>
      </c>
      <c r="D482" s="142">
        <v>1.667</v>
      </c>
      <c r="E482" s="369">
        <v>1.92</v>
      </c>
      <c r="F482" s="12"/>
    </row>
    <row r="483" spans="1:6" x14ac:dyDescent="0.25">
      <c r="A483" s="532" t="s">
        <v>753</v>
      </c>
      <c r="B483" t="s">
        <v>456</v>
      </c>
      <c r="C483" s="532" t="s">
        <v>1149</v>
      </c>
      <c r="D483" s="142">
        <v>1.8765000000000001</v>
      </c>
      <c r="E483" s="369">
        <v>1.8574999999999999</v>
      </c>
      <c r="F483" s="12"/>
    </row>
    <row r="484" spans="1:6" x14ac:dyDescent="0.25">
      <c r="A484" s="532" t="s">
        <v>753</v>
      </c>
      <c r="B484" t="s">
        <v>457</v>
      </c>
      <c r="C484" s="532" t="s">
        <v>1150</v>
      </c>
      <c r="D484" s="142">
        <v>11.371</v>
      </c>
      <c r="E484" s="369">
        <v>10.4285</v>
      </c>
      <c r="F484" s="12"/>
    </row>
    <row r="485" spans="1:6" x14ac:dyDescent="0.25">
      <c r="A485" s="532" t="s">
        <v>753</v>
      </c>
      <c r="B485" t="s">
        <v>458</v>
      </c>
      <c r="C485" s="532" t="s">
        <v>1151</v>
      </c>
      <c r="D485" s="142">
        <v>0.42249999999999999</v>
      </c>
      <c r="E485" s="369">
        <v>1.1935</v>
      </c>
      <c r="F485" s="12"/>
    </row>
    <row r="486" spans="1:6" x14ac:dyDescent="0.25">
      <c r="A486" s="532" t="s">
        <v>753</v>
      </c>
      <c r="B486" t="s">
        <v>459</v>
      </c>
      <c r="C486" s="532" t="s">
        <v>1152</v>
      </c>
      <c r="D486" s="142">
        <v>4.4954999999999998</v>
      </c>
      <c r="E486" s="369">
        <v>3.8889999999999998</v>
      </c>
      <c r="F486" s="12"/>
    </row>
    <row r="487" spans="1:6" x14ac:dyDescent="0.25">
      <c r="A487" s="532" t="s">
        <v>753</v>
      </c>
      <c r="B487" t="s">
        <v>1153</v>
      </c>
      <c r="C487" s="532" t="s">
        <v>1154</v>
      </c>
      <c r="D487" s="142">
        <v>0</v>
      </c>
      <c r="E487" s="369">
        <v>0.14549999999999999</v>
      </c>
      <c r="F487" s="12"/>
    </row>
    <row r="488" spans="1:6" x14ac:dyDescent="0.25">
      <c r="A488" s="532" t="s">
        <v>753</v>
      </c>
      <c r="B488" t="s">
        <v>460</v>
      </c>
      <c r="C488" s="532" t="s">
        <v>1155</v>
      </c>
      <c r="D488" s="142">
        <v>1.524</v>
      </c>
      <c r="E488" s="369">
        <v>1.103</v>
      </c>
      <c r="F488" s="12"/>
    </row>
    <row r="489" spans="1:6" x14ac:dyDescent="0.25">
      <c r="A489" s="532" t="s">
        <v>753</v>
      </c>
      <c r="B489" t="s">
        <v>461</v>
      </c>
      <c r="C489" s="532" t="s">
        <v>759</v>
      </c>
      <c r="D489" s="142">
        <v>0.54849999999999999</v>
      </c>
      <c r="E489" s="369">
        <v>0.70299999999999996</v>
      </c>
      <c r="F489" s="12"/>
    </row>
    <row r="490" spans="1:6" x14ac:dyDescent="0.25">
      <c r="A490" s="532" t="s">
        <v>753</v>
      </c>
      <c r="B490" t="s">
        <v>1156</v>
      </c>
      <c r="C490" s="532" t="s">
        <v>1157</v>
      </c>
      <c r="D490" s="142">
        <v>8.0000000000000002E-3</v>
      </c>
      <c r="E490" s="369">
        <v>1.2E-2</v>
      </c>
      <c r="F490" s="12"/>
    </row>
    <row r="491" spans="1:6" x14ac:dyDescent="0.25">
      <c r="A491" s="532" t="s">
        <v>753</v>
      </c>
      <c r="B491" t="s">
        <v>1158</v>
      </c>
      <c r="C491" s="532" t="s">
        <v>1159</v>
      </c>
      <c r="D491" s="142">
        <v>0.183</v>
      </c>
      <c r="E491" s="369">
        <v>0.39900000000000002</v>
      </c>
      <c r="F491" s="12"/>
    </row>
    <row r="492" spans="1:6" x14ac:dyDescent="0.25">
      <c r="A492" s="532" t="s">
        <v>753</v>
      </c>
      <c r="B492" t="s">
        <v>302</v>
      </c>
      <c r="C492" s="532" t="s">
        <v>1160</v>
      </c>
      <c r="D492" s="142">
        <v>7.5194999999999999</v>
      </c>
      <c r="E492" s="369">
        <v>10.5</v>
      </c>
      <c r="F492" s="12"/>
    </row>
    <row r="493" spans="1:6" x14ac:dyDescent="0.25">
      <c r="A493" s="532" t="s">
        <v>753</v>
      </c>
      <c r="B493" t="s">
        <v>302</v>
      </c>
      <c r="C493" s="532" t="s">
        <v>1161</v>
      </c>
      <c r="D493" s="142">
        <v>0.9425</v>
      </c>
      <c r="E493" s="369">
        <v>3.7650000000000001</v>
      </c>
      <c r="F493" s="12"/>
    </row>
    <row r="494" spans="1:6" x14ac:dyDescent="0.25">
      <c r="A494" s="532" t="s">
        <v>753</v>
      </c>
      <c r="B494" t="s">
        <v>302</v>
      </c>
      <c r="C494" s="532" t="s">
        <v>1162</v>
      </c>
      <c r="D494" s="142">
        <v>10.153499999999999</v>
      </c>
      <c r="E494" s="369">
        <v>8.9030000000000005</v>
      </c>
      <c r="F494" s="12"/>
    </row>
    <row r="495" spans="1:6" x14ac:dyDescent="0.25">
      <c r="A495" s="532" t="s">
        <v>753</v>
      </c>
      <c r="B495" t="s">
        <v>415</v>
      </c>
      <c r="C495" s="532" t="s">
        <v>1163</v>
      </c>
      <c r="D495" s="142">
        <v>0.252</v>
      </c>
      <c r="E495" s="369">
        <v>0.13150000000000001</v>
      </c>
      <c r="F495" s="12"/>
    </row>
    <row r="496" spans="1:6" x14ac:dyDescent="0.25">
      <c r="A496" s="532" t="s">
        <v>753</v>
      </c>
      <c r="B496" t="s">
        <v>415</v>
      </c>
      <c r="C496" s="532" t="s">
        <v>1164</v>
      </c>
      <c r="D496" s="142">
        <v>0.39550000000000002</v>
      </c>
      <c r="E496" s="369">
        <v>0.441</v>
      </c>
      <c r="F496" s="12"/>
    </row>
    <row r="497" spans="1:6" x14ac:dyDescent="0.25">
      <c r="A497" s="532" t="s">
        <v>753</v>
      </c>
      <c r="B497" t="s">
        <v>415</v>
      </c>
      <c r="C497" s="532" t="s">
        <v>1165</v>
      </c>
      <c r="D497" s="142">
        <v>0.64300000000000002</v>
      </c>
      <c r="E497" s="369">
        <v>0.97899999999999998</v>
      </c>
      <c r="F497" s="12"/>
    </row>
    <row r="498" spans="1:6" x14ac:dyDescent="0.25">
      <c r="A498" s="532" t="s">
        <v>753</v>
      </c>
      <c r="B498" t="s">
        <v>416</v>
      </c>
      <c r="C498" s="532" t="s">
        <v>1166</v>
      </c>
      <c r="D498" s="142">
        <v>3.2385000000000002</v>
      </c>
      <c r="E498" s="369">
        <v>3.1549999999999998</v>
      </c>
      <c r="F498" s="12"/>
    </row>
    <row r="499" spans="1:6" x14ac:dyDescent="0.25">
      <c r="A499" s="532" t="s">
        <v>753</v>
      </c>
      <c r="B499" t="s">
        <v>303</v>
      </c>
      <c r="C499" s="532" t="s">
        <v>1167</v>
      </c>
      <c r="D499" s="142">
        <v>3.4500000000000003E-2</v>
      </c>
      <c r="E499" s="369">
        <v>3.4000000000000002E-2</v>
      </c>
      <c r="F499" s="12"/>
    </row>
    <row r="500" spans="1:6" x14ac:dyDescent="0.25">
      <c r="A500" s="532" t="s">
        <v>753</v>
      </c>
      <c r="B500" t="s">
        <v>462</v>
      </c>
      <c r="C500" s="532" t="s">
        <v>1168</v>
      </c>
      <c r="D500" s="142">
        <v>1.5409999999999999</v>
      </c>
      <c r="E500" s="369">
        <v>1.6165</v>
      </c>
      <c r="F500" s="12"/>
    </row>
    <row r="501" spans="1:6" x14ac:dyDescent="0.25">
      <c r="A501" s="532" t="s">
        <v>753</v>
      </c>
      <c r="B501" t="s">
        <v>463</v>
      </c>
      <c r="C501" s="532" t="s">
        <v>1169</v>
      </c>
      <c r="D501" s="142">
        <v>0.3715</v>
      </c>
      <c r="E501" s="369">
        <v>0.47699999999999998</v>
      </c>
      <c r="F501" s="12"/>
    </row>
    <row r="502" spans="1:6" x14ac:dyDescent="0.25">
      <c r="A502" s="599" t="s">
        <v>760</v>
      </c>
      <c r="B502" s="600"/>
      <c r="C502" s="601"/>
      <c r="D502" s="370">
        <v>134.74850000000001</v>
      </c>
      <c r="E502" s="533">
        <v>132.46950000000001</v>
      </c>
      <c r="F502" s="12"/>
    </row>
    <row r="503" spans="1:6" x14ac:dyDescent="0.25">
      <c r="A503" s="532" t="s">
        <v>70</v>
      </c>
      <c r="B503" t="s">
        <v>464</v>
      </c>
      <c r="C503" s="532" t="s">
        <v>1194</v>
      </c>
      <c r="D503" s="142">
        <v>1817.7915</v>
      </c>
      <c r="E503" s="369">
        <v>1002.114</v>
      </c>
    </row>
    <row r="504" spans="1:6" x14ac:dyDescent="0.25">
      <c r="A504" s="532" t="s">
        <v>70</v>
      </c>
      <c r="B504" t="s">
        <v>1195</v>
      </c>
      <c r="C504" s="532" t="s">
        <v>1196</v>
      </c>
      <c r="D504" s="142">
        <v>4.4999999999999998E-2</v>
      </c>
      <c r="E504" s="369">
        <v>0.09</v>
      </c>
    </row>
    <row r="505" spans="1:6" x14ac:dyDescent="0.25">
      <c r="A505" s="532" t="s">
        <v>70</v>
      </c>
      <c r="B505" t="s">
        <v>465</v>
      </c>
      <c r="C505" s="532" t="s">
        <v>761</v>
      </c>
      <c r="D505" s="142">
        <v>276.30200000000002</v>
      </c>
      <c r="E505" s="369">
        <v>42.137500000000003</v>
      </c>
    </row>
    <row r="506" spans="1:6" x14ac:dyDescent="0.25">
      <c r="A506" s="532" t="s">
        <v>70</v>
      </c>
      <c r="B506" t="s">
        <v>466</v>
      </c>
      <c r="C506" s="532" t="s">
        <v>1205</v>
      </c>
      <c r="D506" s="142">
        <v>43.826500000000003</v>
      </c>
      <c r="E506" s="369">
        <v>57.058500000000002</v>
      </c>
    </row>
    <row r="507" spans="1:6" x14ac:dyDescent="0.25">
      <c r="A507" s="532" t="s">
        <v>70</v>
      </c>
      <c r="B507" t="s">
        <v>467</v>
      </c>
      <c r="C507" s="532" t="s">
        <v>762</v>
      </c>
      <c r="D507" s="142">
        <v>392.60750000000002</v>
      </c>
      <c r="E507" s="369">
        <v>16.228000000000002</v>
      </c>
    </row>
    <row r="508" spans="1:6" x14ac:dyDescent="0.25">
      <c r="A508" s="532" t="s">
        <v>70</v>
      </c>
      <c r="B508" t="s">
        <v>374</v>
      </c>
      <c r="C508" s="532" t="s">
        <v>763</v>
      </c>
      <c r="D508" s="142">
        <v>1295.3430000000001</v>
      </c>
      <c r="E508" s="369">
        <v>702.56</v>
      </c>
    </row>
    <row r="509" spans="1:6" x14ac:dyDescent="0.25">
      <c r="A509" s="532" t="s">
        <v>70</v>
      </c>
      <c r="B509" t="s">
        <v>468</v>
      </c>
      <c r="C509" s="532" t="s">
        <v>1197</v>
      </c>
      <c r="D509" s="142">
        <v>1179.5809999999999</v>
      </c>
      <c r="E509" s="369">
        <v>1196.17</v>
      </c>
    </row>
    <row r="510" spans="1:6" x14ac:dyDescent="0.25">
      <c r="A510" s="532" t="s">
        <v>70</v>
      </c>
      <c r="B510" t="s">
        <v>469</v>
      </c>
      <c r="C510" s="532" t="s">
        <v>1198</v>
      </c>
      <c r="D510" s="142">
        <v>2652.0889999999999</v>
      </c>
      <c r="E510" s="369">
        <v>1721.403</v>
      </c>
    </row>
    <row r="511" spans="1:6" x14ac:dyDescent="0.25">
      <c r="A511" s="532" t="s">
        <v>70</v>
      </c>
      <c r="B511" t="s">
        <v>440</v>
      </c>
      <c r="C511" s="532" t="s">
        <v>764</v>
      </c>
      <c r="D511" s="142">
        <v>1170.3875</v>
      </c>
      <c r="E511" s="369">
        <v>681.00300000000004</v>
      </c>
    </row>
    <row r="512" spans="1:6" x14ac:dyDescent="0.25">
      <c r="A512" s="532" t="s">
        <v>70</v>
      </c>
      <c r="B512" t="s">
        <v>470</v>
      </c>
      <c r="C512" s="532" t="s">
        <v>765</v>
      </c>
      <c r="D512" s="142">
        <v>674.11350000000004</v>
      </c>
      <c r="E512" s="369">
        <v>688.27800000000002</v>
      </c>
    </row>
    <row r="513" spans="1:6" x14ac:dyDescent="0.25">
      <c r="A513" s="532" t="s">
        <v>70</v>
      </c>
      <c r="B513" t="s">
        <v>470</v>
      </c>
      <c r="C513" s="532" t="s">
        <v>1206</v>
      </c>
      <c r="D513" s="142">
        <v>1912.2145</v>
      </c>
      <c r="E513" s="369">
        <v>1846.8285000000001</v>
      </c>
    </row>
    <row r="514" spans="1:6" x14ac:dyDescent="0.25">
      <c r="A514" s="532" t="s">
        <v>70</v>
      </c>
      <c r="B514" t="s">
        <v>472</v>
      </c>
      <c r="C514" s="532" t="s">
        <v>1199</v>
      </c>
      <c r="D514" s="142">
        <v>8.1549999999999994</v>
      </c>
      <c r="E514" s="369">
        <v>0</v>
      </c>
    </row>
    <row r="515" spans="1:6" x14ac:dyDescent="0.25">
      <c r="A515" s="599" t="s">
        <v>1225</v>
      </c>
      <c r="B515" s="600"/>
      <c r="C515" s="601"/>
      <c r="D515" s="370">
        <v>11422.456</v>
      </c>
      <c r="E515" s="533">
        <v>7953.8705</v>
      </c>
    </row>
    <row r="516" spans="1:6" x14ac:dyDescent="0.25">
      <c r="A516" s="532" t="s">
        <v>1170</v>
      </c>
      <c r="B516" t="s">
        <v>1171</v>
      </c>
      <c r="C516" s="532" t="s">
        <v>1172</v>
      </c>
      <c r="D516" s="142">
        <v>0.01</v>
      </c>
      <c r="E516" s="369">
        <v>0.02</v>
      </c>
      <c r="F516" s="12"/>
    </row>
    <row r="517" spans="1:6" x14ac:dyDescent="0.25">
      <c r="A517" s="599" t="s">
        <v>1173</v>
      </c>
      <c r="B517" s="600"/>
      <c r="C517" s="601"/>
      <c r="D517" s="370">
        <v>0.01</v>
      </c>
      <c r="E517" s="533">
        <v>0.02</v>
      </c>
      <c r="F517" s="12"/>
    </row>
    <row r="518" spans="1:6" x14ac:dyDescent="0.25">
      <c r="A518" s="532" t="s">
        <v>1226</v>
      </c>
      <c r="B518" t="s">
        <v>473</v>
      </c>
      <c r="C518" s="532" t="s">
        <v>766</v>
      </c>
      <c r="D518" s="142">
        <v>10.555999999999999</v>
      </c>
      <c r="E518" s="369">
        <v>2.8639999999999999</v>
      </c>
      <c r="F518" s="12"/>
    </row>
    <row r="519" spans="1:6" x14ac:dyDescent="0.25">
      <c r="A519" s="532" t="s">
        <v>1226</v>
      </c>
      <c r="B519" t="s">
        <v>474</v>
      </c>
      <c r="C519" s="532" t="s">
        <v>1174</v>
      </c>
      <c r="D519" s="142">
        <v>579.84199999999998</v>
      </c>
      <c r="E519" s="369">
        <v>619.17049999999995</v>
      </c>
      <c r="F519" s="12"/>
    </row>
    <row r="520" spans="1:6" x14ac:dyDescent="0.25">
      <c r="A520" s="599" t="s">
        <v>1227</v>
      </c>
      <c r="B520" s="600"/>
      <c r="C520" s="601"/>
      <c r="D520" s="370">
        <v>590.39800000000002</v>
      </c>
      <c r="E520" s="533">
        <v>622.03449999999998</v>
      </c>
    </row>
    <row r="521" spans="1:6" x14ac:dyDescent="0.25">
      <c r="A521" s="532" t="s">
        <v>72</v>
      </c>
      <c r="B521" t="s">
        <v>486</v>
      </c>
      <c r="C521" s="532" t="s">
        <v>771</v>
      </c>
      <c r="D521" s="142">
        <v>467.44200000000001</v>
      </c>
      <c r="E521" s="369">
        <v>105.271</v>
      </c>
    </row>
    <row r="522" spans="1:6" x14ac:dyDescent="0.25">
      <c r="A522" s="532" t="s">
        <v>72</v>
      </c>
      <c r="B522" t="s">
        <v>486</v>
      </c>
      <c r="C522" s="532" t="s">
        <v>1175</v>
      </c>
      <c r="D522" s="142">
        <v>76.397499999999994</v>
      </c>
      <c r="E522" s="369">
        <v>0</v>
      </c>
    </row>
    <row r="523" spans="1:6" x14ac:dyDescent="0.25">
      <c r="A523" s="532" t="s">
        <v>72</v>
      </c>
      <c r="B523" t="s">
        <v>486</v>
      </c>
      <c r="C523" s="532" t="s">
        <v>772</v>
      </c>
      <c r="D523" s="142">
        <v>608.92849999999999</v>
      </c>
      <c r="E523" s="369">
        <v>144.96199999999999</v>
      </c>
    </row>
    <row r="524" spans="1:6" x14ac:dyDescent="0.25">
      <c r="A524" s="532" t="s">
        <v>72</v>
      </c>
      <c r="B524" t="s">
        <v>486</v>
      </c>
      <c r="C524" s="532" t="s">
        <v>773</v>
      </c>
      <c r="D524" s="142">
        <v>937.39949999999999</v>
      </c>
      <c r="E524" s="369">
        <v>324.31650000000002</v>
      </c>
    </row>
    <row r="525" spans="1:6" x14ac:dyDescent="0.25">
      <c r="A525" s="532" t="s">
        <v>72</v>
      </c>
      <c r="B525" t="s">
        <v>486</v>
      </c>
      <c r="C525" s="532" t="s">
        <v>1176</v>
      </c>
      <c r="D525" s="142">
        <v>1360.8905</v>
      </c>
      <c r="E525" s="369">
        <v>0</v>
      </c>
    </row>
    <row r="526" spans="1:6" x14ac:dyDescent="0.25">
      <c r="A526" s="532" t="s">
        <v>72</v>
      </c>
      <c r="B526" t="s">
        <v>487</v>
      </c>
      <c r="C526" s="532" t="s">
        <v>774</v>
      </c>
      <c r="D526" s="142">
        <v>2.1059999999999999</v>
      </c>
      <c r="E526" s="369">
        <v>1.6779999999999999</v>
      </c>
    </row>
    <row r="527" spans="1:6" x14ac:dyDescent="0.25">
      <c r="A527" s="532" t="s">
        <v>72</v>
      </c>
      <c r="B527" t="s">
        <v>311</v>
      </c>
      <c r="C527" s="532" t="s">
        <v>775</v>
      </c>
      <c r="D527" s="142">
        <v>0.40150000000000002</v>
      </c>
      <c r="E527" s="369">
        <v>0.59299999999999997</v>
      </c>
    </row>
    <row r="528" spans="1:6" x14ac:dyDescent="0.25">
      <c r="A528" s="532" t="s">
        <v>72</v>
      </c>
      <c r="B528" t="s">
        <v>488</v>
      </c>
      <c r="C528" s="532" t="s">
        <v>776</v>
      </c>
      <c r="D528" s="142">
        <v>387.65199999999999</v>
      </c>
      <c r="E528" s="369">
        <v>43.578000000000003</v>
      </c>
    </row>
    <row r="529" spans="1:5" x14ac:dyDescent="0.25">
      <c r="A529" s="532" t="s">
        <v>72</v>
      </c>
      <c r="B529" t="s">
        <v>489</v>
      </c>
      <c r="C529" s="532" t="s">
        <v>777</v>
      </c>
      <c r="D529" s="142">
        <v>209.3475</v>
      </c>
      <c r="E529" s="369">
        <v>41.302999999999997</v>
      </c>
    </row>
    <row r="530" spans="1:5" x14ac:dyDescent="0.25">
      <c r="A530" s="532" t="s">
        <v>72</v>
      </c>
      <c r="B530" t="s">
        <v>489</v>
      </c>
      <c r="C530" s="532" t="s">
        <v>1177</v>
      </c>
      <c r="D530" s="142">
        <v>260.76150000000001</v>
      </c>
      <c r="E530" s="369">
        <v>40.3735</v>
      </c>
    </row>
    <row r="531" spans="1:5" x14ac:dyDescent="0.25">
      <c r="A531" s="532" t="s">
        <v>72</v>
      </c>
      <c r="B531" t="s">
        <v>490</v>
      </c>
      <c r="C531" s="532" t="s">
        <v>778</v>
      </c>
      <c r="D531" s="142">
        <v>546.93949999999995</v>
      </c>
      <c r="E531" s="369">
        <v>507.87</v>
      </c>
    </row>
    <row r="532" spans="1:5" x14ac:dyDescent="0.25">
      <c r="A532" s="532" t="s">
        <v>72</v>
      </c>
      <c r="B532" t="s">
        <v>779</v>
      </c>
      <c r="C532" s="532" t="s">
        <v>1178</v>
      </c>
      <c r="D532" s="142">
        <v>443.38150000000002</v>
      </c>
      <c r="E532" s="369">
        <v>241.23099999999999</v>
      </c>
    </row>
    <row r="533" spans="1:5" x14ac:dyDescent="0.25">
      <c r="A533" s="532" t="s">
        <v>72</v>
      </c>
      <c r="B533" t="s">
        <v>833</v>
      </c>
      <c r="C533" s="532" t="s">
        <v>1178</v>
      </c>
      <c r="D533" s="142">
        <v>0</v>
      </c>
      <c r="E533" s="369">
        <v>271.959</v>
      </c>
    </row>
    <row r="534" spans="1:5" x14ac:dyDescent="0.25">
      <c r="A534" s="532" t="s">
        <v>72</v>
      </c>
      <c r="B534" t="s">
        <v>491</v>
      </c>
      <c r="C534" s="532" t="s">
        <v>1179</v>
      </c>
      <c r="D534" s="142">
        <v>27.5</v>
      </c>
      <c r="E534" s="369">
        <v>0</v>
      </c>
    </row>
    <row r="535" spans="1:5" x14ac:dyDescent="0.25">
      <c r="A535" s="532" t="s">
        <v>72</v>
      </c>
      <c r="B535" t="s">
        <v>491</v>
      </c>
      <c r="C535" s="532" t="s">
        <v>1180</v>
      </c>
      <c r="D535" s="142">
        <v>40.017499999999998</v>
      </c>
      <c r="E535" s="369">
        <v>7.1254999999999997</v>
      </c>
    </row>
    <row r="536" spans="1:5" x14ac:dyDescent="0.25">
      <c r="A536" s="532" t="s">
        <v>72</v>
      </c>
      <c r="B536" t="s">
        <v>492</v>
      </c>
      <c r="C536" s="532" t="s">
        <v>1181</v>
      </c>
      <c r="D536" s="142">
        <v>33.752000000000002</v>
      </c>
      <c r="E536" s="369">
        <v>0</v>
      </c>
    </row>
    <row r="537" spans="1:5" x14ac:dyDescent="0.25">
      <c r="A537" s="532" t="s">
        <v>72</v>
      </c>
      <c r="B537" t="s">
        <v>493</v>
      </c>
      <c r="C537" s="532" t="s">
        <v>1182</v>
      </c>
      <c r="D537" s="142">
        <v>1706.2874999999999</v>
      </c>
      <c r="E537" s="369">
        <v>1719.89</v>
      </c>
    </row>
    <row r="538" spans="1:5" x14ac:dyDescent="0.25">
      <c r="A538" s="532" t="s">
        <v>72</v>
      </c>
      <c r="B538" t="s">
        <v>494</v>
      </c>
      <c r="C538" s="532" t="s">
        <v>780</v>
      </c>
      <c r="D538" s="142">
        <v>1.762</v>
      </c>
      <c r="E538" s="369">
        <v>2.14</v>
      </c>
    </row>
    <row r="539" spans="1:5" x14ac:dyDescent="0.25">
      <c r="A539" s="532" t="s">
        <v>72</v>
      </c>
      <c r="B539" t="s">
        <v>495</v>
      </c>
      <c r="C539" s="532" t="s">
        <v>781</v>
      </c>
      <c r="D539" s="142">
        <v>487.20150000000001</v>
      </c>
      <c r="E539" s="369">
        <v>40.103999999999999</v>
      </c>
    </row>
    <row r="540" spans="1:5" x14ac:dyDescent="0.25">
      <c r="A540" s="532" t="s">
        <v>72</v>
      </c>
      <c r="B540" t="s">
        <v>496</v>
      </c>
      <c r="C540" s="532" t="s">
        <v>1183</v>
      </c>
      <c r="D540" s="142">
        <v>3.5684999999999998</v>
      </c>
      <c r="E540" s="369">
        <v>1.591</v>
      </c>
    </row>
    <row r="541" spans="1:5" x14ac:dyDescent="0.25">
      <c r="A541" s="532" t="s">
        <v>72</v>
      </c>
      <c r="B541" t="s">
        <v>496</v>
      </c>
      <c r="C541" s="532" t="s">
        <v>782</v>
      </c>
      <c r="D541" s="142">
        <v>2.7679999999999998</v>
      </c>
      <c r="E541" s="369">
        <v>2.056</v>
      </c>
    </row>
    <row r="542" spans="1:5" x14ac:dyDescent="0.25">
      <c r="A542" s="532" t="s">
        <v>72</v>
      </c>
      <c r="B542" t="s">
        <v>496</v>
      </c>
      <c r="C542" s="532" t="s">
        <v>1184</v>
      </c>
      <c r="D542" s="142">
        <v>1.732</v>
      </c>
      <c r="E542" s="369">
        <v>1.454</v>
      </c>
    </row>
    <row r="543" spans="1:5" x14ac:dyDescent="0.25">
      <c r="A543" s="532" t="s">
        <v>72</v>
      </c>
      <c r="B543" t="s">
        <v>313</v>
      </c>
      <c r="C543" s="532" t="s">
        <v>771</v>
      </c>
      <c r="D543" s="142">
        <v>2.4935</v>
      </c>
      <c r="E543" s="369">
        <v>0</v>
      </c>
    </row>
    <row r="544" spans="1:5" x14ac:dyDescent="0.25">
      <c r="A544" s="532" t="s">
        <v>72</v>
      </c>
      <c r="B544" t="s">
        <v>497</v>
      </c>
      <c r="C544" s="532" t="s">
        <v>783</v>
      </c>
      <c r="D544" s="142">
        <v>46.955500000000001</v>
      </c>
      <c r="E544" s="369">
        <v>0</v>
      </c>
    </row>
    <row r="545" spans="1:5" x14ac:dyDescent="0.25">
      <c r="A545" s="532" t="s">
        <v>72</v>
      </c>
      <c r="B545" t="s">
        <v>498</v>
      </c>
      <c r="C545" s="532" t="s">
        <v>784</v>
      </c>
      <c r="D545" s="142">
        <v>2.1059999999999999</v>
      </c>
      <c r="E545" s="369">
        <v>2.0539999999999998</v>
      </c>
    </row>
    <row r="546" spans="1:5" x14ac:dyDescent="0.25">
      <c r="A546" s="532" t="s">
        <v>72</v>
      </c>
      <c r="B546" t="s">
        <v>498</v>
      </c>
      <c r="C546" s="532" t="s">
        <v>785</v>
      </c>
      <c r="D546" s="142">
        <v>2.157</v>
      </c>
      <c r="E546" s="369">
        <v>1.9864999999999999</v>
      </c>
    </row>
    <row r="547" spans="1:5" x14ac:dyDescent="0.25">
      <c r="A547" s="599" t="s">
        <v>499</v>
      </c>
      <c r="B547" s="600"/>
      <c r="C547" s="601"/>
      <c r="D547" s="370">
        <v>7659.9485000000004</v>
      </c>
      <c r="E547" s="533">
        <v>3501.5360000000001</v>
      </c>
    </row>
    <row r="548" spans="1:5" x14ac:dyDescent="0.25">
      <c r="A548" s="532" t="s">
        <v>500</v>
      </c>
      <c r="B548" t="s">
        <v>501</v>
      </c>
      <c r="C548" s="532" t="s">
        <v>786</v>
      </c>
      <c r="D548" s="142">
        <v>177.26150000000001</v>
      </c>
      <c r="E548" s="369">
        <v>207.10849999999999</v>
      </c>
    </row>
    <row r="549" spans="1:5" x14ac:dyDescent="0.25">
      <c r="A549" s="599" t="s">
        <v>502</v>
      </c>
      <c r="B549" s="600"/>
      <c r="C549" s="601"/>
      <c r="D549" s="370">
        <v>177.26150000000001</v>
      </c>
      <c r="E549" s="533">
        <v>207.10849999999999</v>
      </c>
    </row>
    <row r="550" spans="1:5" x14ac:dyDescent="0.25">
      <c r="A550" s="532" t="s">
        <v>503</v>
      </c>
      <c r="B550" t="s">
        <v>423</v>
      </c>
      <c r="C550" s="532" t="s">
        <v>787</v>
      </c>
      <c r="D550" s="142">
        <v>43.014000000000003</v>
      </c>
      <c r="E550" s="369">
        <v>50.109000000000002</v>
      </c>
    </row>
    <row r="551" spans="1:5" x14ac:dyDescent="0.25">
      <c r="A551" s="599" t="s">
        <v>504</v>
      </c>
      <c r="B551" s="600"/>
      <c r="C551" s="601"/>
      <c r="D551" s="370">
        <v>43.014000000000003</v>
      </c>
      <c r="E551" s="533">
        <v>50.109000000000002</v>
      </c>
    </row>
    <row r="552" spans="1:5" x14ac:dyDescent="0.25">
      <c r="A552" s="532" t="s">
        <v>505</v>
      </c>
      <c r="B552" t="s">
        <v>506</v>
      </c>
      <c r="C552" s="532" t="s">
        <v>1185</v>
      </c>
      <c r="D552" s="142">
        <v>14.724</v>
      </c>
      <c r="E552" s="369">
        <v>0</v>
      </c>
    </row>
    <row r="553" spans="1:5" x14ac:dyDescent="0.25">
      <c r="A553" s="532" t="s">
        <v>505</v>
      </c>
      <c r="B553" t="s">
        <v>507</v>
      </c>
      <c r="C553" s="532" t="s">
        <v>1186</v>
      </c>
      <c r="D553" s="142">
        <v>190.25450000000001</v>
      </c>
      <c r="E553" s="369">
        <v>294.62650000000002</v>
      </c>
    </row>
    <row r="554" spans="1:5" x14ac:dyDescent="0.25">
      <c r="A554" s="599" t="s">
        <v>508</v>
      </c>
      <c r="B554" s="600"/>
      <c r="C554" s="601"/>
      <c r="D554" s="370">
        <v>204.9785</v>
      </c>
      <c r="E554" s="533">
        <v>294.62650000000002</v>
      </c>
    </row>
    <row r="555" spans="1:5" x14ac:dyDescent="0.25">
      <c r="A555" s="532" t="s">
        <v>509</v>
      </c>
      <c r="B555" t="s">
        <v>510</v>
      </c>
      <c r="C555" s="532" t="s">
        <v>1187</v>
      </c>
      <c r="D555" s="142">
        <v>11.1105</v>
      </c>
      <c r="E555" s="369">
        <v>4.13</v>
      </c>
    </row>
    <row r="556" spans="1:5" x14ac:dyDescent="0.25">
      <c r="A556" s="532" t="s">
        <v>509</v>
      </c>
      <c r="B556" t="s">
        <v>511</v>
      </c>
      <c r="C556" s="532" t="s">
        <v>1188</v>
      </c>
      <c r="D556" s="142">
        <v>216.631</v>
      </c>
      <c r="E556" s="369">
        <v>117.3785</v>
      </c>
    </row>
    <row r="557" spans="1:5" x14ac:dyDescent="0.25">
      <c r="A557" s="532" t="s">
        <v>509</v>
      </c>
      <c r="B557" t="s">
        <v>512</v>
      </c>
      <c r="C557" s="532" t="s">
        <v>1188</v>
      </c>
      <c r="D557" s="142">
        <v>548.55799999999999</v>
      </c>
      <c r="E557" s="369">
        <v>503.24400000000003</v>
      </c>
    </row>
    <row r="558" spans="1:5" x14ac:dyDescent="0.25">
      <c r="A558" s="532" t="s">
        <v>509</v>
      </c>
      <c r="B558" t="s">
        <v>513</v>
      </c>
      <c r="C558" s="532" t="s">
        <v>788</v>
      </c>
      <c r="D558" s="142">
        <v>13.106999999999999</v>
      </c>
      <c r="E558" s="369">
        <v>11.994</v>
      </c>
    </row>
    <row r="559" spans="1:5" x14ac:dyDescent="0.25">
      <c r="A559" s="532" t="s">
        <v>509</v>
      </c>
      <c r="B559" t="s">
        <v>1189</v>
      </c>
      <c r="C559" s="532" t="s">
        <v>1187</v>
      </c>
      <c r="D559" s="142">
        <v>0</v>
      </c>
      <c r="E559" s="369">
        <v>0.64800000000000002</v>
      </c>
    </row>
    <row r="560" spans="1:5" x14ac:dyDescent="0.25">
      <c r="A560" s="599" t="s">
        <v>514</v>
      </c>
      <c r="B560" s="600"/>
      <c r="C560" s="601"/>
      <c r="D560" s="370">
        <v>789.40650000000005</v>
      </c>
      <c r="E560" s="533">
        <v>637.39449999999999</v>
      </c>
    </row>
    <row r="561" spans="1:5" x14ac:dyDescent="0.25">
      <c r="A561" s="532" t="s">
        <v>162</v>
      </c>
      <c r="B561" t="s">
        <v>515</v>
      </c>
      <c r="C561" s="532" t="s">
        <v>1190</v>
      </c>
      <c r="D561" s="142">
        <v>423.27600000000001</v>
      </c>
      <c r="E561" s="369">
        <v>419.05849999999998</v>
      </c>
    </row>
    <row r="562" spans="1:5" x14ac:dyDescent="0.25">
      <c r="A562" s="532" t="s">
        <v>162</v>
      </c>
      <c r="B562" t="s">
        <v>516</v>
      </c>
      <c r="C562" s="532" t="s">
        <v>789</v>
      </c>
      <c r="D562" s="142">
        <v>140.928</v>
      </c>
      <c r="E562" s="369">
        <v>89.170500000000004</v>
      </c>
    </row>
    <row r="563" spans="1:5" x14ac:dyDescent="0.25">
      <c r="A563" s="532" t="s">
        <v>162</v>
      </c>
      <c r="B563" t="s">
        <v>516</v>
      </c>
      <c r="C563" s="532" t="s">
        <v>790</v>
      </c>
      <c r="D563" s="142">
        <v>129.15450000000001</v>
      </c>
      <c r="E563" s="369">
        <v>0</v>
      </c>
    </row>
    <row r="564" spans="1:5" x14ac:dyDescent="0.25">
      <c r="A564" s="532" t="s">
        <v>162</v>
      </c>
      <c r="B564" t="s">
        <v>516</v>
      </c>
      <c r="C564" s="532" t="s">
        <v>791</v>
      </c>
      <c r="D564" s="142">
        <v>137.79400000000001</v>
      </c>
      <c r="E564" s="369">
        <v>125.7315</v>
      </c>
    </row>
    <row r="565" spans="1:5" x14ac:dyDescent="0.25">
      <c r="A565" s="532" t="s">
        <v>162</v>
      </c>
      <c r="B565" t="s">
        <v>823</v>
      </c>
      <c r="C565" s="532" t="s">
        <v>790</v>
      </c>
      <c r="D565" s="142">
        <v>41.9435</v>
      </c>
      <c r="E565" s="369">
        <v>186.81299999999999</v>
      </c>
    </row>
    <row r="566" spans="1:5" x14ac:dyDescent="0.25">
      <c r="A566" s="532" t="s">
        <v>162</v>
      </c>
      <c r="B566" t="s">
        <v>517</v>
      </c>
      <c r="C566" s="532" t="s">
        <v>792</v>
      </c>
      <c r="D566" s="142">
        <v>128.36250000000001</v>
      </c>
      <c r="E566" s="369">
        <v>149.05449999999999</v>
      </c>
    </row>
    <row r="567" spans="1:5" x14ac:dyDescent="0.25">
      <c r="A567" s="532" t="s">
        <v>162</v>
      </c>
      <c r="B567" t="s">
        <v>518</v>
      </c>
      <c r="C567" s="532" t="s">
        <v>793</v>
      </c>
      <c r="D567" s="142">
        <v>92.09</v>
      </c>
      <c r="E567" s="369">
        <v>105.0145</v>
      </c>
    </row>
    <row r="568" spans="1:5" x14ac:dyDescent="0.25">
      <c r="A568" s="532" t="s">
        <v>162</v>
      </c>
      <c r="B568" t="s">
        <v>519</v>
      </c>
      <c r="C568" s="532" t="s">
        <v>794</v>
      </c>
      <c r="D568" s="142">
        <v>10.509499999999999</v>
      </c>
      <c r="E568" s="369">
        <v>13.6355</v>
      </c>
    </row>
    <row r="569" spans="1:5" x14ac:dyDescent="0.25">
      <c r="A569" s="599" t="s">
        <v>520</v>
      </c>
      <c r="B569" s="600"/>
      <c r="C569" s="601"/>
      <c r="D569" s="370">
        <v>1104.058</v>
      </c>
      <c r="E569" s="533">
        <v>1088.4780000000001</v>
      </c>
    </row>
    <row r="570" spans="1:5" x14ac:dyDescent="0.25">
      <c r="A570" s="532" t="s">
        <v>521</v>
      </c>
      <c r="B570" t="s">
        <v>522</v>
      </c>
      <c r="C570" s="532" t="s">
        <v>1191</v>
      </c>
      <c r="D570" s="142">
        <v>19.114999999999998</v>
      </c>
      <c r="E570" s="369">
        <v>19.404499999999999</v>
      </c>
    </row>
    <row r="571" spans="1:5" x14ac:dyDescent="0.25">
      <c r="A571" s="532" t="s">
        <v>521</v>
      </c>
      <c r="B571" t="s">
        <v>808</v>
      </c>
      <c r="C571" s="532" t="s">
        <v>1192</v>
      </c>
      <c r="D571" s="142">
        <v>39.090499999999999</v>
      </c>
      <c r="E571" s="369">
        <v>42.906999999999996</v>
      </c>
    </row>
    <row r="572" spans="1:5" x14ac:dyDescent="0.25">
      <c r="A572" s="532" t="s">
        <v>521</v>
      </c>
      <c r="B572" t="s">
        <v>523</v>
      </c>
      <c r="C572" s="532" t="s">
        <v>795</v>
      </c>
      <c r="D572" s="142">
        <v>17.416</v>
      </c>
      <c r="E572" s="369">
        <v>17.7745</v>
      </c>
    </row>
    <row r="573" spans="1:5" x14ac:dyDescent="0.25">
      <c r="A573" s="532" t="s">
        <v>521</v>
      </c>
      <c r="B573" t="s">
        <v>524</v>
      </c>
      <c r="C573" s="532" t="s">
        <v>1193</v>
      </c>
      <c r="D573" s="142">
        <v>315.34449999999998</v>
      </c>
      <c r="E573" s="369">
        <v>233.857</v>
      </c>
    </row>
    <row r="574" spans="1:5" x14ac:dyDescent="0.25">
      <c r="A574" s="532" t="s">
        <v>521</v>
      </c>
      <c r="B574" t="s">
        <v>303</v>
      </c>
      <c r="C574" s="532" t="s">
        <v>796</v>
      </c>
      <c r="D574" s="142">
        <v>2.8824999999999998</v>
      </c>
      <c r="E574" s="369">
        <v>2.7454999999999998</v>
      </c>
    </row>
    <row r="575" spans="1:5" x14ac:dyDescent="0.25">
      <c r="A575" s="599" t="s">
        <v>525</v>
      </c>
      <c r="B575" s="600"/>
      <c r="C575" s="601"/>
      <c r="D575" s="370">
        <v>393.8485</v>
      </c>
      <c r="E575" s="533">
        <v>316.68849999999998</v>
      </c>
    </row>
    <row r="576" spans="1:5" x14ac:dyDescent="0.25">
      <c r="A576" s="532" t="s">
        <v>526</v>
      </c>
      <c r="B576" t="s">
        <v>376</v>
      </c>
      <c r="C576" s="532" t="s">
        <v>797</v>
      </c>
      <c r="D576" s="142">
        <v>0.80500000000000005</v>
      </c>
      <c r="E576" s="369">
        <v>0.93400000000000005</v>
      </c>
    </row>
    <row r="577" spans="1:5" x14ac:dyDescent="0.25">
      <c r="A577" s="599" t="s">
        <v>527</v>
      </c>
      <c r="B577" s="600"/>
      <c r="C577" s="601"/>
      <c r="D577" s="370">
        <v>0.80500000000000005</v>
      </c>
      <c r="E577" s="533">
        <v>0.93400000000000005</v>
      </c>
    </row>
    <row r="578" spans="1:5" x14ac:dyDescent="0.25">
      <c r="A578" s="532" t="s">
        <v>528</v>
      </c>
      <c r="B578" t="s">
        <v>529</v>
      </c>
      <c r="C578" s="532" t="s">
        <v>798</v>
      </c>
      <c r="D578" s="142">
        <v>14.2165</v>
      </c>
      <c r="E578" s="369">
        <v>17.568000000000001</v>
      </c>
    </row>
    <row r="579" spans="1:5" x14ac:dyDescent="0.25">
      <c r="A579" s="532" t="s">
        <v>528</v>
      </c>
      <c r="B579" t="s">
        <v>530</v>
      </c>
      <c r="C579" s="532" t="s">
        <v>799</v>
      </c>
      <c r="D579" s="142">
        <v>5.0679999999999996</v>
      </c>
      <c r="E579" s="369">
        <v>3.8279999999999998</v>
      </c>
    </row>
    <row r="580" spans="1:5" x14ac:dyDescent="0.25">
      <c r="A580" s="599" t="s">
        <v>531</v>
      </c>
      <c r="B580" s="600"/>
      <c r="C580" s="601"/>
      <c r="D580" s="370">
        <v>19.284500000000001</v>
      </c>
      <c r="E580" s="533">
        <v>21.396000000000001</v>
      </c>
    </row>
    <row r="581" spans="1:5" x14ac:dyDescent="0.25">
      <c r="A581" s="532" t="s">
        <v>532</v>
      </c>
      <c r="B581" t="s">
        <v>800</v>
      </c>
      <c r="C581" s="532" t="s">
        <v>801</v>
      </c>
      <c r="D581" s="142">
        <v>8.7970000000000006</v>
      </c>
      <c r="E581" s="369">
        <v>4.5140000000000002</v>
      </c>
    </row>
    <row r="582" spans="1:5" x14ac:dyDescent="0.25">
      <c r="A582" s="599" t="s">
        <v>533</v>
      </c>
      <c r="B582" s="600"/>
      <c r="C582" s="601"/>
      <c r="D582" s="370">
        <v>8.7970000000000006</v>
      </c>
      <c r="E582" s="533">
        <v>4.5140000000000002</v>
      </c>
    </row>
    <row r="583" spans="1:5" x14ac:dyDescent="0.25">
      <c r="A583" s="532" t="s">
        <v>534</v>
      </c>
      <c r="B583" t="s">
        <v>535</v>
      </c>
      <c r="C583" s="532" t="s">
        <v>802</v>
      </c>
      <c r="D583" s="142">
        <v>4.2645</v>
      </c>
      <c r="E583" s="369">
        <v>4.4055</v>
      </c>
    </row>
    <row r="584" spans="1:5" x14ac:dyDescent="0.25">
      <c r="A584" s="599" t="s">
        <v>536</v>
      </c>
      <c r="B584" s="600"/>
      <c r="C584" s="601"/>
      <c r="D584" s="370">
        <v>4.2645</v>
      </c>
      <c r="E584" s="533">
        <v>4.4055</v>
      </c>
    </row>
    <row r="585" spans="1:5" x14ac:dyDescent="0.25">
      <c r="A585" s="532" t="s">
        <v>844</v>
      </c>
      <c r="B585" t="s">
        <v>486</v>
      </c>
      <c r="C585" s="532" t="s">
        <v>803</v>
      </c>
      <c r="D585" s="142">
        <v>233.43049999999999</v>
      </c>
      <c r="E585" s="369">
        <v>0</v>
      </c>
    </row>
    <row r="586" spans="1:5" x14ac:dyDescent="0.25">
      <c r="A586" s="532" t="s">
        <v>844</v>
      </c>
      <c r="B586" t="s">
        <v>434</v>
      </c>
      <c r="C586" s="532" t="s">
        <v>805</v>
      </c>
      <c r="D586" s="142">
        <v>636.69200000000001</v>
      </c>
      <c r="E586" s="369">
        <v>2422.9814999999999</v>
      </c>
    </row>
    <row r="587" spans="1:5" x14ac:dyDescent="0.25">
      <c r="A587" s="532" t="s">
        <v>844</v>
      </c>
      <c r="B587" t="s">
        <v>313</v>
      </c>
      <c r="C587" s="532" t="s">
        <v>806</v>
      </c>
      <c r="D587" s="142">
        <v>13.984</v>
      </c>
      <c r="E587" s="369">
        <v>29.453499999999998</v>
      </c>
    </row>
    <row r="588" spans="1:5" x14ac:dyDescent="0.25">
      <c r="A588" s="532" t="s">
        <v>844</v>
      </c>
      <c r="B588" t="s">
        <v>313</v>
      </c>
      <c r="C588" s="532" t="s">
        <v>1200</v>
      </c>
      <c r="D588" s="142">
        <v>0.97050000000000003</v>
      </c>
      <c r="E588" s="369">
        <v>0</v>
      </c>
    </row>
    <row r="589" spans="1:5" x14ac:dyDescent="0.25">
      <c r="A589" s="532" t="s">
        <v>844</v>
      </c>
      <c r="B589" t="s">
        <v>313</v>
      </c>
      <c r="C589" s="532" t="s">
        <v>1201</v>
      </c>
      <c r="D589" s="142">
        <v>14.238</v>
      </c>
      <c r="E589" s="369">
        <v>22.025500000000001</v>
      </c>
    </row>
    <row r="590" spans="1:5" x14ac:dyDescent="0.25">
      <c r="A590" s="532" t="s">
        <v>844</v>
      </c>
      <c r="B590" t="s">
        <v>313</v>
      </c>
      <c r="C590" s="532" t="s">
        <v>1202</v>
      </c>
      <c r="D590" s="142">
        <v>17.144500000000001</v>
      </c>
      <c r="E590" s="369">
        <v>6.9390000000000001</v>
      </c>
    </row>
    <row r="591" spans="1:5" x14ac:dyDescent="0.25">
      <c r="A591" s="532" t="s">
        <v>844</v>
      </c>
      <c r="B591" t="s">
        <v>538</v>
      </c>
      <c r="C591" s="532" t="s">
        <v>803</v>
      </c>
      <c r="D591" s="142">
        <v>31.920500000000001</v>
      </c>
      <c r="E591" s="369">
        <v>86.998000000000005</v>
      </c>
    </row>
    <row r="592" spans="1:5" x14ac:dyDescent="0.25">
      <c r="A592" s="532" t="s">
        <v>844</v>
      </c>
      <c r="B592" t="s">
        <v>538</v>
      </c>
      <c r="C592" s="532" t="s">
        <v>804</v>
      </c>
      <c r="D592" s="142">
        <v>12.827999999999999</v>
      </c>
      <c r="E592" s="369">
        <v>3.7109999999999999</v>
      </c>
    </row>
    <row r="593" spans="1:5" x14ac:dyDescent="0.25">
      <c r="A593" s="599" t="s">
        <v>845</v>
      </c>
      <c r="B593" s="600"/>
      <c r="C593" s="601"/>
      <c r="D593" s="370">
        <v>961.20799999999997</v>
      </c>
      <c r="E593" s="533">
        <v>2572.1084999999998</v>
      </c>
    </row>
    <row r="594" spans="1:5" ht="15.75" thickBot="1" x14ac:dyDescent="0.3">
      <c r="A594" s="527" t="s">
        <v>539</v>
      </c>
      <c r="B594" s="528"/>
      <c r="C594" s="529"/>
      <c r="D594" s="534">
        <v>136011.0675</v>
      </c>
      <c r="E594" s="371">
        <v>136179.3175</v>
      </c>
    </row>
  </sheetData>
  <sortState xmlns:xlrd2="http://schemas.microsoft.com/office/spreadsheetml/2017/richdata2" ref="B444:E452">
    <sortCondition ref="B444:B452"/>
    <sortCondition ref="C444:C452"/>
  </sortState>
  <mergeCells count="31">
    <mergeCell ref="A502:C502"/>
    <mergeCell ref="A12:C12"/>
    <mergeCell ref="A14:C14"/>
    <mergeCell ref="A23:C23"/>
    <mergeCell ref="A26:C26"/>
    <mergeCell ref="A463:C463"/>
    <mergeCell ref="A396:C396"/>
    <mergeCell ref="A394:C394"/>
    <mergeCell ref="A375:C375"/>
    <mergeCell ref="A362:C362"/>
    <mergeCell ref="A214:C214"/>
    <mergeCell ref="A212:C212"/>
    <mergeCell ref="A198:C198"/>
    <mergeCell ref="A196:C196"/>
    <mergeCell ref="A193:C193"/>
    <mergeCell ref="A182:C182"/>
    <mergeCell ref="A593:C593"/>
    <mergeCell ref="A584:C584"/>
    <mergeCell ref="A582:C582"/>
    <mergeCell ref="A515:C515"/>
    <mergeCell ref="A580:C580"/>
    <mergeCell ref="A577:C577"/>
    <mergeCell ref="A575:C575"/>
    <mergeCell ref="A569:C569"/>
    <mergeCell ref="A560:C560"/>
    <mergeCell ref="A554:C554"/>
    <mergeCell ref="A551:C551"/>
    <mergeCell ref="A549:C549"/>
    <mergeCell ref="A547:C547"/>
    <mergeCell ref="A520:C520"/>
    <mergeCell ref="A517:C5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B1ABC-E955-43BD-97DB-BBC6001F0D62}">
  <sheetPr codeName="Sheet3"/>
  <dimension ref="A7:D19"/>
  <sheetViews>
    <sheetView showGridLines="0" zoomScale="85" zoomScaleNormal="85" workbookViewId="0"/>
  </sheetViews>
  <sheetFormatPr defaultColWidth="9.140625" defaultRowHeight="15" x14ac:dyDescent="0.25"/>
  <cols>
    <col min="1" max="1" width="66.85546875" customWidth="1"/>
    <col min="2" max="2" width="1.42578125" bestFit="1" customWidth="1"/>
    <col min="3" max="3" width="72.140625" bestFit="1" customWidth="1"/>
    <col min="4" max="4" width="64" bestFit="1" customWidth="1"/>
  </cols>
  <sheetData>
    <row r="7" spans="1:4" x14ac:dyDescent="0.25">
      <c r="A7" s="4" t="s">
        <v>24</v>
      </c>
      <c r="B7" s="4"/>
      <c r="C7" s="4" t="s">
        <v>26</v>
      </c>
      <c r="D7" s="4" t="s">
        <v>27</v>
      </c>
    </row>
    <row r="8" spans="1:4" x14ac:dyDescent="0.25">
      <c r="A8" t="s">
        <v>28</v>
      </c>
      <c r="B8" t="s">
        <v>1</v>
      </c>
      <c r="C8" s="5" t="s">
        <v>29</v>
      </c>
      <c r="D8" s="1" t="s">
        <v>30</v>
      </c>
    </row>
    <row r="9" spans="1:4" x14ac:dyDescent="0.25">
      <c r="A9" t="s">
        <v>31</v>
      </c>
      <c r="B9" t="s">
        <v>1</v>
      </c>
      <c r="C9" t="s">
        <v>32</v>
      </c>
      <c r="D9" s="1" t="s">
        <v>30</v>
      </c>
    </row>
    <row r="10" spans="1:4" x14ac:dyDescent="0.25">
      <c r="A10" t="s">
        <v>36</v>
      </c>
      <c r="B10" t="s">
        <v>1</v>
      </c>
      <c r="C10" t="s">
        <v>32</v>
      </c>
      <c r="D10" s="1" t="s">
        <v>37</v>
      </c>
    </row>
    <row r="11" spans="1:4" x14ac:dyDescent="0.25">
      <c r="A11" t="s">
        <v>38</v>
      </c>
      <c r="B11" t="s">
        <v>1</v>
      </c>
      <c r="C11" t="s">
        <v>39</v>
      </c>
      <c r="D11" s="1" t="s">
        <v>40</v>
      </c>
    </row>
    <row r="12" spans="1:4" ht="14.25" customHeight="1" x14ac:dyDescent="0.25">
      <c r="A12" t="s">
        <v>33</v>
      </c>
      <c r="B12" t="s">
        <v>1</v>
      </c>
      <c r="C12" t="s">
        <v>32</v>
      </c>
      <c r="D12" s="1" t="s">
        <v>34</v>
      </c>
    </row>
    <row r="13" spans="1:4" x14ac:dyDescent="0.25">
      <c r="A13" t="s">
        <v>35</v>
      </c>
      <c r="B13" t="s">
        <v>1</v>
      </c>
      <c r="C13" s="5" t="s">
        <v>32</v>
      </c>
      <c r="D13" s="1" t="s">
        <v>34</v>
      </c>
    </row>
    <row r="14" spans="1:4" x14ac:dyDescent="0.25">
      <c r="A14" t="s">
        <v>41</v>
      </c>
      <c r="B14" t="s">
        <v>1</v>
      </c>
      <c r="C14" s="5" t="s">
        <v>32</v>
      </c>
      <c r="D14" s="1" t="s">
        <v>42</v>
      </c>
    </row>
    <row r="15" spans="1:4" x14ac:dyDescent="0.25">
      <c r="A15" t="s">
        <v>43</v>
      </c>
      <c r="B15" t="s">
        <v>1</v>
      </c>
      <c r="C15" s="5" t="s">
        <v>32</v>
      </c>
      <c r="D15" s="1" t="s">
        <v>42</v>
      </c>
    </row>
    <row r="16" spans="1:4" x14ac:dyDescent="0.25">
      <c r="A16" t="s">
        <v>12</v>
      </c>
      <c r="B16" t="s">
        <v>1</v>
      </c>
      <c r="C16" s="5" t="s">
        <v>846</v>
      </c>
    </row>
    <row r="17" spans="1:4" x14ac:dyDescent="0.25">
      <c r="A17" t="s">
        <v>44</v>
      </c>
      <c r="B17" t="s">
        <v>1</v>
      </c>
      <c r="C17" s="535" t="s">
        <v>847</v>
      </c>
    </row>
    <row r="18" spans="1:4" x14ac:dyDescent="0.25">
      <c r="A18" t="s">
        <v>45</v>
      </c>
      <c r="B18" t="s">
        <v>1</v>
      </c>
      <c r="C18" s="535" t="s">
        <v>848</v>
      </c>
    </row>
    <row r="19" spans="1:4" x14ac:dyDescent="0.25">
      <c r="A19" t="s">
        <v>46</v>
      </c>
      <c r="B19" t="s">
        <v>1</v>
      </c>
      <c r="C19" s="5" t="s">
        <v>32</v>
      </c>
      <c r="D19" s="1" t="s">
        <v>47</v>
      </c>
    </row>
  </sheetData>
  <hyperlinks>
    <hyperlink ref="D14" r:id="rId1" display="ABS 8412.0" xr:uid="{192C942F-42CF-4506-AFF7-3BCB75DCCA49}"/>
    <hyperlink ref="D15" r:id="rId2" display="ABS 8412.0" xr:uid="{6160FCEC-6FD1-4279-B00A-A33170FCC67C}"/>
    <hyperlink ref="D10" r:id="rId3" display="ABS 5368.0" xr:uid="{2C6DF9C6-845D-4B87-B324-05F01F8FA853}"/>
    <hyperlink ref="D11" r:id="rId4" display="http://www.industry.gov.au/Office-of-the-Chief-Economist/Pages/default.aspx" xr:uid="{B6BC51DA-5237-415E-9E12-3386C6303FD1}"/>
    <hyperlink ref="D8" r:id="rId5" xr:uid="{9D772BFC-FBE5-4391-8BC2-E2341314DC13}"/>
    <hyperlink ref="D9" r:id="rId6" xr:uid="{5242B074-4087-436F-83B1-A7C335BDF209}"/>
    <hyperlink ref="D12" r:id="rId7" display="ABS 5625.0 - Private New Capital Expenditure and Expected Expenditure, Australia" xr:uid="{27239369-BFC8-430E-B43F-67786A19AD14}"/>
    <hyperlink ref="D13" r:id="rId8" display="ABS 5625.0 - Private New Capital Expenditure and Expected Expenditure, Australia" xr:uid="{0858FA4F-9389-4498-BF5B-76240F30BFE2}"/>
    <hyperlink ref="D19" r:id="rId9" xr:uid="{6E7B196E-0B35-4BBF-BD96-7D33638DD6E8}"/>
  </hyperlinks>
  <pageMargins left="0.7" right="0.7" top="0.75" bottom="0.75" header="0.3" footer="0.3"/>
  <pageSetup paperSize="9" orientation="portrait" r:id="rId10"/>
  <drawing r:id="rId1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D549B-69DC-4622-93E1-C1CF0B031AA2}">
  <sheetPr codeName="Sheet20"/>
  <dimension ref="A7:O102"/>
  <sheetViews>
    <sheetView showGridLines="0" zoomScale="85" zoomScaleNormal="85" workbookViewId="0"/>
  </sheetViews>
  <sheetFormatPr defaultColWidth="9.140625" defaultRowHeight="15" x14ac:dyDescent="0.25"/>
  <cols>
    <col min="1" max="1" width="50.7109375" customWidth="1"/>
    <col min="2" max="15" width="12.7109375" customWidth="1"/>
  </cols>
  <sheetData>
    <row r="7" spans="1:15" ht="15.75" thickBot="1" x14ac:dyDescent="0.3">
      <c r="A7" s="296" t="s">
        <v>540</v>
      </c>
      <c r="B7" s="88"/>
      <c r="C7" s="88"/>
      <c r="D7" s="88"/>
      <c r="E7" s="88"/>
      <c r="F7" s="372"/>
      <c r="G7" s="372"/>
      <c r="H7" s="372"/>
      <c r="I7" s="88"/>
      <c r="J7" s="88"/>
      <c r="K7" s="88"/>
      <c r="L7" s="88"/>
      <c r="M7" s="87"/>
      <c r="N7" s="87"/>
      <c r="O7" s="87"/>
    </row>
    <row r="8" spans="1:15" x14ac:dyDescent="0.25">
      <c r="A8" s="297" t="s">
        <v>63</v>
      </c>
      <c r="B8" s="323">
        <v>1987</v>
      </c>
      <c r="C8" s="323">
        <v>1988</v>
      </c>
      <c r="D8" s="323">
        <v>1989</v>
      </c>
      <c r="E8" s="323">
        <v>1990</v>
      </c>
      <c r="F8" s="323">
        <v>1991</v>
      </c>
      <c r="G8" s="323">
        <v>1992</v>
      </c>
      <c r="H8" s="323">
        <v>1993</v>
      </c>
      <c r="I8" s="323">
        <v>1994</v>
      </c>
      <c r="J8" s="323">
        <v>1995</v>
      </c>
      <c r="K8" s="323">
        <v>1996</v>
      </c>
      <c r="L8" s="323">
        <v>1997</v>
      </c>
      <c r="M8" s="323">
        <v>1998</v>
      </c>
      <c r="N8" s="373">
        <v>1999</v>
      </c>
      <c r="O8" s="374">
        <v>2000</v>
      </c>
    </row>
    <row r="9" spans="1:15" x14ac:dyDescent="0.25">
      <c r="A9" s="309" t="s">
        <v>66</v>
      </c>
      <c r="B9" s="324">
        <v>4022</v>
      </c>
      <c r="C9" s="324">
        <v>4654</v>
      </c>
      <c r="D9" s="324">
        <v>5060</v>
      </c>
      <c r="E9" s="324">
        <v>5535</v>
      </c>
      <c r="F9" s="324">
        <v>5184</v>
      </c>
      <c r="G9" s="324">
        <v>5278</v>
      </c>
      <c r="H9" s="324">
        <v>5702</v>
      </c>
      <c r="I9" s="324">
        <v>5681</v>
      </c>
      <c r="J9" s="324">
        <v>5936</v>
      </c>
      <c r="K9" s="324">
        <v>5515</v>
      </c>
      <c r="L9" s="324">
        <v>5777</v>
      </c>
      <c r="M9" s="324">
        <v>6718</v>
      </c>
      <c r="N9" s="324">
        <v>7605</v>
      </c>
      <c r="O9" s="375">
        <v>6706</v>
      </c>
    </row>
    <row r="10" spans="1:15" x14ac:dyDescent="0.25">
      <c r="A10" s="309" t="s">
        <v>67</v>
      </c>
      <c r="B10" s="325">
        <v>160</v>
      </c>
      <c r="C10" s="325">
        <v>138</v>
      </c>
      <c r="D10" s="325">
        <v>249</v>
      </c>
      <c r="E10" s="325">
        <v>451</v>
      </c>
      <c r="F10" s="325">
        <v>485</v>
      </c>
      <c r="G10" s="325">
        <v>620</v>
      </c>
      <c r="H10" s="325">
        <v>632</v>
      </c>
      <c r="I10" s="325">
        <v>492</v>
      </c>
      <c r="J10" s="325">
        <v>639</v>
      </c>
      <c r="K10" s="325">
        <v>766</v>
      </c>
      <c r="L10" s="325">
        <v>1025</v>
      </c>
      <c r="M10" s="325">
        <v>1210</v>
      </c>
      <c r="N10" s="325">
        <v>1205</v>
      </c>
      <c r="O10" s="376">
        <v>1331</v>
      </c>
    </row>
    <row r="11" spans="1:15" x14ac:dyDescent="0.25">
      <c r="A11" s="309" t="s">
        <v>159</v>
      </c>
      <c r="B11" s="324">
        <v>1163</v>
      </c>
      <c r="C11" s="324">
        <v>1261</v>
      </c>
      <c r="D11" s="324">
        <v>1249</v>
      </c>
      <c r="E11" s="324">
        <v>1309</v>
      </c>
      <c r="F11" s="324">
        <v>1152</v>
      </c>
      <c r="G11" s="324">
        <v>1091</v>
      </c>
      <c r="H11" s="324">
        <v>1080</v>
      </c>
      <c r="I11" s="324">
        <v>763</v>
      </c>
      <c r="J11" s="324">
        <v>740</v>
      </c>
      <c r="K11" s="324">
        <v>780</v>
      </c>
      <c r="L11" s="324">
        <v>740</v>
      </c>
      <c r="M11" s="324">
        <v>693</v>
      </c>
      <c r="N11" s="324">
        <v>696</v>
      </c>
      <c r="O11" s="375">
        <v>709</v>
      </c>
    </row>
    <row r="12" spans="1:15" x14ac:dyDescent="0.25">
      <c r="A12" s="309" t="s">
        <v>119</v>
      </c>
      <c r="B12" s="325">
        <v>128</v>
      </c>
      <c r="C12" s="325">
        <v>754</v>
      </c>
      <c r="D12" s="325">
        <v>904</v>
      </c>
      <c r="E12" s="325">
        <v>950</v>
      </c>
      <c r="F12" s="325">
        <v>993</v>
      </c>
      <c r="G12" s="325">
        <v>1116</v>
      </c>
      <c r="H12" s="325">
        <v>1190</v>
      </c>
      <c r="I12" s="325">
        <v>1256</v>
      </c>
      <c r="J12" s="325">
        <v>1192</v>
      </c>
      <c r="K12" s="325">
        <v>1116</v>
      </c>
      <c r="L12" s="325">
        <v>1003</v>
      </c>
      <c r="M12" s="325">
        <v>900</v>
      </c>
      <c r="N12" s="325">
        <v>742</v>
      </c>
      <c r="O12" s="376">
        <v>940</v>
      </c>
    </row>
    <row r="13" spans="1:15" x14ac:dyDescent="0.25">
      <c r="A13" s="309" t="s">
        <v>68</v>
      </c>
      <c r="B13" s="324">
        <v>3368</v>
      </c>
      <c r="C13" s="324">
        <v>9373</v>
      </c>
      <c r="D13" s="324">
        <v>10314</v>
      </c>
      <c r="E13" s="324">
        <v>10930</v>
      </c>
      <c r="F13" s="324">
        <v>9679</v>
      </c>
      <c r="G13" s="324">
        <v>10013</v>
      </c>
      <c r="H13" s="324">
        <v>11865</v>
      </c>
      <c r="I13" s="324">
        <v>11884</v>
      </c>
      <c r="J13" s="324">
        <v>11909</v>
      </c>
      <c r="K13" s="324">
        <v>13080</v>
      </c>
      <c r="L13" s="324">
        <v>12806</v>
      </c>
      <c r="M13" s="324">
        <v>12145</v>
      </c>
      <c r="N13" s="324">
        <v>12277</v>
      </c>
      <c r="O13" s="375">
        <v>10879</v>
      </c>
    </row>
    <row r="14" spans="1:15" x14ac:dyDescent="0.25">
      <c r="A14" s="309" t="s">
        <v>69</v>
      </c>
      <c r="B14" s="325">
        <v>9920</v>
      </c>
      <c r="C14" s="325">
        <v>8466</v>
      </c>
      <c r="D14" s="325">
        <v>8945</v>
      </c>
      <c r="E14" s="325">
        <v>9183</v>
      </c>
      <c r="F14" s="325">
        <v>8817</v>
      </c>
      <c r="G14" s="325">
        <v>8196</v>
      </c>
      <c r="H14" s="325">
        <v>6703</v>
      </c>
      <c r="I14" s="325">
        <v>6990</v>
      </c>
      <c r="J14" s="325">
        <v>7637</v>
      </c>
      <c r="K14" s="325">
        <v>8867</v>
      </c>
      <c r="L14" s="325">
        <v>8182</v>
      </c>
      <c r="M14" s="325">
        <v>7911</v>
      </c>
      <c r="N14" s="325">
        <v>8184</v>
      </c>
      <c r="O14" s="376">
        <v>8604</v>
      </c>
    </row>
    <row r="15" spans="1:15" x14ac:dyDescent="0.25">
      <c r="A15" s="309" t="s">
        <v>71</v>
      </c>
      <c r="B15" s="324">
        <v>628</v>
      </c>
      <c r="C15" s="324">
        <v>1415</v>
      </c>
      <c r="D15" s="324">
        <v>1728</v>
      </c>
      <c r="E15" s="324">
        <v>1898</v>
      </c>
      <c r="F15" s="324">
        <v>1619</v>
      </c>
      <c r="G15" s="324">
        <v>1741</v>
      </c>
      <c r="H15" s="324">
        <v>1640</v>
      </c>
      <c r="I15" s="324">
        <v>1724</v>
      </c>
      <c r="J15" s="324">
        <v>2011</v>
      </c>
      <c r="K15" s="324">
        <v>2721</v>
      </c>
      <c r="L15" s="324">
        <v>2434</v>
      </c>
      <c r="M15" s="324">
        <v>1963</v>
      </c>
      <c r="N15" s="324">
        <v>2767</v>
      </c>
      <c r="O15" s="375">
        <v>2243</v>
      </c>
    </row>
    <row r="16" spans="1:15" x14ac:dyDescent="0.25">
      <c r="A16" s="309" t="s">
        <v>72</v>
      </c>
      <c r="B16" s="325">
        <v>2911</v>
      </c>
      <c r="C16" s="325">
        <v>3036</v>
      </c>
      <c r="D16" s="325">
        <v>3404</v>
      </c>
      <c r="E16" s="325">
        <v>3262</v>
      </c>
      <c r="F16" s="325">
        <v>2983</v>
      </c>
      <c r="G16" s="325">
        <v>2841</v>
      </c>
      <c r="H16" s="325">
        <v>3858</v>
      </c>
      <c r="I16" s="325">
        <v>3169</v>
      </c>
      <c r="J16" s="325">
        <v>3498</v>
      </c>
      <c r="K16" s="325">
        <v>3698</v>
      </c>
      <c r="L16" s="325">
        <v>4534</v>
      </c>
      <c r="M16" s="325">
        <v>5705</v>
      </c>
      <c r="N16" s="325">
        <v>5219</v>
      </c>
      <c r="O16" s="376">
        <v>5038</v>
      </c>
    </row>
    <row r="17" spans="1:15" x14ac:dyDescent="0.25">
      <c r="A17" s="309" t="s">
        <v>162</v>
      </c>
      <c r="B17" s="324">
        <v>401</v>
      </c>
      <c r="C17" s="324">
        <v>593</v>
      </c>
      <c r="D17" s="324">
        <v>500</v>
      </c>
      <c r="E17" s="324">
        <v>494</v>
      </c>
      <c r="F17" s="324">
        <v>500</v>
      </c>
      <c r="G17" s="324">
        <v>498</v>
      </c>
      <c r="H17" s="324">
        <v>457</v>
      </c>
      <c r="I17" s="324">
        <v>530</v>
      </c>
      <c r="J17" s="324">
        <v>472</v>
      </c>
      <c r="K17" s="324">
        <v>595</v>
      </c>
      <c r="L17" s="324">
        <v>686</v>
      </c>
      <c r="M17" s="324">
        <v>677</v>
      </c>
      <c r="N17" s="324">
        <v>756</v>
      </c>
      <c r="O17" s="375">
        <v>698</v>
      </c>
    </row>
    <row r="18" spans="1:15" x14ac:dyDescent="0.25">
      <c r="A18" s="309" t="s">
        <v>74</v>
      </c>
      <c r="B18" s="325">
        <v>720</v>
      </c>
      <c r="C18" s="325">
        <v>858</v>
      </c>
      <c r="D18" s="325">
        <v>863</v>
      </c>
      <c r="E18" s="325">
        <v>820</v>
      </c>
      <c r="F18" s="325">
        <v>903</v>
      </c>
      <c r="G18" s="325">
        <v>860</v>
      </c>
      <c r="H18" s="325">
        <v>916</v>
      </c>
      <c r="I18" s="325">
        <v>1040</v>
      </c>
      <c r="J18" s="325">
        <v>1157</v>
      </c>
      <c r="K18" s="325">
        <v>1304</v>
      </c>
      <c r="L18" s="325">
        <v>1478</v>
      </c>
      <c r="M18" s="325">
        <v>1457</v>
      </c>
      <c r="N18" s="325">
        <v>2002</v>
      </c>
      <c r="O18" s="376">
        <v>1880</v>
      </c>
    </row>
    <row r="19" spans="1:15" ht="15.75" thickBot="1" x14ac:dyDescent="0.3">
      <c r="A19" s="337" t="s">
        <v>163</v>
      </c>
      <c r="B19" s="360">
        <f t="shared" ref="B19:N19" si="0">SUM(B9:B18)</f>
        <v>23421</v>
      </c>
      <c r="C19" s="360">
        <f t="shared" si="0"/>
        <v>30548</v>
      </c>
      <c r="D19" s="360">
        <f t="shared" si="0"/>
        <v>33216</v>
      </c>
      <c r="E19" s="360">
        <f t="shared" si="0"/>
        <v>34832</v>
      </c>
      <c r="F19" s="360">
        <f t="shared" si="0"/>
        <v>32315</v>
      </c>
      <c r="G19" s="360">
        <f t="shared" si="0"/>
        <v>32254</v>
      </c>
      <c r="H19" s="360">
        <f t="shared" si="0"/>
        <v>34043</v>
      </c>
      <c r="I19" s="360">
        <f t="shared" si="0"/>
        <v>33529</v>
      </c>
      <c r="J19" s="360">
        <f t="shared" si="0"/>
        <v>35191</v>
      </c>
      <c r="K19" s="360">
        <f t="shared" si="0"/>
        <v>38442</v>
      </c>
      <c r="L19" s="360">
        <f t="shared" si="0"/>
        <v>38665</v>
      </c>
      <c r="M19" s="360">
        <f t="shared" si="0"/>
        <v>39379</v>
      </c>
      <c r="N19" s="360">
        <f t="shared" si="0"/>
        <v>41453</v>
      </c>
      <c r="O19" s="377">
        <f>SUM(O9:O18)</f>
        <v>39028</v>
      </c>
    </row>
    <row r="101" spans="1:1" x14ac:dyDescent="0.25">
      <c r="A101" s="319" t="s">
        <v>541</v>
      </c>
    </row>
    <row r="102" spans="1:1" x14ac:dyDescent="0.25">
      <c r="A102" s="319" t="s">
        <v>542</v>
      </c>
    </row>
  </sheetData>
  <pageMargins left="0.7" right="0.7" top="0.75" bottom="0.75" header="0.3" footer="0.3"/>
  <pageSetup paperSize="9" orientation="portrait" r:id="rId1"/>
  <ignoredErrors>
    <ignoredError sqref="B19:O19" formulaRange="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9F85-FC5B-475B-BE01-E8D42B48ED5C}">
  <sheetPr codeName="Sheet21"/>
  <dimension ref="A7:P172"/>
  <sheetViews>
    <sheetView showGridLines="0" topLeftCell="B1" zoomScale="85" zoomScaleNormal="85" workbookViewId="0">
      <pane ySplit="8" topLeftCell="A9" activePane="bottomLeft" state="frozen"/>
      <selection activeCell="B1" sqref="B1"/>
      <selection pane="bottomLeft" activeCell="B1" sqref="B1"/>
    </sheetView>
  </sheetViews>
  <sheetFormatPr defaultRowHeight="15" x14ac:dyDescent="0.25"/>
  <cols>
    <col min="1" max="1" width="9.140625" hidden="1" customWidth="1"/>
    <col min="2" max="2" width="12.7109375" customWidth="1"/>
    <col min="3" max="5" width="15.7109375" style="203" customWidth="1"/>
    <col min="6" max="7" width="4.7109375" customWidth="1"/>
    <col min="8" max="8" width="12.7109375" customWidth="1"/>
    <col min="9" max="11" width="15.7109375" customWidth="1"/>
    <col min="12" max="12" width="8.7109375" customWidth="1"/>
    <col min="13" max="13" width="12.7109375" customWidth="1"/>
    <col min="14" max="16" width="15.7109375" customWidth="1"/>
  </cols>
  <sheetData>
    <row r="7" spans="1:16" ht="15.75" thickBot="1" x14ac:dyDescent="0.3">
      <c r="B7" s="602" t="s">
        <v>543</v>
      </c>
      <c r="C7" s="602"/>
      <c r="D7" s="602"/>
      <c r="E7" s="602"/>
      <c r="F7" s="378"/>
      <c r="G7" s="378"/>
      <c r="H7" s="575" t="s">
        <v>92</v>
      </c>
      <c r="I7" s="575"/>
      <c r="J7" s="575"/>
      <c r="K7" s="575"/>
      <c r="M7" s="575" t="s">
        <v>54</v>
      </c>
      <c r="N7" s="575"/>
      <c r="O7" s="575"/>
      <c r="P7" s="575"/>
    </row>
    <row r="8" spans="1:16" ht="60" customHeight="1" x14ac:dyDescent="0.25">
      <c r="B8" s="379" t="s">
        <v>93</v>
      </c>
      <c r="C8" s="380" t="s">
        <v>544</v>
      </c>
      <c r="D8" s="381" t="s">
        <v>545</v>
      </c>
      <c r="E8" s="382" t="s">
        <v>98</v>
      </c>
      <c r="H8" s="379" t="s">
        <v>55</v>
      </c>
      <c r="I8" s="380" t="s">
        <v>544</v>
      </c>
      <c r="J8" s="381" t="s">
        <v>545</v>
      </c>
      <c r="K8" s="382" t="s">
        <v>98</v>
      </c>
      <c r="L8" s="112"/>
      <c r="M8" s="379" t="s">
        <v>55</v>
      </c>
      <c r="N8" s="380" t="s">
        <v>544</v>
      </c>
      <c r="O8" s="381" t="s">
        <v>545</v>
      </c>
      <c r="P8" s="382" t="s">
        <v>98</v>
      </c>
    </row>
    <row r="9" spans="1:16" x14ac:dyDescent="0.25">
      <c r="A9">
        <f>YEAR(B9)</f>
        <v>1985</v>
      </c>
      <c r="B9" s="383">
        <v>31079</v>
      </c>
      <c r="C9" s="384">
        <v>107.7062</v>
      </c>
      <c r="D9" s="385">
        <v>0</v>
      </c>
      <c r="E9" s="386">
        <v>107.7062</v>
      </c>
      <c r="H9" s="387">
        <f t="shared" ref="H9:H16" si="0">H10-1</f>
        <v>2016</v>
      </c>
      <c r="I9" s="384">
        <f t="shared" ref="I9:I18" si="1">AVERAGEIF($A$9:$A$508,$H9,$C$9:$C$508)</f>
        <v>9498.5055675000003</v>
      </c>
      <c r="J9" s="384">
        <f t="shared" ref="J9:J18" si="2">AVERAGEIF($A$9:$A$508,$H9,$D$9:$D$508)</f>
        <v>799.77450499999998</v>
      </c>
      <c r="K9" s="388">
        <f t="shared" ref="K9:K18" si="3">AVERAGEIF($A$9:$A$508,$H9,$E$9:$E$508)</f>
        <v>10298.280072500002</v>
      </c>
      <c r="L9" s="106"/>
      <c r="M9" s="389" t="str">
        <f t="shared" ref="M9:M16" si="4">LEFT(M10,4)-1 &amp; "-" &amp; RIGHT(M10,2)-1</f>
        <v>2015-16</v>
      </c>
      <c r="N9" s="390">
        <f t="shared" ref="N9:N18" si="5">AVERAGEIFS(C:C, $B:$B, "&gt;=" &amp; DATE(LEFT($M9, 4), 7, 1), $B:$B, "&lt;" &amp; DATE(LEFT($M9, 4)+1, 7, 1))</f>
        <v>10808.92823</v>
      </c>
      <c r="O9" s="390">
        <f t="shared" ref="O9:O18" si="6">AVERAGEIFS(D:D, $B:$B, "&gt;=" &amp; DATE(LEFT($M9, 4), 7, 1), $B:$B, "&lt;" &amp; DATE(LEFT($M9, 4)+1, 7, 1))</f>
        <v>812.44194500000003</v>
      </c>
      <c r="P9" s="391">
        <f t="shared" ref="P9:P18" si="7">AVERAGEIFS(E:E, $B:$B, "&gt;=" &amp; DATE(LEFT($M9, 4), 7, 1), $B:$B, "&lt;" &amp; DATE(LEFT($M9, 4)+1, 7, 1))</f>
        <v>11621.370175</v>
      </c>
    </row>
    <row r="10" spans="1:16" x14ac:dyDescent="0.25">
      <c r="A10">
        <f t="shared" ref="A10:A73" si="8">YEAR(B10)</f>
        <v>1985</v>
      </c>
      <c r="B10" s="383">
        <v>31168</v>
      </c>
      <c r="C10" s="392">
        <v>115.0309</v>
      </c>
      <c r="D10" s="393">
        <v>0</v>
      </c>
      <c r="E10" s="394">
        <v>115.0309</v>
      </c>
      <c r="H10" s="387">
        <f t="shared" si="0"/>
        <v>2017</v>
      </c>
      <c r="I10" s="392">
        <f t="shared" si="1"/>
        <v>9483.1271850000012</v>
      </c>
      <c r="J10" s="393">
        <f t="shared" si="2"/>
        <v>554.67964749999999</v>
      </c>
      <c r="K10" s="394">
        <f t="shared" si="3"/>
        <v>10037.8068325</v>
      </c>
      <c r="L10" s="106"/>
      <c r="M10" s="389" t="str">
        <f t="shared" si="4"/>
        <v>2016-17</v>
      </c>
      <c r="N10" s="393">
        <f t="shared" si="5"/>
        <v>8658.2281750000002</v>
      </c>
      <c r="O10" s="393">
        <f t="shared" si="6"/>
        <v>540.01668500000005</v>
      </c>
      <c r="P10" s="394">
        <f t="shared" si="7"/>
        <v>9198.2448600000007</v>
      </c>
    </row>
    <row r="11" spans="1:16" x14ac:dyDescent="0.25">
      <c r="A11">
        <f t="shared" si="8"/>
        <v>1985</v>
      </c>
      <c r="B11" s="383">
        <v>31260</v>
      </c>
      <c r="C11" s="384">
        <v>498.24919999999997</v>
      </c>
      <c r="D11" s="385">
        <v>0</v>
      </c>
      <c r="E11" s="386">
        <v>498.24919999999997</v>
      </c>
      <c r="H11" s="387">
        <f t="shared" si="0"/>
        <v>2018</v>
      </c>
      <c r="I11" s="384">
        <f t="shared" si="1"/>
        <v>15757.641937499999</v>
      </c>
      <c r="J11" s="385">
        <f t="shared" si="2"/>
        <v>765.36139500000002</v>
      </c>
      <c r="K11" s="386">
        <f t="shared" si="3"/>
        <v>16523.0033325</v>
      </c>
      <c r="L11" s="106"/>
      <c r="M11" s="389" t="str">
        <f t="shared" si="4"/>
        <v>2017-18</v>
      </c>
      <c r="N11" s="395">
        <f t="shared" si="5"/>
        <v>13420.080732499999</v>
      </c>
      <c r="O11" s="395">
        <f t="shared" si="6"/>
        <v>564.16522750000013</v>
      </c>
      <c r="P11" s="386">
        <f t="shared" si="7"/>
        <v>13984.24596</v>
      </c>
    </row>
    <row r="12" spans="1:16" x14ac:dyDescent="0.25">
      <c r="A12">
        <f t="shared" si="8"/>
        <v>1985</v>
      </c>
      <c r="B12" s="383">
        <v>31352</v>
      </c>
      <c r="C12" s="392">
        <v>219.35920000000002</v>
      </c>
      <c r="D12" s="393">
        <v>0</v>
      </c>
      <c r="E12" s="394">
        <v>219.35920000000002</v>
      </c>
      <c r="H12" s="387">
        <f t="shared" si="0"/>
        <v>2019</v>
      </c>
      <c r="I12" s="392">
        <f t="shared" si="1"/>
        <v>15298.534025000001</v>
      </c>
      <c r="J12" s="393">
        <f t="shared" si="2"/>
        <v>1076.1638974999998</v>
      </c>
      <c r="K12" s="394">
        <f t="shared" si="3"/>
        <v>16374.6979225</v>
      </c>
      <c r="L12" s="106"/>
      <c r="M12" s="389" t="str">
        <f t="shared" si="4"/>
        <v>2018-19</v>
      </c>
      <c r="N12" s="393">
        <f t="shared" si="5"/>
        <v>14161.873075</v>
      </c>
      <c r="O12" s="393">
        <f t="shared" si="6"/>
        <v>794.18953750000003</v>
      </c>
      <c r="P12" s="394">
        <f t="shared" si="7"/>
        <v>14956.062612500002</v>
      </c>
    </row>
    <row r="13" spans="1:16" x14ac:dyDescent="0.25">
      <c r="A13">
        <f t="shared" si="8"/>
        <v>1986</v>
      </c>
      <c r="B13" s="383">
        <v>31444</v>
      </c>
      <c r="C13" s="384">
        <v>435.48940000000005</v>
      </c>
      <c r="D13" s="385">
        <v>0</v>
      </c>
      <c r="E13" s="386">
        <v>435.48940000000005</v>
      </c>
      <c r="H13" s="387">
        <f t="shared" si="0"/>
        <v>2020</v>
      </c>
      <c r="I13" s="384">
        <f t="shared" si="1"/>
        <v>12022.844992499999</v>
      </c>
      <c r="J13" s="385">
        <f t="shared" si="2"/>
        <v>352.11312500000003</v>
      </c>
      <c r="K13" s="386">
        <f t="shared" si="3"/>
        <v>12374.9581175</v>
      </c>
      <c r="L13" s="106"/>
      <c r="M13" s="389" t="str">
        <f t="shared" si="4"/>
        <v>2019-20</v>
      </c>
      <c r="N13" s="395">
        <f t="shared" si="5"/>
        <v>14702.2503925</v>
      </c>
      <c r="O13" s="395">
        <f t="shared" si="6"/>
        <v>961.06835499999977</v>
      </c>
      <c r="P13" s="386">
        <f t="shared" si="7"/>
        <v>15663.318747500001</v>
      </c>
    </row>
    <row r="14" spans="1:16" x14ac:dyDescent="0.25">
      <c r="A14">
        <f t="shared" si="8"/>
        <v>1986</v>
      </c>
      <c r="B14" s="383">
        <v>31533</v>
      </c>
      <c r="C14" s="392">
        <v>443.84930000000003</v>
      </c>
      <c r="D14" s="393">
        <v>0</v>
      </c>
      <c r="E14" s="394">
        <v>443.84930000000003</v>
      </c>
      <c r="H14" s="387">
        <f t="shared" si="0"/>
        <v>2021</v>
      </c>
      <c r="I14" s="392">
        <f t="shared" si="1"/>
        <v>10482.987279999999</v>
      </c>
      <c r="J14" s="393">
        <f t="shared" si="2"/>
        <v>725.17669750000005</v>
      </c>
      <c r="K14" s="394">
        <f t="shared" si="3"/>
        <v>11208.163977499999</v>
      </c>
      <c r="L14" s="106"/>
      <c r="M14" s="389" t="str">
        <f t="shared" si="4"/>
        <v>2020-21</v>
      </c>
      <c r="N14" s="393">
        <f t="shared" si="5"/>
        <v>11139.5416675</v>
      </c>
      <c r="O14" s="393">
        <f t="shared" si="6"/>
        <v>330.61720249999996</v>
      </c>
      <c r="P14" s="394">
        <f t="shared" si="7"/>
        <v>11470.158869999999</v>
      </c>
    </row>
    <row r="15" spans="1:16" x14ac:dyDescent="0.25">
      <c r="A15">
        <f t="shared" si="8"/>
        <v>1986</v>
      </c>
      <c r="B15" s="383">
        <v>31625</v>
      </c>
      <c r="C15" s="384">
        <v>113.1019</v>
      </c>
      <c r="D15" s="385">
        <v>0</v>
      </c>
      <c r="E15" s="386">
        <v>113.1019</v>
      </c>
      <c r="H15" s="387">
        <f t="shared" si="0"/>
        <v>2022</v>
      </c>
      <c r="I15" s="384">
        <f t="shared" si="1"/>
        <v>11365.303964999999</v>
      </c>
      <c r="J15" s="385">
        <f t="shared" si="2"/>
        <v>1022.6124225</v>
      </c>
      <c r="K15" s="386">
        <f t="shared" si="3"/>
        <v>12387.916387499999</v>
      </c>
      <c r="L15" s="106"/>
      <c r="M15" s="389" t="str">
        <f t="shared" si="4"/>
        <v>2021-22</v>
      </c>
      <c r="N15" s="395">
        <f t="shared" si="5"/>
        <v>11436.65509</v>
      </c>
      <c r="O15" s="395">
        <f t="shared" si="6"/>
        <v>1088.6809874999999</v>
      </c>
      <c r="P15" s="386">
        <f t="shared" si="7"/>
        <v>12525.3360775</v>
      </c>
    </row>
    <row r="16" spans="1:16" x14ac:dyDescent="0.25">
      <c r="A16">
        <f t="shared" si="8"/>
        <v>1986</v>
      </c>
      <c r="B16" s="383">
        <v>31717</v>
      </c>
      <c r="C16" s="392">
        <v>448.30989999999997</v>
      </c>
      <c r="D16" s="393">
        <v>0</v>
      </c>
      <c r="E16" s="394">
        <v>448.30989999999997</v>
      </c>
      <c r="H16" s="387">
        <f t="shared" si="0"/>
        <v>2023</v>
      </c>
      <c r="I16" s="392">
        <f t="shared" si="1"/>
        <v>9255.4462299999996</v>
      </c>
      <c r="J16" s="393">
        <f t="shared" si="2"/>
        <v>787.17827999999997</v>
      </c>
      <c r="K16" s="394">
        <f t="shared" si="3"/>
        <v>10042.62451</v>
      </c>
      <c r="L16" s="106"/>
      <c r="M16" s="389" t="str">
        <f t="shared" si="4"/>
        <v>2022-23</v>
      </c>
      <c r="N16" s="393">
        <f t="shared" si="5"/>
        <v>11338.261570000001</v>
      </c>
      <c r="O16" s="393">
        <f t="shared" si="6"/>
        <v>674.20618749999994</v>
      </c>
      <c r="P16" s="394">
        <f t="shared" si="7"/>
        <v>12012.467757499999</v>
      </c>
    </row>
    <row r="17" spans="1:16" x14ac:dyDescent="0.25">
      <c r="A17">
        <f t="shared" si="8"/>
        <v>1987</v>
      </c>
      <c r="B17" s="383">
        <v>31809</v>
      </c>
      <c r="C17" s="384">
        <v>451.90089999999998</v>
      </c>
      <c r="D17" s="385">
        <v>0</v>
      </c>
      <c r="E17" s="386">
        <v>451.90089999999998</v>
      </c>
      <c r="H17" s="387">
        <f>H18-1</f>
        <v>2024</v>
      </c>
      <c r="I17" s="384">
        <f t="shared" si="1"/>
        <v>7888.3044850000006</v>
      </c>
      <c r="J17" s="385">
        <f t="shared" si="2"/>
        <v>553.66199499999993</v>
      </c>
      <c r="K17" s="386">
        <f t="shared" si="3"/>
        <v>8441.9664799999991</v>
      </c>
      <c r="L17" s="106"/>
      <c r="M17" s="389" t="str">
        <f>LEFT(M18,4)-1 &amp; "-" &amp; RIGHT(M18,2)-1</f>
        <v>2023-24</v>
      </c>
      <c r="N17" s="395">
        <f t="shared" si="5"/>
        <v>7012.9444725000003</v>
      </c>
      <c r="O17" s="395">
        <f t="shared" si="6"/>
        <v>1034.5647425</v>
      </c>
      <c r="P17" s="386">
        <f t="shared" si="7"/>
        <v>8047.509215</v>
      </c>
    </row>
    <row r="18" spans="1:16" ht="15.75" thickBot="1" x14ac:dyDescent="0.3">
      <c r="A18">
        <f t="shared" si="8"/>
        <v>1987</v>
      </c>
      <c r="B18" s="383">
        <v>31898</v>
      </c>
      <c r="C18" s="392">
        <v>432.4502</v>
      </c>
      <c r="D18" s="393">
        <v>0</v>
      </c>
      <c r="E18" s="394">
        <v>432.4502</v>
      </c>
      <c r="H18" s="396">
        <f>YEAR(LARGE(B:B, 4))</f>
        <v>2025</v>
      </c>
      <c r="I18" s="397">
        <f t="shared" si="1"/>
        <v>10935.1063925</v>
      </c>
      <c r="J18" s="398">
        <f t="shared" si="2"/>
        <v>308.42287499999998</v>
      </c>
      <c r="K18" s="399">
        <f t="shared" si="3"/>
        <v>11243.5292675</v>
      </c>
      <c r="L18" s="106"/>
      <c r="M18" s="400" t="str">
        <f>IF(MONTH(LARGE(B:B,4))&gt;=7, YEAR(LARGE(B:B,4)) &amp; "-" &amp; RIGHT(YEAR(LARGE(B:B,4))+1, 2),
                                                               YEAR(LARGE(B:B,4))-1 &amp; "-" &amp; RIGHT(YEAR(LARGE(B:B,4)), 2)
)</f>
        <v>2024-25</v>
      </c>
      <c r="N18" s="398">
        <f t="shared" si="5"/>
        <v>9207.6198700000004</v>
      </c>
      <c r="O18" s="398">
        <f t="shared" si="6"/>
        <v>219.2977975</v>
      </c>
      <c r="P18" s="399">
        <f t="shared" si="7"/>
        <v>9426.9176674999999</v>
      </c>
    </row>
    <row r="19" spans="1:16" x14ac:dyDescent="0.25">
      <c r="A19">
        <f t="shared" si="8"/>
        <v>1987</v>
      </c>
      <c r="B19" s="383">
        <v>31990</v>
      </c>
      <c r="C19" s="384">
        <v>218.54390000000001</v>
      </c>
      <c r="D19" s="385">
        <v>104.2745</v>
      </c>
      <c r="E19" s="386">
        <v>322.8184</v>
      </c>
    </row>
    <row r="20" spans="1:16" x14ac:dyDescent="0.25">
      <c r="A20">
        <f t="shared" si="8"/>
        <v>1987</v>
      </c>
      <c r="B20" s="383">
        <v>32082</v>
      </c>
      <c r="C20" s="392">
        <v>334.78409999999997</v>
      </c>
      <c r="D20" s="393">
        <v>0</v>
      </c>
      <c r="E20" s="394">
        <v>334.78409999999997</v>
      </c>
    </row>
    <row r="21" spans="1:16" x14ac:dyDescent="0.25">
      <c r="A21">
        <f t="shared" si="8"/>
        <v>1988</v>
      </c>
      <c r="B21" s="383">
        <v>32174</v>
      </c>
      <c r="C21" s="384">
        <v>237.3965</v>
      </c>
      <c r="D21" s="385">
        <v>0</v>
      </c>
      <c r="E21" s="386">
        <v>237.3965</v>
      </c>
    </row>
    <row r="22" spans="1:16" x14ac:dyDescent="0.25">
      <c r="A22">
        <f t="shared" si="8"/>
        <v>1988</v>
      </c>
      <c r="B22" s="383">
        <v>32264</v>
      </c>
      <c r="C22" s="392">
        <v>956.35840000000007</v>
      </c>
      <c r="D22" s="393">
        <v>0</v>
      </c>
      <c r="E22" s="394">
        <v>956.35840000000007</v>
      </c>
    </row>
    <row r="23" spans="1:16" x14ac:dyDescent="0.25">
      <c r="A23">
        <f t="shared" si="8"/>
        <v>1988</v>
      </c>
      <c r="B23" s="383">
        <v>32356</v>
      </c>
      <c r="C23" s="384">
        <v>981.35189999999989</v>
      </c>
      <c r="D23" s="385">
        <v>0</v>
      </c>
      <c r="E23" s="386">
        <v>981.35189999999989</v>
      </c>
    </row>
    <row r="24" spans="1:16" x14ac:dyDescent="0.25">
      <c r="A24">
        <f t="shared" si="8"/>
        <v>1988</v>
      </c>
      <c r="B24" s="383">
        <v>32448</v>
      </c>
      <c r="C24" s="392">
        <v>778.16309999999999</v>
      </c>
      <c r="D24" s="393">
        <v>0</v>
      </c>
      <c r="E24" s="394">
        <v>778.16309999999999</v>
      </c>
    </row>
    <row r="25" spans="1:16" x14ac:dyDescent="0.25">
      <c r="A25">
        <f t="shared" si="8"/>
        <v>1989</v>
      </c>
      <c r="B25" s="383">
        <v>32540</v>
      </c>
      <c r="C25" s="384">
        <v>882.44470000000013</v>
      </c>
      <c r="D25" s="385">
        <v>0</v>
      </c>
      <c r="E25" s="386">
        <v>882.44470000000013</v>
      </c>
    </row>
    <row r="26" spans="1:16" x14ac:dyDescent="0.25">
      <c r="A26">
        <f t="shared" si="8"/>
        <v>1989</v>
      </c>
      <c r="B26" s="383">
        <v>32629</v>
      </c>
      <c r="C26" s="392">
        <v>923.29849999999999</v>
      </c>
      <c r="D26" s="393">
        <v>0</v>
      </c>
      <c r="E26" s="394">
        <v>923.29849999999999</v>
      </c>
    </row>
    <row r="27" spans="1:16" x14ac:dyDescent="0.25">
      <c r="A27">
        <f t="shared" si="8"/>
        <v>1989</v>
      </c>
      <c r="B27" s="383">
        <v>32721</v>
      </c>
      <c r="C27" s="384">
        <v>910.35329999999988</v>
      </c>
      <c r="D27" s="385">
        <v>0</v>
      </c>
      <c r="E27" s="386">
        <v>910.35329999999988</v>
      </c>
    </row>
    <row r="28" spans="1:16" x14ac:dyDescent="0.25">
      <c r="A28">
        <f t="shared" si="8"/>
        <v>1989</v>
      </c>
      <c r="B28" s="383">
        <v>32813</v>
      </c>
      <c r="C28" s="392">
        <v>116.8077</v>
      </c>
      <c r="D28" s="393">
        <v>0</v>
      </c>
      <c r="E28" s="394">
        <v>116.8077</v>
      </c>
    </row>
    <row r="29" spans="1:16" x14ac:dyDescent="0.25">
      <c r="A29">
        <f t="shared" si="8"/>
        <v>1990</v>
      </c>
      <c r="B29" s="383">
        <v>32905</v>
      </c>
      <c r="C29" s="384">
        <v>356.87849999999997</v>
      </c>
      <c r="D29" s="385">
        <v>0</v>
      </c>
      <c r="E29" s="386">
        <v>356.87849999999997</v>
      </c>
    </row>
    <row r="30" spans="1:16" x14ac:dyDescent="0.25">
      <c r="A30">
        <f t="shared" si="8"/>
        <v>1990</v>
      </c>
      <c r="B30" s="383">
        <v>32994</v>
      </c>
      <c r="C30" s="392">
        <v>355.49459999999999</v>
      </c>
      <c r="D30" s="393">
        <v>0</v>
      </c>
      <c r="E30" s="394">
        <v>355.49459999999999</v>
      </c>
    </row>
    <row r="31" spans="1:16" x14ac:dyDescent="0.25">
      <c r="A31">
        <f t="shared" si="8"/>
        <v>1990</v>
      </c>
      <c r="B31" s="383">
        <v>33086</v>
      </c>
      <c r="C31" s="384">
        <v>642.4579</v>
      </c>
      <c r="D31" s="385">
        <v>0</v>
      </c>
      <c r="E31" s="386">
        <v>642.4579</v>
      </c>
    </row>
    <row r="32" spans="1:16" x14ac:dyDescent="0.25">
      <c r="A32">
        <f t="shared" si="8"/>
        <v>1990</v>
      </c>
      <c r="B32" s="383">
        <v>33178</v>
      </c>
      <c r="C32" s="392">
        <v>1232.7221999999999</v>
      </c>
      <c r="D32" s="393">
        <v>0</v>
      </c>
      <c r="E32" s="394">
        <v>1232.7221999999999</v>
      </c>
    </row>
    <row r="33" spans="1:5" x14ac:dyDescent="0.25">
      <c r="A33">
        <f t="shared" si="8"/>
        <v>1991</v>
      </c>
      <c r="B33" s="383">
        <v>33270</v>
      </c>
      <c r="C33" s="384">
        <v>1467.8569</v>
      </c>
      <c r="D33" s="385">
        <v>0</v>
      </c>
      <c r="E33" s="386">
        <v>1467.8569</v>
      </c>
    </row>
    <row r="34" spans="1:5" x14ac:dyDescent="0.25">
      <c r="A34">
        <f t="shared" si="8"/>
        <v>1991</v>
      </c>
      <c r="B34" s="383">
        <v>33359</v>
      </c>
      <c r="C34" s="392">
        <v>1663.0241000000001</v>
      </c>
      <c r="D34" s="393">
        <v>0</v>
      </c>
      <c r="E34" s="394">
        <v>1663.0241000000001</v>
      </c>
    </row>
    <row r="35" spans="1:5" x14ac:dyDescent="0.25">
      <c r="A35">
        <f t="shared" si="8"/>
        <v>1991</v>
      </c>
      <c r="B35" s="383">
        <v>33451</v>
      </c>
      <c r="C35" s="384">
        <v>1537.8025799999998</v>
      </c>
      <c r="D35" s="385">
        <v>0</v>
      </c>
      <c r="E35" s="386">
        <v>1537.8025799999998</v>
      </c>
    </row>
    <row r="36" spans="1:5" x14ac:dyDescent="0.25">
      <c r="A36">
        <f t="shared" si="8"/>
        <v>1991</v>
      </c>
      <c r="B36" s="383">
        <v>33543</v>
      </c>
      <c r="C36" s="392">
        <v>0</v>
      </c>
      <c r="D36" s="393">
        <v>0</v>
      </c>
      <c r="E36" s="394">
        <v>0</v>
      </c>
    </row>
    <row r="37" spans="1:5" x14ac:dyDescent="0.25">
      <c r="A37">
        <f t="shared" si="8"/>
        <v>1992</v>
      </c>
      <c r="B37" s="383">
        <v>33635</v>
      </c>
      <c r="C37" s="384">
        <v>761.18696</v>
      </c>
      <c r="D37" s="385">
        <v>0</v>
      </c>
      <c r="E37" s="386">
        <v>761.18696</v>
      </c>
    </row>
    <row r="38" spans="1:5" x14ac:dyDescent="0.25">
      <c r="A38">
        <f t="shared" si="8"/>
        <v>1992</v>
      </c>
      <c r="B38" s="383">
        <v>33725</v>
      </c>
      <c r="C38" s="392">
        <v>1599.4411000000002</v>
      </c>
      <c r="D38" s="393">
        <v>0</v>
      </c>
      <c r="E38" s="394">
        <v>1599.4411000000002</v>
      </c>
    </row>
    <row r="39" spans="1:5" x14ac:dyDescent="0.25">
      <c r="A39">
        <f t="shared" si="8"/>
        <v>1992</v>
      </c>
      <c r="B39" s="383">
        <v>33817</v>
      </c>
      <c r="C39" s="384">
        <v>2234.3631700000001</v>
      </c>
      <c r="D39" s="385">
        <v>132.29071000000002</v>
      </c>
      <c r="E39" s="386">
        <v>2366.6538799999998</v>
      </c>
    </row>
    <row r="40" spans="1:5" x14ac:dyDescent="0.25">
      <c r="A40">
        <f t="shared" si="8"/>
        <v>1992</v>
      </c>
      <c r="B40" s="383">
        <v>33909</v>
      </c>
      <c r="C40" s="392">
        <v>1908.4451799999999</v>
      </c>
      <c r="D40" s="393">
        <v>152.07348999999999</v>
      </c>
      <c r="E40" s="394">
        <v>2060.5186699999999</v>
      </c>
    </row>
    <row r="41" spans="1:5" x14ac:dyDescent="0.25">
      <c r="A41">
        <f t="shared" si="8"/>
        <v>1993</v>
      </c>
      <c r="B41" s="383">
        <v>34001</v>
      </c>
      <c r="C41" s="384">
        <v>1937.5449099999998</v>
      </c>
      <c r="D41" s="385">
        <v>152.39182000000002</v>
      </c>
      <c r="E41" s="386">
        <v>2089.9367299999999</v>
      </c>
    </row>
    <row r="42" spans="1:5" x14ac:dyDescent="0.25">
      <c r="A42">
        <f t="shared" si="8"/>
        <v>1993</v>
      </c>
      <c r="B42" s="383">
        <v>34090</v>
      </c>
      <c r="C42" s="392">
        <v>1289.47426</v>
      </c>
      <c r="D42" s="393">
        <v>177.29951</v>
      </c>
      <c r="E42" s="394">
        <v>1466.77377</v>
      </c>
    </row>
    <row r="43" spans="1:5" x14ac:dyDescent="0.25">
      <c r="A43">
        <f t="shared" si="8"/>
        <v>1993</v>
      </c>
      <c r="B43" s="383">
        <v>34182</v>
      </c>
      <c r="C43" s="384">
        <v>862.79665</v>
      </c>
      <c r="D43" s="385">
        <v>0</v>
      </c>
      <c r="E43" s="386">
        <v>862.79665</v>
      </c>
    </row>
    <row r="44" spans="1:5" x14ac:dyDescent="0.25">
      <c r="A44">
        <f t="shared" si="8"/>
        <v>1993</v>
      </c>
      <c r="B44" s="383">
        <v>34274</v>
      </c>
      <c r="C44" s="392">
        <v>1121.4847500000001</v>
      </c>
      <c r="D44" s="393">
        <v>0</v>
      </c>
      <c r="E44" s="394">
        <v>1121.4847500000001</v>
      </c>
    </row>
    <row r="45" spans="1:5" x14ac:dyDescent="0.25">
      <c r="A45">
        <f t="shared" si="8"/>
        <v>1994</v>
      </c>
      <c r="B45" s="383">
        <v>34366</v>
      </c>
      <c r="C45" s="384">
        <v>1250.1778899999999</v>
      </c>
      <c r="D45" s="385">
        <v>0</v>
      </c>
      <c r="E45" s="386">
        <v>1250.1778899999999</v>
      </c>
    </row>
    <row r="46" spans="1:5" x14ac:dyDescent="0.25">
      <c r="A46">
        <f t="shared" si="8"/>
        <v>1994</v>
      </c>
      <c r="B46" s="383">
        <v>34455</v>
      </c>
      <c r="C46" s="392">
        <v>970.16908999999998</v>
      </c>
      <c r="D46" s="393">
        <v>0</v>
      </c>
      <c r="E46" s="394">
        <v>970.16908999999998</v>
      </c>
    </row>
    <row r="47" spans="1:5" x14ac:dyDescent="0.25">
      <c r="A47">
        <f t="shared" si="8"/>
        <v>1994</v>
      </c>
      <c r="B47" s="383">
        <v>34547</v>
      </c>
      <c r="C47" s="384">
        <v>958.63220000000001</v>
      </c>
      <c r="D47" s="385">
        <v>0</v>
      </c>
      <c r="E47" s="386">
        <v>958.63220000000001</v>
      </c>
    </row>
    <row r="48" spans="1:5" x14ac:dyDescent="0.25">
      <c r="A48">
        <f t="shared" si="8"/>
        <v>1994</v>
      </c>
      <c r="B48" s="383">
        <v>34639</v>
      </c>
      <c r="C48" s="392">
        <v>1132.7088200000001</v>
      </c>
      <c r="D48" s="393">
        <v>0</v>
      </c>
      <c r="E48" s="394">
        <v>1132.7088200000001</v>
      </c>
    </row>
    <row r="49" spans="1:5" x14ac:dyDescent="0.25">
      <c r="A49">
        <f t="shared" si="8"/>
        <v>1995</v>
      </c>
      <c r="B49" s="383">
        <v>34731</v>
      </c>
      <c r="C49" s="384">
        <v>1130.0792900000001</v>
      </c>
      <c r="D49" s="385">
        <v>0</v>
      </c>
      <c r="E49" s="386">
        <v>1130.0792900000001</v>
      </c>
    </row>
    <row r="50" spans="1:5" x14ac:dyDescent="0.25">
      <c r="A50">
        <f t="shared" si="8"/>
        <v>1995</v>
      </c>
      <c r="B50" s="383">
        <v>34820</v>
      </c>
      <c r="C50" s="392">
        <v>1787.4866099999999</v>
      </c>
      <c r="D50" s="393">
        <v>0</v>
      </c>
      <c r="E50" s="394">
        <v>1787.4866099999999</v>
      </c>
    </row>
    <row r="51" spans="1:5" x14ac:dyDescent="0.25">
      <c r="A51">
        <f t="shared" si="8"/>
        <v>1995</v>
      </c>
      <c r="B51" s="383">
        <v>34912</v>
      </c>
      <c r="C51" s="384">
        <v>2248.64957</v>
      </c>
      <c r="D51" s="385">
        <v>173.82248999999999</v>
      </c>
      <c r="E51" s="386">
        <v>2422.4720600000001</v>
      </c>
    </row>
    <row r="52" spans="1:5" x14ac:dyDescent="0.25">
      <c r="A52">
        <f t="shared" si="8"/>
        <v>1995</v>
      </c>
      <c r="B52" s="383">
        <v>35004</v>
      </c>
      <c r="C52" s="392">
        <v>1083.9020599999999</v>
      </c>
      <c r="D52" s="393">
        <v>0</v>
      </c>
      <c r="E52" s="394">
        <v>1083.9020599999999</v>
      </c>
    </row>
    <row r="53" spans="1:5" x14ac:dyDescent="0.25">
      <c r="A53">
        <f t="shared" si="8"/>
        <v>1996</v>
      </c>
      <c r="B53" s="383">
        <v>35096</v>
      </c>
      <c r="C53" s="384">
        <v>1324.2611999999999</v>
      </c>
      <c r="D53" s="385">
        <v>0</v>
      </c>
      <c r="E53" s="386">
        <v>1324.2611999999999</v>
      </c>
    </row>
    <row r="54" spans="1:5" x14ac:dyDescent="0.25">
      <c r="A54">
        <f t="shared" si="8"/>
        <v>1996</v>
      </c>
      <c r="B54" s="383">
        <v>35186</v>
      </c>
      <c r="C54" s="392">
        <v>874.98959000000002</v>
      </c>
      <c r="D54" s="393">
        <v>0</v>
      </c>
      <c r="E54" s="394">
        <v>874.98959000000002</v>
      </c>
    </row>
    <row r="55" spans="1:5" x14ac:dyDescent="0.25">
      <c r="A55">
        <f t="shared" si="8"/>
        <v>1996</v>
      </c>
      <c r="B55" s="383">
        <v>35278</v>
      </c>
      <c r="C55" s="384">
        <v>1300.91292</v>
      </c>
      <c r="D55" s="385">
        <v>0</v>
      </c>
      <c r="E55" s="386">
        <v>1300.91292</v>
      </c>
    </row>
    <row r="56" spans="1:5" x14ac:dyDescent="0.25">
      <c r="A56">
        <f t="shared" si="8"/>
        <v>1996</v>
      </c>
      <c r="B56" s="383">
        <v>35370</v>
      </c>
      <c r="C56" s="392">
        <v>643.12351000000001</v>
      </c>
      <c r="D56" s="393">
        <v>0</v>
      </c>
      <c r="E56" s="394">
        <v>643.12351000000001</v>
      </c>
    </row>
    <row r="57" spans="1:5" x14ac:dyDescent="0.25">
      <c r="A57">
        <f t="shared" si="8"/>
        <v>1997</v>
      </c>
      <c r="B57" s="383">
        <v>35462</v>
      </c>
      <c r="C57" s="384">
        <v>493.93295999999998</v>
      </c>
      <c r="D57" s="385">
        <v>0</v>
      </c>
      <c r="E57" s="386">
        <v>493.93295999999998</v>
      </c>
    </row>
    <row r="58" spans="1:5" x14ac:dyDescent="0.25">
      <c r="A58">
        <f t="shared" si="8"/>
        <v>1997</v>
      </c>
      <c r="B58" s="383">
        <v>35551</v>
      </c>
      <c r="C58" s="392">
        <v>1297.1825100000001</v>
      </c>
      <c r="D58" s="393">
        <v>0</v>
      </c>
      <c r="E58" s="394">
        <v>1297.1825100000001</v>
      </c>
    </row>
    <row r="59" spans="1:5" x14ac:dyDescent="0.25">
      <c r="A59">
        <f t="shared" si="8"/>
        <v>1997</v>
      </c>
      <c r="B59" s="383">
        <v>35643</v>
      </c>
      <c r="C59" s="384">
        <v>863.47410000000002</v>
      </c>
      <c r="D59" s="385">
        <v>0</v>
      </c>
      <c r="E59" s="386">
        <v>863.47410000000002</v>
      </c>
    </row>
    <row r="60" spans="1:5" x14ac:dyDescent="0.25">
      <c r="A60">
        <f t="shared" si="8"/>
        <v>1997</v>
      </c>
      <c r="B60" s="383">
        <v>35735</v>
      </c>
      <c r="C60" s="392">
        <v>1487.0255499999998</v>
      </c>
      <c r="D60" s="393">
        <v>0</v>
      </c>
      <c r="E60" s="394">
        <v>1487.0255499999998</v>
      </c>
    </row>
    <row r="61" spans="1:5" x14ac:dyDescent="0.25">
      <c r="A61">
        <f t="shared" si="8"/>
        <v>1998</v>
      </c>
      <c r="B61" s="383">
        <v>35827</v>
      </c>
      <c r="C61" s="384">
        <v>1745.1871700000002</v>
      </c>
      <c r="D61" s="385">
        <v>0</v>
      </c>
      <c r="E61" s="386">
        <v>1745.1871700000002</v>
      </c>
    </row>
    <row r="62" spans="1:5" x14ac:dyDescent="0.25">
      <c r="A62">
        <f t="shared" si="8"/>
        <v>1998</v>
      </c>
      <c r="B62" s="383">
        <v>35916</v>
      </c>
      <c r="C62" s="392">
        <v>1426.8062500000001</v>
      </c>
      <c r="D62" s="393">
        <v>0</v>
      </c>
      <c r="E62" s="394">
        <v>1426.8062500000001</v>
      </c>
    </row>
    <row r="63" spans="1:5" x14ac:dyDescent="0.25">
      <c r="A63">
        <f t="shared" si="8"/>
        <v>1998</v>
      </c>
      <c r="B63" s="383">
        <v>36008</v>
      </c>
      <c r="C63" s="384">
        <v>1824.63536</v>
      </c>
      <c r="D63" s="385">
        <v>0</v>
      </c>
      <c r="E63" s="386">
        <v>1824.63536</v>
      </c>
    </row>
    <row r="64" spans="1:5" x14ac:dyDescent="0.25">
      <c r="A64">
        <f t="shared" si="8"/>
        <v>1998</v>
      </c>
      <c r="B64" s="383">
        <v>36100</v>
      </c>
      <c r="C64" s="392">
        <v>2256.0497499999997</v>
      </c>
      <c r="D64" s="393">
        <v>0</v>
      </c>
      <c r="E64" s="394">
        <v>2256.0497499999997</v>
      </c>
    </row>
    <row r="65" spans="1:5" x14ac:dyDescent="0.25">
      <c r="A65">
        <f t="shared" si="8"/>
        <v>1999</v>
      </c>
      <c r="B65" s="383">
        <v>36192</v>
      </c>
      <c r="C65" s="384">
        <v>1786.5915500000001</v>
      </c>
      <c r="D65" s="385">
        <v>0</v>
      </c>
      <c r="E65" s="386">
        <v>1786.5915500000001</v>
      </c>
    </row>
    <row r="66" spans="1:5" x14ac:dyDescent="0.25">
      <c r="A66">
        <f t="shared" si="8"/>
        <v>1999</v>
      </c>
      <c r="B66" s="383">
        <v>36281</v>
      </c>
      <c r="C66" s="392">
        <v>1379.3879200000001</v>
      </c>
      <c r="D66" s="393">
        <v>0</v>
      </c>
      <c r="E66" s="394">
        <v>1379.3879200000001</v>
      </c>
    </row>
    <row r="67" spans="1:5" x14ac:dyDescent="0.25">
      <c r="A67">
        <f t="shared" si="8"/>
        <v>1999</v>
      </c>
      <c r="B67" s="383">
        <v>36373</v>
      </c>
      <c r="C67" s="384">
        <v>1731.68759</v>
      </c>
      <c r="D67" s="385">
        <v>0</v>
      </c>
      <c r="E67" s="386">
        <v>1731.68759</v>
      </c>
    </row>
    <row r="68" spans="1:5" x14ac:dyDescent="0.25">
      <c r="A68">
        <f t="shared" si="8"/>
        <v>1999</v>
      </c>
      <c r="B68" s="383">
        <v>36465</v>
      </c>
      <c r="C68" s="392">
        <v>1334.4766</v>
      </c>
      <c r="D68" s="393">
        <v>0</v>
      </c>
      <c r="E68" s="394">
        <v>1334.4766</v>
      </c>
    </row>
    <row r="69" spans="1:5" x14ac:dyDescent="0.25">
      <c r="A69">
        <f t="shared" si="8"/>
        <v>2000</v>
      </c>
      <c r="B69" s="383">
        <v>36557</v>
      </c>
      <c r="C69" s="384">
        <v>1237.1455000000001</v>
      </c>
      <c r="D69" s="385">
        <v>0</v>
      </c>
      <c r="E69" s="386">
        <v>1237.1455000000001</v>
      </c>
    </row>
    <row r="70" spans="1:5" x14ac:dyDescent="0.25">
      <c r="A70">
        <f t="shared" si="8"/>
        <v>2000</v>
      </c>
      <c r="B70" s="383">
        <v>36647</v>
      </c>
      <c r="C70" s="392">
        <v>860.15440999999998</v>
      </c>
      <c r="D70" s="393">
        <v>0</v>
      </c>
      <c r="E70" s="394">
        <v>860.15440999999998</v>
      </c>
    </row>
    <row r="71" spans="1:5" x14ac:dyDescent="0.25">
      <c r="A71">
        <f t="shared" si="8"/>
        <v>2000</v>
      </c>
      <c r="B71" s="383">
        <v>36739</v>
      </c>
      <c r="C71" s="384">
        <v>2360.3291499999996</v>
      </c>
      <c r="D71" s="385">
        <v>0</v>
      </c>
      <c r="E71" s="386">
        <v>2360.3291499999996</v>
      </c>
    </row>
    <row r="72" spans="1:5" x14ac:dyDescent="0.25">
      <c r="A72">
        <f t="shared" si="8"/>
        <v>2000</v>
      </c>
      <c r="B72" s="383">
        <v>36831</v>
      </c>
      <c r="C72" s="392">
        <v>3669.10709</v>
      </c>
      <c r="D72" s="393">
        <v>0</v>
      </c>
      <c r="E72" s="394">
        <v>3669.10709</v>
      </c>
    </row>
    <row r="73" spans="1:5" x14ac:dyDescent="0.25">
      <c r="A73">
        <f t="shared" si="8"/>
        <v>2001</v>
      </c>
      <c r="B73" s="383">
        <v>36923</v>
      </c>
      <c r="C73" s="384">
        <v>2007.7504899999999</v>
      </c>
      <c r="D73" s="385">
        <v>0</v>
      </c>
      <c r="E73" s="386">
        <v>2007.7504899999999</v>
      </c>
    </row>
    <row r="74" spans="1:5" x14ac:dyDescent="0.25">
      <c r="A74">
        <f t="shared" ref="A74:A137" si="9">YEAR(B74)</f>
        <v>2001</v>
      </c>
      <c r="B74" s="383">
        <v>37012</v>
      </c>
      <c r="C74" s="392">
        <v>3019.5219200000001</v>
      </c>
      <c r="D74" s="393">
        <v>0</v>
      </c>
      <c r="E74" s="394">
        <v>3019.5219200000001</v>
      </c>
    </row>
    <row r="75" spans="1:5" x14ac:dyDescent="0.25">
      <c r="A75">
        <f t="shared" si="9"/>
        <v>2001</v>
      </c>
      <c r="B75" s="383">
        <v>37104</v>
      </c>
      <c r="C75" s="384">
        <v>1564.2081000000001</v>
      </c>
      <c r="D75" s="385">
        <v>0</v>
      </c>
      <c r="E75" s="386">
        <v>1564.2081000000001</v>
      </c>
    </row>
    <row r="76" spans="1:5" x14ac:dyDescent="0.25">
      <c r="A76">
        <f t="shared" si="9"/>
        <v>2001</v>
      </c>
      <c r="B76" s="383">
        <v>37196</v>
      </c>
      <c r="C76" s="392">
        <v>1318.4205200000001</v>
      </c>
      <c r="D76" s="393">
        <v>175.12810999999999</v>
      </c>
      <c r="E76" s="394">
        <v>1493.54863</v>
      </c>
    </row>
    <row r="77" spans="1:5" x14ac:dyDescent="0.25">
      <c r="A77">
        <f t="shared" si="9"/>
        <v>2002</v>
      </c>
      <c r="B77" s="383">
        <v>37288</v>
      </c>
      <c r="C77" s="384">
        <v>1257.6034300000001</v>
      </c>
      <c r="D77" s="385">
        <v>180.38345999999999</v>
      </c>
      <c r="E77" s="386">
        <v>1437.9868900000001</v>
      </c>
    </row>
    <row r="78" spans="1:5" x14ac:dyDescent="0.25">
      <c r="A78">
        <f t="shared" si="9"/>
        <v>2002</v>
      </c>
      <c r="B78" s="383">
        <v>37377</v>
      </c>
      <c r="C78" s="392">
        <v>1277.6432600000001</v>
      </c>
      <c r="D78" s="393">
        <v>0</v>
      </c>
      <c r="E78" s="394">
        <v>1277.6432600000001</v>
      </c>
    </row>
    <row r="79" spans="1:5" x14ac:dyDescent="0.25">
      <c r="A79">
        <f t="shared" si="9"/>
        <v>2002</v>
      </c>
      <c r="B79" s="383">
        <v>37469</v>
      </c>
      <c r="C79" s="384">
        <v>2218.1354299999998</v>
      </c>
      <c r="D79" s="385">
        <v>0</v>
      </c>
      <c r="E79" s="386">
        <v>2218.1354299999998</v>
      </c>
    </row>
    <row r="80" spans="1:5" x14ac:dyDescent="0.25">
      <c r="A80">
        <f t="shared" si="9"/>
        <v>2002</v>
      </c>
      <c r="B80" s="383">
        <v>37561</v>
      </c>
      <c r="C80" s="392">
        <v>1780.4772</v>
      </c>
      <c r="D80" s="393">
        <v>0</v>
      </c>
      <c r="E80" s="394">
        <v>1780.4772</v>
      </c>
    </row>
    <row r="81" spans="1:5" x14ac:dyDescent="0.25">
      <c r="A81">
        <f t="shared" si="9"/>
        <v>2003</v>
      </c>
      <c r="B81" s="383">
        <v>37653</v>
      </c>
      <c r="C81" s="384">
        <v>1051.7875999999999</v>
      </c>
      <c r="D81" s="385">
        <v>0</v>
      </c>
      <c r="E81" s="386">
        <v>1051.7875999999999</v>
      </c>
    </row>
    <row r="82" spans="1:5" x14ac:dyDescent="0.25">
      <c r="A82">
        <f t="shared" si="9"/>
        <v>2003</v>
      </c>
      <c r="B82" s="383">
        <v>37742</v>
      </c>
      <c r="C82" s="392">
        <v>1475.9399100000001</v>
      </c>
      <c r="D82" s="393">
        <v>0</v>
      </c>
      <c r="E82" s="394">
        <v>1475.9399100000001</v>
      </c>
    </row>
    <row r="83" spans="1:5" x14ac:dyDescent="0.25">
      <c r="A83">
        <f t="shared" si="9"/>
        <v>2003</v>
      </c>
      <c r="B83" s="383">
        <v>37834</v>
      </c>
      <c r="C83" s="384">
        <v>1869.0245299999999</v>
      </c>
      <c r="D83" s="385">
        <v>0</v>
      </c>
      <c r="E83" s="386">
        <v>1869.0245299999999</v>
      </c>
    </row>
    <row r="84" spans="1:5" x14ac:dyDescent="0.25">
      <c r="A84">
        <f t="shared" si="9"/>
        <v>2003</v>
      </c>
      <c r="B84" s="383">
        <v>37926</v>
      </c>
      <c r="C84" s="392">
        <v>2753.62574</v>
      </c>
      <c r="D84" s="393">
        <v>174.00700999999998</v>
      </c>
      <c r="E84" s="394">
        <v>2927.6327499999998</v>
      </c>
    </row>
    <row r="85" spans="1:5" x14ac:dyDescent="0.25">
      <c r="A85">
        <f t="shared" si="9"/>
        <v>2004</v>
      </c>
      <c r="B85" s="383">
        <v>38018</v>
      </c>
      <c r="C85" s="384">
        <v>2117.3186500000002</v>
      </c>
      <c r="D85" s="385">
        <v>363.32899000000003</v>
      </c>
      <c r="E85" s="386">
        <v>2480.6476400000001</v>
      </c>
    </row>
    <row r="86" spans="1:5" x14ac:dyDescent="0.25">
      <c r="A86">
        <f t="shared" si="9"/>
        <v>2004</v>
      </c>
      <c r="B86" s="383">
        <v>38108</v>
      </c>
      <c r="C86" s="392">
        <v>3151.5715</v>
      </c>
      <c r="D86" s="393">
        <v>0</v>
      </c>
      <c r="E86" s="394">
        <v>3151.5715</v>
      </c>
    </row>
    <row r="87" spans="1:5" x14ac:dyDescent="0.25">
      <c r="A87">
        <f t="shared" si="9"/>
        <v>2004</v>
      </c>
      <c r="B87" s="383">
        <v>38200</v>
      </c>
      <c r="C87" s="384">
        <v>2358.95235</v>
      </c>
      <c r="D87" s="385">
        <v>0</v>
      </c>
      <c r="E87" s="386">
        <v>2358.95235</v>
      </c>
    </row>
    <row r="88" spans="1:5" x14ac:dyDescent="0.25">
      <c r="A88">
        <f t="shared" si="9"/>
        <v>2004</v>
      </c>
      <c r="B88" s="383">
        <v>38292</v>
      </c>
      <c r="C88" s="392">
        <v>2796.2098800000003</v>
      </c>
      <c r="D88" s="393">
        <v>0</v>
      </c>
      <c r="E88" s="394">
        <v>2796.2098800000003</v>
      </c>
    </row>
    <row r="89" spans="1:5" x14ac:dyDescent="0.25">
      <c r="A89">
        <f t="shared" si="9"/>
        <v>2005</v>
      </c>
      <c r="B89" s="383">
        <v>38384</v>
      </c>
      <c r="C89" s="384">
        <v>2565.3805200000002</v>
      </c>
      <c r="D89" s="385">
        <v>213.79933</v>
      </c>
      <c r="E89" s="386">
        <v>2779.1798500000004</v>
      </c>
    </row>
    <row r="90" spans="1:5" x14ac:dyDescent="0.25">
      <c r="A90">
        <f t="shared" si="9"/>
        <v>2005</v>
      </c>
      <c r="B90" s="383">
        <v>38473</v>
      </c>
      <c r="C90" s="392">
        <v>2963.2002500000003</v>
      </c>
      <c r="D90" s="393">
        <v>0</v>
      </c>
      <c r="E90" s="394">
        <v>2963.2002500000003</v>
      </c>
    </row>
    <row r="91" spans="1:5" x14ac:dyDescent="0.25">
      <c r="A91">
        <f t="shared" si="9"/>
        <v>2005</v>
      </c>
      <c r="B91" s="383">
        <v>38565</v>
      </c>
      <c r="C91" s="384">
        <v>2774.6113</v>
      </c>
      <c r="D91" s="385">
        <v>171.53957</v>
      </c>
      <c r="E91" s="386">
        <v>2946.1508700000004</v>
      </c>
    </row>
    <row r="92" spans="1:5" x14ac:dyDescent="0.25">
      <c r="A92">
        <f t="shared" si="9"/>
        <v>2005</v>
      </c>
      <c r="B92" s="383">
        <v>38657</v>
      </c>
      <c r="C92" s="392">
        <v>3785.3323700000001</v>
      </c>
      <c r="D92" s="393">
        <v>197.68859999999998</v>
      </c>
      <c r="E92" s="394">
        <v>3983.02097</v>
      </c>
    </row>
    <row r="93" spans="1:5" x14ac:dyDescent="0.25">
      <c r="A93">
        <f t="shared" si="9"/>
        <v>2006</v>
      </c>
      <c r="B93" s="383">
        <v>38749</v>
      </c>
      <c r="C93" s="384">
        <v>4807.2119000000002</v>
      </c>
      <c r="D93" s="385">
        <v>171.19704999999999</v>
      </c>
      <c r="E93" s="386">
        <v>4978.40895</v>
      </c>
    </row>
    <row r="94" spans="1:5" x14ac:dyDescent="0.25">
      <c r="A94">
        <f t="shared" si="9"/>
        <v>2006</v>
      </c>
      <c r="B94" s="383">
        <v>38838</v>
      </c>
      <c r="C94" s="392">
        <v>5925.7304600000007</v>
      </c>
      <c r="D94" s="393">
        <v>390.90939000000003</v>
      </c>
      <c r="E94" s="394">
        <v>6316.6398500000005</v>
      </c>
    </row>
    <row r="95" spans="1:5" x14ac:dyDescent="0.25">
      <c r="A95">
        <f t="shared" si="9"/>
        <v>2006</v>
      </c>
      <c r="B95" s="383">
        <v>38930</v>
      </c>
      <c r="C95" s="384">
        <v>4339.5377399999998</v>
      </c>
      <c r="D95" s="385">
        <v>395.00825000000003</v>
      </c>
      <c r="E95" s="386">
        <v>4734.5459899999996</v>
      </c>
    </row>
    <row r="96" spans="1:5" x14ac:dyDescent="0.25">
      <c r="A96">
        <f t="shared" si="9"/>
        <v>2006</v>
      </c>
      <c r="B96" s="383">
        <v>39022</v>
      </c>
      <c r="C96" s="392">
        <v>4075.5439100000003</v>
      </c>
      <c r="D96" s="393">
        <v>183.45438999999999</v>
      </c>
      <c r="E96" s="394">
        <v>4258.9983000000002</v>
      </c>
    </row>
    <row r="97" spans="1:5" x14ac:dyDescent="0.25">
      <c r="A97">
        <f t="shared" si="9"/>
        <v>2007</v>
      </c>
      <c r="B97" s="383">
        <v>39114</v>
      </c>
      <c r="C97" s="384">
        <v>5286.7022999999999</v>
      </c>
      <c r="D97" s="385">
        <v>301.38447000000002</v>
      </c>
      <c r="E97" s="386">
        <v>5588.0867699999999</v>
      </c>
    </row>
    <row r="98" spans="1:5" x14ac:dyDescent="0.25">
      <c r="A98">
        <f t="shared" si="9"/>
        <v>2007</v>
      </c>
      <c r="B98" s="383">
        <v>39203</v>
      </c>
      <c r="C98" s="392">
        <v>4305.8670599999996</v>
      </c>
      <c r="D98" s="393">
        <v>169.7655</v>
      </c>
      <c r="E98" s="394">
        <v>4475.6325599999991</v>
      </c>
    </row>
    <row r="99" spans="1:5" x14ac:dyDescent="0.25">
      <c r="A99">
        <f t="shared" si="9"/>
        <v>2007</v>
      </c>
      <c r="B99" s="383">
        <v>39295</v>
      </c>
      <c r="C99" s="384">
        <v>4636.6353300000001</v>
      </c>
      <c r="D99" s="385">
        <v>0</v>
      </c>
      <c r="E99" s="386">
        <v>4636.6353300000001</v>
      </c>
    </row>
    <row r="100" spans="1:5" x14ac:dyDescent="0.25">
      <c r="A100">
        <f t="shared" si="9"/>
        <v>2007</v>
      </c>
      <c r="B100" s="383">
        <v>39387</v>
      </c>
      <c r="C100" s="392">
        <v>4728.73416</v>
      </c>
      <c r="D100" s="393">
        <v>0</v>
      </c>
      <c r="E100" s="394">
        <v>4728.73416</v>
      </c>
    </row>
    <row r="101" spans="1:5" x14ac:dyDescent="0.25">
      <c r="A101">
        <f t="shared" si="9"/>
        <v>2008</v>
      </c>
      <c r="B101" s="383">
        <v>39479</v>
      </c>
      <c r="C101" s="384">
        <v>6550.0600999999997</v>
      </c>
      <c r="D101" s="385">
        <v>377.62277999999998</v>
      </c>
      <c r="E101" s="386">
        <v>6927.6828800000003</v>
      </c>
    </row>
    <row r="102" spans="1:5" x14ac:dyDescent="0.25">
      <c r="A102">
        <f t="shared" si="9"/>
        <v>2008</v>
      </c>
      <c r="B102" s="383">
        <v>39569</v>
      </c>
      <c r="C102" s="392">
        <v>5511.8304899999994</v>
      </c>
      <c r="D102" s="393">
        <v>272.40357</v>
      </c>
      <c r="E102" s="394">
        <v>5784.2340599999989</v>
      </c>
    </row>
    <row r="103" spans="1:5" x14ac:dyDescent="0.25">
      <c r="A103">
        <f t="shared" si="9"/>
        <v>2008</v>
      </c>
      <c r="B103" s="383">
        <v>39661</v>
      </c>
      <c r="C103" s="384">
        <v>6216.872260000001</v>
      </c>
      <c r="D103" s="385">
        <v>0</v>
      </c>
      <c r="E103" s="386">
        <v>6216.872260000001</v>
      </c>
    </row>
    <row r="104" spans="1:5" x14ac:dyDescent="0.25">
      <c r="A104">
        <f t="shared" si="9"/>
        <v>2008</v>
      </c>
      <c r="B104" s="383">
        <v>39753</v>
      </c>
      <c r="C104" s="392">
        <v>6498.8677299999999</v>
      </c>
      <c r="D104" s="393">
        <v>0</v>
      </c>
      <c r="E104" s="394">
        <v>6498.8677299999999</v>
      </c>
    </row>
    <row r="105" spans="1:5" x14ac:dyDescent="0.25">
      <c r="A105">
        <f t="shared" si="9"/>
        <v>2009</v>
      </c>
      <c r="B105" s="383">
        <v>39845</v>
      </c>
      <c r="C105" s="384">
        <v>5577.51908</v>
      </c>
      <c r="D105" s="385">
        <v>0</v>
      </c>
      <c r="E105" s="386">
        <v>5577.51908</v>
      </c>
    </row>
    <row r="106" spans="1:5" x14ac:dyDescent="0.25">
      <c r="A106">
        <f t="shared" si="9"/>
        <v>2009</v>
      </c>
      <c r="B106" s="383">
        <v>39934</v>
      </c>
      <c r="C106" s="392">
        <v>5476.8998499999998</v>
      </c>
      <c r="D106" s="393">
        <v>0</v>
      </c>
      <c r="E106" s="394">
        <v>5476.8998499999998</v>
      </c>
    </row>
    <row r="107" spans="1:5" x14ac:dyDescent="0.25">
      <c r="A107">
        <f t="shared" si="9"/>
        <v>2009</v>
      </c>
      <c r="B107" s="383">
        <v>40026</v>
      </c>
      <c r="C107" s="384">
        <v>5081.4705100000001</v>
      </c>
      <c r="D107" s="385">
        <v>319.72246000000001</v>
      </c>
      <c r="E107" s="386">
        <v>5401.1929700000001</v>
      </c>
    </row>
    <row r="108" spans="1:5" x14ac:dyDescent="0.25">
      <c r="A108">
        <f t="shared" si="9"/>
        <v>2009</v>
      </c>
      <c r="B108" s="383">
        <v>40118</v>
      </c>
      <c r="C108" s="392">
        <v>7108.5971899999995</v>
      </c>
      <c r="D108" s="393">
        <v>0</v>
      </c>
      <c r="E108" s="394">
        <v>7108.5971899999995</v>
      </c>
    </row>
    <row r="109" spans="1:5" x14ac:dyDescent="0.25">
      <c r="A109">
        <f t="shared" si="9"/>
        <v>2010</v>
      </c>
      <c r="B109" s="383">
        <v>40210</v>
      </c>
      <c r="C109" s="384">
        <v>8094.606499999999</v>
      </c>
      <c r="D109" s="385">
        <v>0</v>
      </c>
      <c r="E109" s="386">
        <v>8094.606499999999</v>
      </c>
    </row>
    <row r="110" spans="1:5" x14ac:dyDescent="0.25">
      <c r="A110">
        <f t="shared" si="9"/>
        <v>2010</v>
      </c>
      <c r="B110" s="383">
        <v>40299</v>
      </c>
      <c r="C110" s="392">
        <v>7904.5798299999997</v>
      </c>
      <c r="D110" s="393">
        <v>0</v>
      </c>
      <c r="E110" s="394">
        <v>7904.5798299999997</v>
      </c>
    </row>
    <row r="111" spans="1:5" x14ac:dyDescent="0.25">
      <c r="A111">
        <f t="shared" si="9"/>
        <v>2010</v>
      </c>
      <c r="B111" s="383">
        <v>40391</v>
      </c>
      <c r="C111" s="384">
        <v>7417.5504600000004</v>
      </c>
      <c r="D111" s="385">
        <v>0</v>
      </c>
      <c r="E111" s="386">
        <v>7417.5504600000004</v>
      </c>
    </row>
    <row r="112" spans="1:5" x14ac:dyDescent="0.25">
      <c r="A112">
        <f t="shared" si="9"/>
        <v>2010</v>
      </c>
      <c r="B112" s="383">
        <v>40483</v>
      </c>
      <c r="C112" s="392">
        <v>4323.24701</v>
      </c>
      <c r="D112" s="393">
        <v>0</v>
      </c>
      <c r="E112" s="394">
        <v>4323.24701</v>
      </c>
    </row>
    <row r="113" spans="1:5" x14ac:dyDescent="0.25">
      <c r="A113">
        <f t="shared" si="9"/>
        <v>2011</v>
      </c>
      <c r="B113" s="383">
        <v>40575</v>
      </c>
      <c r="C113" s="384">
        <v>3599.57627</v>
      </c>
      <c r="D113" s="385">
        <v>655.40489000000002</v>
      </c>
      <c r="E113" s="386">
        <v>4254.9811599999994</v>
      </c>
    </row>
    <row r="114" spans="1:5" x14ac:dyDescent="0.25">
      <c r="A114">
        <f t="shared" si="9"/>
        <v>2011</v>
      </c>
      <c r="B114" s="383">
        <v>40664</v>
      </c>
      <c r="C114" s="392">
        <v>7101.3756399999993</v>
      </c>
      <c r="D114" s="393">
        <v>310.68288000000001</v>
      </c>
      <c r="E114" s="394">
        <v>7412.0585199999996</v>
      </c>
    </row>
    <row r="115" spans="1:5" x14ac:dyDescent="0.25">
      <c r="A115">
        <f t="shared" si="9"/>
        <v>2011</v>
      </c>
      <c r="B115" s="383">
        <v>40756</v>
      </c>
      <c r="C115" s="384">
        <v>8016.8924799999995</v>
      </c>
      <c r="D115" s="385">
        <v>0</v>
      </c>
      <c r="E115" s="386">
        <v>8016.8924799999995</v>
      </c>
    </row>
    <row r="116" spans="1:5" x14ac:dyDescent="0.25">
      <c r="A116">
        <f t="shared" si="9"/>
        <v>2011</v>
      </c>
      <c r="B116" s="383">
        <v>40848</v>
      </c>
      <c r="C116" s="392">
        <v>8055.3830400000006</v>
      </c>
      <c r="D116" s="393">
        <v>314.84814999999998</v>
      </c>
      <c r="E116" s="394">
        <v>8370.2311900000004</v>
      </c>
    </row>
    <row r="117" spans="1:5" x14ac:dyDescent="0.25">
      <c r="A117">
        <f t="shared" si="9"/>
        <v>2012</v>
      </c>
      <c r="B117" s="383">
        <v>40940</v>
      </c>
      <c r="C117" s="384">
        <v>6813.8485900000005</v>
      </c>
      <c r="D117" s="385">
        <v>0</v>
      </c>
      <c r="E117" s="386">
        <v>6813.8485900000005</v>
      </c>
    </row>
    <row r="118" spans="1:5" x14ac:dyDescent="0.25">
      <c r="A118">
        <f t="shared" si="9"/>
        <v>2012</v>
      </c>
      <c r="B118" s="383">
        <v>41030</v>
      </c>
      <c r="C118" s="392">
        <v>7240.4618200000004</v>
      </c>
      <c r="D118" s="393">
        <v>0</v>
      </c>
      <c r="E118" s="394">
        <v>7240.4618200000004</v>
      </c>
    </row>
    <row r="119" spans="1:5" x14ac:dyDescent="0.25">
      <c r="A119">
        <f t="shared" si="9"/>
        <v>2012</v>
      </c>
      <c r="B119" s="383">
        <v>41122</v>
      </c>
      <c r="C119" s="384">
        <v>9097.3980900000006</v>
      </c>
      <c r="D119" s="385">
        <v>278.03185000000002</v>
      </c>
      <c r="E119" s="386">
        <v>9375.42994</v>
      </c>
    </row>
    <row r="120" spans="1:5" x14ac:dyDescent="0.25">
      <c r="A120">
        <f t="shared" si="9"/>
        <v>2012</v>
      </c>
      <c r="B120" s="383">
        <v>41214</v>
      </c>
      <c r="C120" s="392">
        <v>11522.309570000001</v>
      </c>
      <c r="D120" s="393">
        <v>561.08993999999996</v>
      </c>
      <c r="E120" s="394">
        <v>12083.399510000001</v>
      </c>
    </row>
    <row r="121" spans="1:5" x14ac:dyDescent="0.25">
      <c r="A121">
        <f t="shared" si="9"/>
        <v>2013</v>
      </c>
      <c r="B121" s="383">
        <v>41306</v>
      </c>
      <c r="C121" s="384">
        <v>9181.0979100000004</v>
      </c>
      <c r="D121" s="385">
        <v>0</v>
      </c>
      <c r="E121" s="386">
        <v>9181.0979100000004</v>
      </c>
    </row>
    <row r="122" spans="1:5" x14ac:dyDescent="0.25">
      <c r="A122">
        <f t="shared" si="9"/>
        <v>2013</v>
      </c>
      <c r="B122" s="383">
        <v>41395</v>
      </c>
      <c r="C122" s="392">
        <v>11615.09275</v>
      </c>
      <c r="D122" s="393">
        <v>762.41327000000001</v>
      </c>
      <c r="E122" s="394">
        <v>12377.506020000001</v>
      </c>
    </row>
    <row r="123" spans="1:5" x14ac:dyDescent="0.25">
      <c r="A123">
        <f t="shared" si="9"/>
        <v>2013</v>
      </c>
      <c r="B123" s="383">
        <v>41487</v>
      </c>
      <c r="C123" s="384">
        <v>8144.4679599999999</v>
      </c>
      <c r="D123" s="385">
        <v>383.82393999999999</v>
      </c>
      <c r="E123" s="386">
        <v>8528.2919000000002</v>
      </c>
    </row>
    <row r="124" spans="1:5" x14ac:dyDescent="0.25">
      <c r="A124">
        <f t="shared" si="9"/>
        <v>2013</v>
      </c>
      <c r="B124" s="383">
        <v>41579</v>
      </c>
      <c r="C124" s="392">
        <v>9837.52808</v>
      </c>
      <c r="D124" s="393">
        <v>0</v>
      </c>
      <c r="E124" s="394">
        <v>9837.52808</v>
      </c>
    </row>
    <row r="125" spans="1:5" x14ac:dyDescent="0.25">
      <c r="A125">
        <f t="shared" si="9"/>
        <v>2014</v>
      </c>
      <c r="B125" s="383">
        <v>41671</v>
      </c>
      <c r="C125" s="384">
        <v>11522.46326</v>
      </c>
      <c r="D125" s="385">
        <v>380.45771999999999</v>
      </c>
      <c r="E125" s="386">
        <v>11902.920980000001</v>
      </c>
    </row>
    <row r="126" spans="1:5" x14ac:dyDescent="0.25">
      <c r="A126">
        <f t="shared" si="9"/>
        <v>2014</v>
      </c>
      <c r="B126" s="383">
        <v>41760</v>
      </c>
      <c r="C126" s="392">
        <v>8799.7828200000004</v>
      </c>
      <c r="D126" s="393">
        <v>754.50301000000002</v>
      </c>
      <c r="E126" s="394">
        <v>9554.2858300000007</v>
      </c>
    </row>
    <row r="127" spans="1:5" x14ac:dyDescent="0.25">
      <c r="A127">
        <f t="shared" si="9"/>
        <v>2014</v>
      </c>
      <c r="B127" s="383">
        <v>41852</v>
      </c>
      <c r="C127" s="384">
        <v>8890.4603400000015</v>
      </c>
      <c r="D127" s="385">
        <v>400.05047000000002</v>
      </c>
      <c r="E127" s="386">
        <v>9290.5108099999998</v>
      </c>
    </row>
    <row r="128" spans="1:5" x14ac:dyDescent="0.25">
      <c r="A128">
        <f t="shared" si="9"/>
        <v>2014</v>
      </c>
      <c r="B128" s="383">
        <v>41944</v>
      </c>
      <c r="C128" s="392">
        <v>8292.2614999999987</v>
      </c>
      <c r="D128" s="393">
        <v>318.21081000000004</v>
      </c>
      <c r="E128" s="394">
        <v>8610.4723099999992</v>
      </c>
    </row>
    <row r="129" spans="1:5" x14ac:dyDescent="0.25">
      <c r="A129">
        <f t="shared" si="9"/>
        <v>2015</v>
      </c>
      <c r="B129" s="383">
        <v>42036</v>
      </c>
      <c r="C129" s="384">
        <v>7750.2979400000004</v>
      </c>
      <c r="D129" s="385">
        <v>273.21186</v>
      </c>
      <c r="E129" s="386">
        <v>8023.5097999999998</v>
      </c>
    </row>
    <row r="130" spans="1:5" x14ac:dyDescent="0.25">
      <c r="A130">
        <f t="shared" si="9"/>
        <v>2015</v>
      </c>
      <c r="B130" s="383">
        <v>42125</v>
      </c>
      <c r="C130" s="392">
        <v>13071.805609999999</v>
      </c>
      <c r="D130" s="393">
        <v>0</v>
      </c>
      <c r="E130" s="394">
        <v>13071.805609999999</v>
      </c>
    </row>
    <row r="131" spans="1:5" x14ac:dyDescent="0.25">
      <c r="A131">
        <f t="shared" si="9"/>
        <v>2015</v>
      </c>
      <c r="B131" s="383">
        <v>42217</v>
      </c>
      <c r="C131" s="384">
        <v>16814.528119999999</v>
      </c>
      <c r="D131" s="385">
        <v>698.74162999999999</v>
      </c>
      <c r="E131" s="386">
        <v>17513.269749999999</v>
      </c>
    </row>
    <row r="132" spans="1:5" x14ac:dyDescent="0.25">
      <c r="A132">
        <f t="shared" si="9"/>
        <v>2015</v>
      </c>
      <c r="B132" s="383">
        <v>42309</v>
      </c>
      <c r="C132" s="392">
        <v>7287.5136600000005</v>
      </c>
      <c r="D132" s="393">
        <v>359.85488999999995</v>
      </c>
      <c r="E132" s="394">
        <v>7647.3685500000001</v>
      </c>
    </row>
    <row r="133" spans="1:5" x14ac:dyDescent="0.25">
      <c r="A133">
        <f t="shared" si="9"/>
        <v>2016</v>
      </c>
      <c r="B133" s="383">
        <v>42401</v>
      </c>
      <c r="C133" s="384">
        <v>7783.8587300000008</v>
      </c>
      <c r="D133" s="385">
        <v>269.19865999999996</v>
      </c>
      <c r="E133" s="386">
        <v>8053.0573900000009</v>
      </c>
    </row>
    <row r="134" spans="1:5" x14ac:dyDescent="0.25">
      <c r="A134">
        <f t="shared" si="9"/>
        <v>2016</v>
      </c>
      <c r="B134" s="383">
        <v>42491</v>
      </c>
      <c r="C134" s="392">
        <v>11349.81241</v>
      </c>
      <c r="D134" s="393">
        <v>1921.9725999999998</v>
      </c>
      <c r="E134" s="394">
        <v>13271.78501</v>
      </c>
    </row>
    <row r="135" spans="1:5" x14ac:dyDescent="0.25">
      <c r="A135">
        <f t="shared" si="9"/>
        <v>2016</v>
      </c>
      <c r="B135" s="383">
        <v>42583</v>
      </c>
      <c r="C135" s="384">
        <v>7849.6991499999995</v>
      </c>
      <c r="D135" s="385">
        <v>981.04370000000006</v>
      </c>
      <c r="E135" s="386">
        <v>8830.7428500000005</v>
      </c>
    </row>
    <row r="136" spans="1:5" x14ac:dyDescent="0.25">
      <c r="A136">
        <f t="shared" si="9"/>
        <v>2016</v>
      </c>
      <c r="B136" s="383">
        <v>42675</v>
      </c>
      <c r="C136" s="392">
        <v>11010.651979999999</v>
      </c>
      <c r="D136" s="393">
        <v>26.88306</v>
      </c>
      <c r="E136" s="394">
        <v>11037.535039999999</v>
      </c>
    </row>
    <row r="137" spans="1:5" x14ac:dyDescent="0.25">
      <c r="A137">
        <f t="shared" si="9"/>
        <v>2017</v>
      </c>
      <c r="B137" s="383">
        <v>42767</v>
      </c>
      <c r="C137" s="384">
        <v>8930.9122100000004</v>
      </c>
      <c r="D137" s="385">
        <v>1098.7333000000001</v>
      </c>
      <c r="E137" s="386">
        <v>10029.645510000002</v>
      </c>
    </row>
    <row r="138" spans="1:5" x14ac:dyDescent="0.25">
      <c r="A138">
        <f t="shared" ref="A138:A171" si="10">YEAR(B138)</f>
        <v>2017</v>
      </c>
      <c r="B138" s="383">
        <v>42856</v>
      </c>
      <c r="C138" s="392">
        <v>6841.6493600000003</v>
      </c>
      <c r="D138" s="393">
        <v>53.406680000000001</v>
      </c>
      <c r="E138" s="394">
        <v>6895.0560400000004</v>
      </c>
    </row>
    <row r="139" spans="1:5" x14ac:dyDescent="0.25">
      <c r="A139">
        <f t="shared" si="10"/>
        <v>2017</v>
      </c>
      <c r="B139" s="383">
        <v>42948</v>
      </c>
      <c r="C139" s="384">
        <v>10026.677</v>
      </c>
      <c r="D139" s="385">
        <v>1013.3688599999999</v>
      </c>
      <c r="E139" s="386">
        <v>11040.04586</v>
      </c>
    </row>
    <row r="140" spans="1:5" x14ac:dyDescent="0.25">
      <c r="A140">
        <f t="shared" si="10"/>
        <v>2017</v>
      </c>
      <c r="B140" s="383">
        <v>43040</v>
      </c>
      <c r="C140" s="392">
        <v>12133.27017</v>
      </c>
      <c r="D140" s="393">
        <v>53.20975</v>
      </c>
      <c r="E140" s="394">
        <v>12186.47992</v>
      </c>
    </row>
    <row r="141" spans="1:5" x14ac:dyDescent="0.25">
      <c r="A141">
        <f t="shared" si="10"/>
        <v>2018</v>
      </c>
      <c r="B141" s="383">
        <v>43132</v>
      </c>
      <c r="C141" s="384">
        <v>16435.609549999997</v>
      </c>
      <c r="D141" s="385">
        <v>1137.1143500000001</v>
      </c>
      <c r="E141" s="386">
        <v>17572.723900000001</v>
      </c>
    </row>
    <row r="142" spans="1:5" x14ac:dyDescent="0.25">
      <c r="A142">
        <f t="shared" si="10"/>
        <v>2018</v>
      </c>
      <c r="B142" s="383">
        <v>43221</v>
      </c>
      <c r="C142" s="392">
        <v>15084.76621</v>
      </c>
      <c r="D142" s="393">
        <v>52.967950000000002</v>
      </c>
      <c r="E142" s="394">
        <v>15137.734159999998</v>
      </c>
    </row>
    <row r="143" spans="1:5" x14ac:dyDescent="0.25">
      <c r="A143">
        <f t="shared" si="10"/>
        <v>2018</v>
      </c>
      <c r="B143" s="383">
        <v>43313</v>
      </c>
      <c r="C143" s="384">
        <v>15202.845179999998</v>
      </c>
      <c r="D143" s="385">
        <v>501.33768000000003</v>
      </c>
      <c r="E143" s="386">
        <v>15704.182859999999</v>
      </c>
    </row>
    <row r="144" spans="1:5" x14ac:dyDescent="0.25">
      <c r="A144">
        <f t="shared" si="10"/>
        <v>2018</v>
      </c>
      <c r="B144" s="383">
        <v>43405</v>
      </c>
      <c r="C144" s="392">
        <v>16307.346810000003</v>
      </c>
      <c r="D144" s="393">
        <v>1370.0255999999999</v>
      </c>
      <c r="E144" s="394">
        <v>17677.372410000004</v>
      </c>
    </row>
    <row r="145" spans="1:5" x14ac:dyDescent="0.25">
      <c r="A145">
        <f t="shared" si="10"/>
        <v>2019</v>
      </c>
      <c r="B145" s="383">
        <v>43497</v>
      </c>
      <c r="C145" s="384">
        <v>10572.10512</v>
      </c>
      <c r="D145" s="385">
        <v>440.92494999999997</v>
      </c>
      <c r="E145" s="386">
        <v>11013.030069999999</v>
      </c>
    </row>
    <row r="146" spans="1:5" x14ac:dyDescent="0.25">
      <c r="A146">
        <f t="shared" si="10"/>
        <v>2019</v>
      </c>
      <c r="B146" s="383">
        <v>43586</v>
      </c>
      <c r="C146" s="392">
        <v>14565.19519</v>
      </c>
      <c r="D146" s="393">
        <v>864.46992</v>
      </c>
      <c r="E146" s="394">
        <v>15429.66511</v>
      </c>
    </row>
    <row r="147" spans="1:5" x14ac:dyDescent="0.25">
      <c r="A147">
        <f t="shared" si="10"/>
        <v>2019</v>
      </c>
      <c r="B147" s="383">
        <v>43678</v>
      </c>
      <c r="C147" s="384">
        <v>16523.502820000002</v>
      </c>
      <c r="D147" s="385">
        <v>882.4528499999999</v>
      </c>
      <c r="E147" s="386">
        <v>17405.955669999999</v>
      </c>
    </row>
    <row r="148" spans="1:5" x14ac:dyDescent="0.25">
      <c r="A148">
        <f t="shared" si="10"/>
        <v>2019</v>
      </c>
      <c r="B148" s="383">
        <v>43770</v>
      </c>
      <c r="C148" s="392">
        <v>19533.332969999999</v>
      </c>
      <c r="D148" s="393">
        <v>2116.8078699999996</v>
      </c>
      <c r="E148" s="394">
        <v>21650.14084</v>
      </c>
    </row>
    <row r="149" spans="1:5" x14ac:dyDescent="0.25">
      <c r="A149">
        <f t="shared" si="10"/>
        <v>2020</v>
      </c>
      <c r="B149" s="383">
        <v>43862</v>
      </c>
      <c r="C149" s="384">
        <v>13395.609119999999</v>
      </c>
      <c r="D149" s="385">
        <v>479.20724999999999</v>
      </c>
      <c r="E149" s="386">
        <v>13874.81637</v>
      </c>
    </row>
    <row r="150" spans="1:5" x14ac:dyDescent="0.25">
      <c r="A150">
        <f t="shared" si="10"/>
        <v>2020</v>
      </c>
      <c r="B150" s="383">
        <v>43952</v>
      </c>
      <c r="C150" s="392">
        <v>9356.5566600000002</v>
      </c>
      <c r="D150" s="393">
        <v>365.80545000000001</v>
      </c>
      <c r="E150" s="394">
        <v>9722.36211</v>
      </c>
    </row>
    <row r="151" spans="1:5" x14ac:dyDescent="0.25">
      <c r="A151">
        <f t="shared" si="10"/>
        <v>2020</v>
      </c>
      <c r="B151" s="383">
        <v>44044</v>
      </c>
      <c r="C151" s="384">
        <v>10085.938410000001</v>
      </c>
      <c r="D151" s="385">
        <v>511.86063999999999</v>
      </c>
      <c r="E151" s="386">
        <v>10597.799050000001</v>
      </c>
    </row>
    <row r="152" spans="1:5" x14ac:dyDescent="0.25">
      <c r="A152">
        <f t="shared" si="10"/>
        <v>2020</v>
      </c>
      <c r="B152" s="383">
        <v>44136</v>
      </c>
      <c r="C152" s="392">
        <v>15253.27578</v>
      </c>
      <c r="D152" s="393">
        <v>51.579160000000002</v>
      </c>
      <c r="E152" s="394">
        <v>15304.854939999999</v>
      </c>
    </row>
    <row r="153" spans="1:5" x14ac:dyDescent="0.25">
      <c r="A153">
        <f t="shared" si="10"/>
        <v>2021</v>
      </c>
      <c r="B153" s="383">
        <v>44228</v>
      </c>
      <c r="C153" s="384">
        <v>9575.0134300000009</v>
      </c>
      <c r="D153" s="385">
        <v>51.456879999999998</v>
      </c>
      <c r="E153" s="386">
        <v>9626.4703100000006</v>
      </c>
    </row>
    <row r="154" spans="1:5" x14ac:dyDescent="0.25">
      <c r="A154">
        <f t="shared" si="10"/>
        <v>2021</v>
      </c>
      <c r="B154" s="383">
        <v>44317</v>
      </c>
      <c r="C154" s="392">
        <v>9643.9390500000009</v>
      </c>
      <c r="D154" s="393">
        <v>707.57213000000002</v>
      </c>
      <c r="E154" s="394">
        <v>10351.51118</v>
      </c>
    </row>
    <row r="155" spans="1:5" x14ac:dyDescent="0.25">
      <c r="A155">
        <f t="shared" si="10"/>
        <v>2021</v>
      </c>
      <c r="B155" s="383">
        <v>44409</v>
      </c>
      <c r="C155" s="384">
        <v>10882.524309999999</v>
      </c>
      <c r="D155" s="385">
        <v>759.01935000000014</v>
      </c>
      <c r="E155" s="386">
        <v>11641.543659999999</v>
      </c>
    </row>
    <row r="156" spans="1:5" x14ac:dyDescent="0.25">
      <c r="A156">
        <f t="shared" si="10"/>
        <v>2021</v>
      </c>
      <c r="B156" s="383">
        <v>44501</v>
      </c>
      <c r="C156" s="392">
        <v>11830.472329999999</v>
      </c>
      <c r="D156" s="393">
        <v>1382.65843</v>
      </c>
      <c r="E156" s="394">
        <v>13213.130759999998</v>
      </c>
    </row>
    <row r="157" spans="1:5" x14ac:dyDescent="0.25">
      <c r="A157">
        <f t="shared" si="10"/>
        <v>2022</v>
      </c>
      <c r="B157" s="383">
        <v>44593</v>
      </c>
      <c r="C157" s="384">
        <v>13114.760879999998</v>
      </c>
      <c r="D157" s="385">
        <v>1835.5135399999999</v>
      </c>
      <c r="E157" s="386">
        <v>14950.27442</v>
      </c>
    </row>
    <row r="158" spans="1:5" x14ac:dyDescent="0.25">
      <c r="A158">
        <f t="shared" si="10"/>
        <v>2022</v>
      </c>
      <c r="B158" s="383">
        <v>44682</v>
      </c>
      <c r="C158" s="392">
        <v>9918.8628400000016</v>
      </c>
      <c r="D158" s="393">
        <v>377.53263000000004</v>
      </c>
      <c r="E158" s="394">
        <v>10296.395469999999</v>
      </c>
    </row>
    <row r="159" spans="1:5" x14ac:dyDescent="0.25">
      <c r="A159">
        <f t="shared" si="10"/>
        <v>2022</v>
      </c>
      <c r="B159" s="383">
        <v>44774</v>
      </c>
      <c r="C159" s="384">
        <v>10611.395109999999</v>
      </c>
      <c r="D159" s="385">
        <v>859.04505999999992</v>
      </c>
      <c r="E159" s="386">
        <v>11470.44017</v>
      </c>
    </row>
    <row r="160" spans="1:5" x14ac:dyDescent="0.25">
      <c r="A160">
        <f t="shared" si="10"/>
        <v>2022</v>
      </c>
      <c r="B160" s="383">
        <v>44866</v>
      </c>
      <c r="C160" s="392">
        <v>11816.197029999999</v>
      </c>
      <c r="D160" s="393">
        <v>1018.3584599999999</v>
      </c>
      <c r="E160" s="394">
        <v>12834.555489999999</v>
      </c>
    </row>
    <row r="161" spans="1:5" x14ac:dyDescent="0.25">
      <c r="A161">
        <f t="shared" si="10"/>
        <v>2023</v>
      </c>
      <c r="B161" s="383">
        <v>44958</v>
      </c>
      <c r="C161" s="384">
        <v>13863.686970000001</v>
      </c>
      <c r="D161" s="385">
        <v>398.97158999999999</v>
      </c>
      <c r="E161" s="386">
        <v>14262.65856</v>
      </c>
    </row>
    <row r="162" spans="1:5" x14ac:dyDescent="0.25">
      <c r="A162">
        <f t="shared" si="10"/>
        <v>2023</v>
      </c>
      <c r="B162" s="383">
        <v>45047</v>
      </c>
      <c r="C162" s="392">
        <v>9061.7671699999992</v>
      </c>
      <c r="D162" s="393">
        <v>420.44963999999999</v>
      </c>
      <c r="E162" s="394">
        <v>9482.2168099999981</v>
      </c>
    </row>
    <row r="163" spans="1:5" x14ac:dyDescent="0.25">
      <c r="A163">
        <f t="shared" si="10"/>
        <v>2023</v>
      </c>
      <c r="B163" s="383">
        <v>45139</v>
      </c>
      <c r="C163" s="384">
        <v>8146.5062499999995</v>
      </c>
      <c r="D163" s="385">
        <v>1286.46288</v>
      </c>
      <c r="E163" s="386">
        <v>9432.9691299999995</v>
      </c>
    </row>
    <row r="164" spans="1:5" x14ac:dyDescent="0.25">
      <c r="A164">
        <f t="shared" si="10"/>
        <v>2023</v>
      </c>
      <c r="B164" s="383">
        <v>45231</v>
      </c>
      <c r="C164" s="392">
        <v>5949.8245300000008</v>
      </c>
      <c r="D164" s="393">
        <v>1042.8290099999999</v>
      </c>
      <c r="E164" s="394">
        <v>6992.6535400000012</v>
      </c>
    </row>
    <row r="165" spans="1:5" x14ac:dyDescent="0.25">
      <c r="A165">
        <f t="shared" si="10"/>
        <v>2024</v>
      </c>
      <c r="B165" s="383">
        <v>45323</v>
      </c>
      <c r="C165" s="384">
        <v>7640.8239899999999</v>
      </c>
      <c r="D165" s="385">
        <v>971.2444200000001</v>
      </c>
      <c r="E165" s="386">
        <v>8612.0684099999999</v>
      </c>
    </row>
    <row r="166" spans="1:5" x14ac:dyDescent="0.25">
      <c r="A166">
        <f t="shared" si="10"/>
        <v>2024</v>
      </c>
      <c r="B166" s="383">
        <v>45413</v>
      </c>
      <c r="C166" s="392">
        <v>6314.6231200000002</v>
      </c>
      <c r="D166" s="393">
        <v>837.72265999999991</v>
      </c>
      <c r="E166" s="394">
        <v>7152.3457799999996</v>
      </c>
    </row>
    <row r="167" spans="1:5" x14ac:dyDescent="0.25">
      <c r="A167">
        <f t="shared" si="10"/>
        <v>2024</v>
      </c>
      <c r="B167" s="383">
        <v>45505</v>
      </c>
      <c r="C167" s="384">
        <v>9179.3018899999988</v>
      </c>
      <c r="D167" s="385">
        <v>378.37558000000001</v>
      </c>
      <c r="E167" s="386">
        <v>9557.6774700000005</v>
      </c>
    </row>
    <row r="168" spans="1:5" x14ac:dyDescent="0.25">
      <c r="A168">
        <f t="shared" si="10"/>
        <v>2024</v>
      </c>
      <c r="B168" s="383">
        <v>45597</v>
      </c>
      <c r="C168" s="392">
        <v>8418.4689400000007</v>
      </c>
      <c r="D168" s="393">
        <v>27.305320000000002</v>
      </c>
      <c r="E168" s="394">
        <v>8445.7742600000001</v>
      </c>
    </row>
    <row r="169" spans="1:5" x14ac:dyDescent="0.25">
      <c r="A169">
        <f t="shared" si="10"/>
        <v>2025</v>
      </c>
      <c r="B169" s="383">
        <v>45689</v>
      </c>
      <c r="C169" s="384">
        <v>10235.366129999999</v>
      </c>
      <c r="D169" s="385">
        <v>444.17606999999998</v>
      </c>
      <c r="E169" s="386">
        <v>10679.542199999998</v>
      </c>
    </row>
    <row r="170" spans="1:5" x14ac:dyDescent="0.25">
      <c r="A170">
        <f t="shared" si="10"/>
        <v>2025</v>
      </c>
      <c r="B170" s="383">
        <v>45778</v>
      </c>
      <c r="C170" s="392">
        <v>8997.3425200000001</v>
      </c>
      <c r="D170" s="393">
        <v>27.334219999999998</v>
      </c>
      <c r="E170" s="394">
        <v>9024.6767400000008</v>
      </c>
    </row>
    <row r="171" spans="1:5" x14ac:dyDescent="0.25">
      <c r="A171">
        <f t="shared" si="10"/>
        <v>2025</v>
      </c>
      <c r="B171" s="383">
        <v>45870</v>
      </c>
      <c r="C171" s="384">
        <v>11121.00965</v>
      </c>
      <c r="D171" s="385">
        <v>380.87880999999993</v>
      </c>
      <c r="E171" s="386">
        <v>11501.88846</v>
      </c>
    </row>
    <row r="172" spans="1:5" ht="15.75" thickBot="1" x14ac:dyDescent="0.3">
      <c r="A172">
        <v>2025</v>
      </c>
      <c r="B172" s="401">
        <v>45962</v>
      </c>
      <c r="C172" s="397">
        <v>13386.707270000001</v>
      </c>
      <c r="D172" s="397">
        <v>381.30240000000003</v>
      </c>
      <c r="E172" s="399">
        <v>13768.009670000001</v>
      </c>
    </row>
  </sheetData>
  <mergeCells count="3">
    <mergeCell ref="B7:E7"/>
    <mergeCell ref="H7:K7"/>
    <mergeCell ref="M7:P7"/>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F2ABD-C055-4F6F-B363-017EC739E182}">
  <sheetPr codeName="Sheet22">
    <pageSetUpPr autoPageBreaks="0"/>
  </sheetPr>
  <dimension ref="A1:JD12"/>
  <sheetViews>
    <sheetView showGridLines="0" zoomScale="85" zoomScaleNormal="85" workbookViewId="0">
      <pane xSplit="1" topLeftCell="B1" activePane="topRight" state="frozen"/>
      <selection pane="topRight"/>
    </sheetView>
  </sheetViews>
  <sheetFormatPr defaultRowHeight="15" x14ac:dyDescent="0.25"/>
  <cols>
    <col min="1" max="1" width="50.7109375" customWidth="1"/>
    <col min="2" max="148" width="12.7109375" customWidth="1"/>
    <col min="149" max="510" width="9.28515625" bestFit="1" customWidth="1"/>
  </cols>
  <sheetData>
    <row r="1" spans="1:264" s="320" customFormat="1" ht="15.75" customHeight="1" x14ac:dyDescent="0.2">
      <c r="A1" s="320" t="s">
        <v>170</v>
      </c>
      <c r="B1" s="320">
        <f>MONTH(B8)</f>
        <v>1</v>
      </c>
      <c r="C1" s="320">
        <f t="shared" ref="C1:BN1" si="0">MONTH(C8)</f>
        <v>2</v>
      </c>
      <c r="D1" s="320">
        <f t="shared" si="0"/>
        <v>3</v>
      </c>
      <c r="E1" s="320">
        <f t="shared" si="0"/>
        <v>4</v>
      </c>
      <c r="F1" s="320">
        <f t="shared" si="0"/>
        <v>5</v>
      </c>
      <c r="G1" s="320">
        <f t="shared" si="0"/>
        <v>6</v>
      </c>
      <c r="H1" s="320">
        <f t="shared" si="0"/>
        <v>7</v>
      </c>
      <c r="I1" s="320">
        <f t="shared" si="0"/>
        <v>8</v>
      </c>
      <c r="J1" s="320">
        <f t="shared" si="0"/>
        <v>9</v>
      </c>
      <c r="K1" s="320">
        <f t="shared" si="0"/>
        <v>10</v>
      </c>
      <c r="L1" s="320">
        <f t="shared" si="0"/>
        <v>11</v>
      </c>
      <c r="M1" s="320">
        <f t="shared" si="0"/>
        <v>12</v>
      </c>
      <c r="N1" s="320">
        <f t="shared" si="0"/>
        <v>1</v>
      </c>
      <c r="O1" s="320">
        <f t="shared" si="0"/>
        <v>2</v>
      </c>
      <c r="P1" s="320">
        <f t="shared" si="0"/>
        <v>3</v>
      </c>
      <c r="Q1" s="320">
        <f t="shared" si="0"/>
        <v>4</v>
      </c>
      <c r="R1" s="320">
        <f t="shared" si="0"/>
        <v>5</v>
      </c>
      <c r="S1" s="320">
        <f t="shared" si="0"/>
        <v>6</v>
      </c>
      <c r="T1" s="320">
        <f t="shared" si="0"/>
        <v>7</v>
      </c>
      <c r="U1" s="320">
        <f t="shared" si="0"/>
        <v>8</v>
      </c>
      <c r="V1" s="320">
        <f t="shared" si="0"/>
        <v>9</v>
      </c>
      <c r="W1" s="320">
        <f t="shared" si="0"/>
        <v>10</v>
      </c>
      <c r="X1" s="320">
        <f t="shared" si="0"/>
        <v>11</v>
      </c>
      <c r="Y1" s="320">
        <f t="shared" si="0"/>
        <v>12</v>
      </c>
      <c r="Z1" s="320">
        <f t="shared" si="0"/>
        <v>1</v>
      </c>
      <c r="AA1" s="320">
        <f t="shared" si="0"/>
        <v>2</v>
      </c>
      <c r="AB1" s="320">
        <f t="shared" si="0"/>
        <v>3</v>
      </c>
      <c r="AC1" s="320">
        <f t="shared" si="0"/>
        <v>4</v>
      </c>
      <c r="AD1" s="320">
        <f t="shared" si="0"/>
        <v>5</v>
      </c>
      <c r="AE1" s="320">
        <f t="shared" si="0"/>
        <v>6</v>
      </c>
      <c r="AF1" s="320">
        <f t="shared" si="0"/>
        <v>7</v>
      </c>
      <c r="AG1" s="320">
        <f t="shared" si="0"/>
        <v>8</v>
      </c>
      <c r="AH1" s="320">
        <f t="shared" si="0"/>
        <v>9</v>
      </c>
      <c r="AI1" s="320">
        <f t="shared" si="0"/>
        <v>10</v>
      </c>
      <c r="AJ1" s="320">
        <f t="shared" si="0"/>
        <v>11</v>
      </c>
      <c r="AK1" s="320">
        <f t="shared" si="0"/>
        <v>12</v>
      </c>
      <c r="AL1" s="320">
        <f t="shared" si="0"/>
        <v>1</v>
      </c>
      <c r="AM1" s="320">
        <f t="shared" si="0"/>
        <v>2</v>
      </c>
      <c r="AN1" s="320">
        <f t="shared" si="0"/>
        <v>3</v>
      </c>
      <c r="AO1" s="320">
        <f t="shared" si="0"/>
        <v>4</v>
      </c>
      <c r="AP1" s="320">
        <f t="shared" si="0"/>
        <v>5</v>
      </c>
      <c r="AQ1" s="320">
        <f t="shared" si="0"/>
        <v>6</v>
      </c>
      <c r="AR1" s="320">
        <f t="shared" si="0"/>
        <v>7</v>
      </c>
      <c r="AS1" s="320">
        <f t="shared" si="0"/>
        <v>8</v>
      </c>
      <c r="AT1" s="320">
        <f t="shared" si="0"/>
        <v>9</v>
      </c>
      <c r="AU1" s="320">
        <f t="shared" si="0"/>
        <v>10</v>
      </c>
      <c r="AV1" s="320">
        <f t="shared" si="0"/>
        <v>11</v>
      </c>
      <c r="AW1" s="320">
        <f t="shared" si="0"/>
        <v>12</v>
      </c>
      <c r="AX1" s="320">
        <f t="shared" si="0"/>
        <v>1</v>
      </c>
      <c r="AY1" s="320">
        <f t="shared" si="0"/>
        <v>2</v>
      </c>
      <c r="AZ1" s="320">
        <f t="shared" si="0"/>
        <v>3</v>
      </c>
      <c r="BA1" s="320">
        <f t="shared" si="0"/>
        <v>4</v>
      </c>
      <c r="BB1" s="320">
        <f t="shared" si="0"/>
        <v>5</v>
      </c>
      <c r="BC1" s="320">
        <f t="shared" si="0"/>
        <v>6</v>
      </c>
      <c r="BD1" s="320">
        <f t="shared" si="0"/>
        <v>7</v>
      </c>
      <c r="BE1" s="320">
        <f t="shared" si="0"/>
        <v>8</v>
      </c>
      <c r="BF1" s="320">
        <f t="shared" si="0"/>
        <v>9</v>
      </c>
      <c r="BG1" s="320">
        <f t="shared" si="0"/>
        <v>10</v>
      </c>
      <c r="BH1" s="320">
        <f t="shared" si="0"/>
        <v>11</v>
      </c>
      <c r="BI1" s="320">
        <f t="shared" si="0"/>
        <v>12</v>
      </c>
      <c r="BJ1" s="320">
        <f t="shared" si="0"/>
        <v>1</v>
      </c>
      <c r="BK1" s="320">
        <f t="shared" si="0"/>
        <v>2</v>
      </c>
      <c r="BL1" s="320">
        <f t="shared" si="0"/>
        <v>3</v>
      </c>
      <c r="BM1" s="320">
        <f t="shared" si="0"/>
        <v>4</v>
      </c>
      <c r="BN1" s="320">
        <f t="shared" si="0"/>
        <v>5</v>
      </c>
      <c r="BO1" s="320">
        <f t="shared" ref="BO1:DZ1" si="1">MONTH(BO8)</f>
        <v>6</v>
      </c>
      <c r="BP1" s="320">
        <f t="shared" si="1"/>
        <v>7</v>
      </c>
      <c r="BQ1" s="320">
        <f t="shared" si="1"/>
        <v>8</v>
      </c>
      <c r="BR1" s="320">
        <f t="shared" si="1"/>
        <v>9</v>
      </c>
      <c r="BS1" s="320">
        <f t="shared" si="1"/>
        <v>10</v>
      </c>
      <c r="BT1" s="320">
        <f t="shared" si="1"/>
        <v>11</v>
      </c>
      <c r="BU1" s="320">
        <f t="shared" si="1"/>
        <v>12</v>
      </c>
      <c r="BV1" s="320">
        <f t="shared" si="1"/>
        <v>1</v>
      </c>
      <c r="BW1" s="320">
        <f t="shared" si="1"/>
        <v>2</v>
      </c>
      <c r="BX1" s="320">
        <f t="shared" si="1"/>
        <v>3</v>
      </c>
      <c r="BY1" s="320">
        <f t="shared" si="1"/>
        <v>4</v>
      </c>
      <c r="BZ1" s="320">
        <f t="shared" si="1"/>
        <v>5</v>
      </c>
      <c r="CA1" s="320">
        <f t="shared" si="1"/>
        <v>6</v>
      </c>
      <c r="CB1" s="320">
        <f t="shared" si="1"/>
        <v>7</v>
      </c>
      <c r="CC1" s="320">
        <f t="shared" si="1"/>
        <v>8</v>
      </c>
      <c r="CD1" s="320">
        <f t="shared" si="1"/>
        <v>9</v>
      </c>
      <c r="CE1" s="320">
        <f t="shared" si="1"/>
        <v>10</v>
      </c>
      <c r="CF1" s="320">
        <f t="shared" si="1"/>
        <v>11</v>
      </c>
      <c r="CG1" s="320">
        <f t="shared" si="1"/>
        <v>12</v>
      </c>
      <c r="CH1" s="320">
        <f t="shared" si="1"/>
        <v>1</v>
      </c>
      <c r="CI1" s="320">
        <f t="shared" si="1"/>
        <v>2</v>
      </c>
      <c r="CJ1" s="320">
        <f t="shared" si="1"/>
        <v>3</v>
      </c>
      <c r="CK1" s="320">
        <f t="shared" si="1"/>
        <v>4</v>
      </c>
      <c r="CL1" s="320">
        <f t="shared" si="1"/>
        <v>5</v>
      </c>
      <c r="CM1" s="320">
        <f t="shared" si="1"/>
        <v>6</v>
      </c>
      <c r="CN1" s="320">
        <f t="shared" si="1"/>
        <v>7</v>
      </c>
      <c r="CO1" s="320">
        <f t="shared" si="1"/>
        <v>8</v>
      </c>
      <c r="CP1" s="320">
        <f t="shared" si="1"/>
        <v>9</v>
      </c>
      <c r="CQ1" s="320">
        <f t="shared" si="1"/>
        <v>10</v>
      </c>
      <c r="CR1" s="320">
        <f t="shared" si="1"/>
        <v>11</v>
      </c>
      <c r="CS1" s="320">
        <f t="shared" si="1"/>
        <v>12</v>
      </c>
      <c r="CT1" s="320">
        <f t="shared" si="1"/>
        <v>1</v>
      </c>
      <c r="CU1" s="320">
        <f t="shared" si="1"/>
        <v>2</v>
      </c>
      <c r="CV1" s="320">
        <f t="shared" si="1"/>
        <v>3</v>
      </c>
      <c r="CW1" s="320">
        <f t="shared" si="1"/>
        <v>4</v>
      </c>
      <c r="CX1" s="320">
        <f t="shared" si="1"/>
        <v>5</v>
      </c>
      <c r="CY1" s="320">
        <f t="shared" si="1"/>
        <v>6</v>
      </c>
      <c r="CZ1" s="320">
        <f t="shared" si="1"/>
        <v>7</v>
      </c>
      <c r="DA1" s="320">
        <f t="shared" si="1"/>
        <v>8</v>
      </c>
      <c r="DB1" s="320">
        <f t="shared" si="1"/>
        <v>9</v>
      </c>
      <c r="DC1" s="320">
        <f t="shared" si="1"/>
        <v>10</v>
      </c>
      <c r="DD1" s="320">
        <f t="shared" si="1"/>
        <v>11</v>
      </c>
      <c r="DE1" s="320">
        <f t="shared" si="1"/>
        <v>12</v>
      </c>
      <c r="DF1" s="320">
        <f t="shared" si="1"/>
        <v>1</v>
      </c>
      <c r="DG1" s="320">
        <f t="shared" si="1"/>
        <v>2</v>
      </c>
      <c r="DH1" s="320">
        <f t="shared" si="1"/>
        <v>3</v>
      </c>
      <c r="DI1" s="320">
        <f t="shared" si="1"/>
        <v>4</v>
      </c>
      <c r="DJ1" s="320">
        <f t="shared" si="1"/>
        <v>5</v>
      </c>
      <c r="DK1" s="320">
        <f t="shared" si="1"/>
        <v>6</v>
      </c>
      <c r="DL1" s="320">
        <f t="shared" si="1"/>
        <v>7</v>
      </c>
      <c r="DM1" s="320">
        <f t="shared" si="1"/>
        <v>8</v>
      </c>
      <c r="DN1" s="320">
        <f t="shared" si="1"/>
        <v>9</v>
      </c>
      <c r="DO1" s="320">
        <f t="shared" si="1"/>
        <v>10</v>
      </c>
      <c r="DP1" s="320">
        <f t="shared" si="1"/>
        <v>11</v>
      </c>
      <c r="DQ1" s="320">
        <f t="shared" si="1"/>
        <v>12</v>
      </c>
      <c r="DR1" s="320">
        <f t="shared" si="1"/>
        <v>1</v>
      </c>
      <c r="DS1" s="320">
        <f t="shared" si="1"/>
        <v>2</v>
      </c>
      <c r="DT1" s="320">
        <f t="shared" si="1"/>
        <v>3</v>
      </c>
      <c r="DU1" s="320">
        <f t="shared" si="1"/>
        <v>4</v>
      </c>
      <c r="DV1" s="320">
        <f t="shared" si="1"/>
        <v>5</v>
      </c>
      <c r="DW1" s="320">
        <f t="shared" si="1"/>
        <v>6</v>
      </c>
      <c r="DX1" s="320">
        <f t="shared" si="1"/>
        <v>7</v>
      </c>
      <c r="DY1" s="320">
        <f t="shared" si="1"/>
        <v>8</v>
      </c>
      <c r="DZ1" s="320">
        <f t="shared" si="1"/>
        <v>9</v>
      </c>
      <c r="EA1" s="320">
        <f t="shared" ref="EA1:GL1" si="2">MONTH(EA8)</f>
        <v>10</v>
      </c>
      <c r="EB1" s="320">
        <f t="shared" si="2"/>
        <v>11</v>
      </c>
      <c r="EC1" s="320">
        <f t="shared" si="2"/>
        <v>12</v>
      </c>
      <c r="ED1" s="320">
        <f t="shared" si="2"/>
        <v>1</v>
      </c>
      <c r="EE1" s="320">
        <f t="shared" si="2"/>
        <v>2</v>
      </c>
      <c r="EF1" s="320">
        <f t="shared" si="2"/>
        <v>3</v>
      </c>
      <c r="EG1" s="320">
        <f t="shared" si="2"/>
        <v>4</v>
      </c>
      <c r="EH1" s="320">
        <f t="shared" si="2"/>
        <v>5</v>
      </c>
      <c r="EI1" s="320">
        <f t="shared" si="2"/>
        <v>6</v>
      </c>
      <c r="EJ1" s="320">
        <f t="shared" si="2"/>
        <v>7</v>
      </c>
      <c r="EK1" s="320">
        <f t="shared" si="2"/>
        <v>8</v>
      </c>
      <c r="EL1" s="320">
        <f t="shared" si="2"/>
        <v>9</v>
      </c>
      <c r="EM1" s="320">
        <f t="shared" si="2"/>
        <v>10</v>
      </c>
      <c r="EN1" s="320">
        <f t="shared" si="2"/>
        <v>11</v>
      </c>
      <c r="EO1" s="320">
        <f t="shared" si="2"/>
        <v>12</v>
      </c>
      <c r="EP1" s="320">
        <f t="shared" si="2"/>
        <v>1</v>
      </c>
      <c r="EQ1" s="320">
        <f t="shared" si="2"/>
        <v>2</v>
      </c>
      <c r="ER1" s="320">
        <f t="shared" si="2"/>
        <v>3</v>
      </c>
      <c r="ES1" s="320">
        <f t="shared" si="2"/>
        <v>1</v>
      </c>
      <c r="ET1" s="320">
        <f t="shared" si="2"/>
        <v>1</v>
      </c>
      <c r="EU1" s="320">
        <f t="shared" si="2"/>
        <v>1</v>
      </c>
      <c r="EV1" s="320">
        <f t="shared" si="2"/>
        <v>1</v>
      </c>
      <c r="EW1" s="320">
        <f t="shared" si="2"/>
        <v>1</v>
      </c>
      <c r="EX1" s="320">
        <f t="shared" si="2"/>
        <v>1</v>
      </c>
      <c r="EY1" s="320">
        <f t="shared" si="2"/>
        <v>1</v>
      </c>
      <c r="EZ1" s="320">
        <f t="shared" si="2"/>
        <v>1</v>
      </c>
      <c r="FA1" s="320">
        <f t="shared" si="2"/>
        <v>1</v>
      </c>
      <c r="FB1" s="320">
        <f t="shared" si="2"/>
        <v>1</v>
      </c>
      <c r="FC1" s="320">
        <f t="shared" si="2"/>
        <v>1</v>
      </c>
      <c r="FD1" s="320">
        <f t="shared" si="2"/>
        <v>1</v>
      </c>
      <c r="FE1" s="320">
        <f t="shared" si="2"/>
        <v>1</v>
      </c>
      <c r="FF1" s="320">
        <f t="shared" si="2"/>
        <v>1</v>
      </c>
      <c r="FG1" s="320">
        <f t="shared" si="2"/>
        <v>1</v>
      </c>
      <c r="FH1" s="320">
        <f t="shared" si="2"/>
        <v>1</v>
      </c>
      <c r="FI1" s="320">
        <f t="shared" si="2"/>
        <v>1</v>
      </c>
      <c r="FJ1" s="320">
        <f t="shared" si="2"/>
        <v>1</v>
      </c>
      <c r="FK1" s="320">
        <f t="shared" si="2"/>
        <v>1</v>
      </c>
      <c r="FL1" s="320">
        <f t="shared" si="2"/>
        <v>1</v>
      </c>
      <c r="FM1" s="320">
        <f t="shared" si="2"/>
        <v>1</v>
      </c>
      <c r="FN1" s="320">
        <f t="shared" si="2"/>
        <v>1</v>
      </c>
      <c r="FO1" s="320">
        <f t="shared" si="2"/>
        <v>1</v>
      </c>
      <c r="FP1" s="320">
        <f t="shared" si="2"/>
        <v>1</v>
      </c>
      <c r="FQ1" s="320">
        <f t="shared" si="2"/>
        <v>1</v>
      </c>
      <c r="FR1" s="320">
        <f t="shared" si="2"/>
        <v>1</v>
      </c>
      <c r="FS1" s="320">
        <f t="shared" si="2"/>
        <v>1</v>
      </c>
      <c r="FT1" s="320">
        <f t="shared" si="2"/>
        <v>1</v>
      </c>
      <c r="FU1" s="320">
        <f t="shared" si="2"/>
        <v>1</v>
      </c>
      <c r="FV1" s="320">
        <f t="shared" si="2"/>
        <v>1</v>
      </c>
      <c r="FW1" s="320">
        <f t="shared" si="2"/>
        <v>1</v>
      </c>
      <c r="FX1" s="320">
        <f t="shared" si="2"/>
        <v>1</v>
      </c>
      <c r="FY1" s="320">
        <f t="shared" si="2"/>
        <v>1</v>
      </c>
      <c r="FZ1" s="320">
        <f t="shared" si="2"/>
        <v>1</v>
      </c>
      <c r="GA1" s="320">
        <f t="shared" si="2"/>
        <v>1</v>
      </c>
      <c r="GB1" s="320">
        <f t="shared" si="2"/>
        <v>1</v>
      </c>
      <c r="GC1" s="320">
        <f t="shared" si="2"/>
        <v>1</v>
      </c>
      <c r="GD1" s="320">
        <f t="shared" si="2"/>
        <v>1</v>
      </c>
      <c r="GE1" s="320">
        <f t="shared" si="2"/>
        <v>1</v>
      </c>
      <c r="GF1" s="320">
        <f t="shared" si="2"/>
        <v>1</v>
      </c>
      <c r="GG1" s="320">
        <f t="shared" si="2"/>
        <v>1</v>
      </c>
      <c r="GH1" s="320">
        <f t="shared" si="2"/>
        <v>1</v>
      </c>
      <c r="GI1" s="320">
        <f t="shared" si="2"/>
        <v>1</v>
      </c>
      <c r="GJ1" s="320">
        <f t="shared" si="2"/>
        <v>1</v>
      </c>
      <c r="GK1" s="320">
        <f t="shared" si="2"/>
        <v>1</v>
      </c>
      <c r="GL1" s="320">
        <f t="shared" si="2"/>
        <v>1</v>
      </c>
      <c r="GM1" s="320">
        <f t="shared" ref="GM1:IX1" si="3">MONTH(GM8)</f>
        <v>1</v>
      </c>
      <c r="GN1" s="320">
        <f t="shared" si="3"/>
        <v>1</v>
      </c>
      <c r="GO1" s="320">
        <f t="shared" si="3"/>
        <v>1</v>
      </c>
      <c r="GP1" s="320">
        <f t="shared" si="3"/>
        <v>1</v>
      </c>
      <c r="GQ1" s="320">
        <f t="shared" si="3"/>
        <v>1</v>
      </c>
      <c r="GR1" s="320">
        <f t="shared" si="3"/>
        <v>1</v>
      </c>
      <c r="GS1" s="320">
        <f t="shared" si="3"/>
        <v>1</v>
      </c>
      <c r="GT1" s="320">
        <f t="shared" si="3"/>
        <v>1</v>
      </c>
      <c r="GU1" s="320">
        <f t="shared" si="3"/>
        <v>1</v>
      </c>
      <c r="GV1" s="320">
        <f t="shared" si="3"/>
        <v>1</v>
      </c>
      <c r="GW1" s="320">
        <f t="shared" si="3"/>
        <v>1</v>
      </c>
      <c r="GX1" s="320">
        <f t="shared" si="3"/>
        <v>1</v>
      </c>
      <c r="GY1" s="320">
        <f t="shared" si="3"/>
        <v>1</v>
      </c>
      <c r="GZ1" s="320">
        <f t="shared" si="3"/>
        <v>1</v>
      </c>
      <c r="HA1" s="320">
        <f t="shared" si="3"/>
        <v>1</v>
      </c>
      <c r="HB1" s="320">
        <f t="shared" si="3"/>
        <v>1</v>
      </c>
      <c r="HC1" s="320">
        <f t="shared" si="3"/>
        <v>1</v>
      </c>
      <c r="HD1" s="320">
        <f t="shared" si="3"/>
        <v>1</v>
      </c>
      <c r="HE1" s="320">
        <f t="shared" si="3"/>
        <v>1</v>
      </c>
      <c r="HF1" s="320">
        <f t="shared" si="3"/>
        <v>1</v>
      </c>
      <c r="HG1" s="320">
        <f t="shared" si="3"/>
        <v>1</v>
      </c>
      <c r="HH1" s="320">
        <f t="shared" si="3"/>
        <v>1</v>
      </c>
      <c r="HI1" s="320">
        <f t="shared" si="3"/>
        <v>1</v>
      </c>
      <c r="HJ1" s="320">
        <f t="shared" si="3"/>
        <v>1</v>
      </c>
      <c r="HK1" s="320">
        <f t="shared" si="3"/>
        <v>1</v>
      </c>
      <c r="HL1" s="320">
        <f t="shared" si="3"/>
        <v>1</v>
      </c>
      <c r="HM1" s="320">
        <f t="shared" si="3"/>
        <v>1</v>
      </c>
      <c r="HN1" s="320">
        <f t="shared" si="3"/>
        <v>1</v>
      </c>
      <c r="HO1" s="320">
        <f t="shared" si="3"/>
        <v>1</v>
      </c>
      <c r="HP1" s="320">
        <f t="shared" si="3"/>
        <v>1</v>
      </c>
      <c r="HQ1" s="320">
        <f t="shared" si="3"/>
        <v>1</v>
      </c>
      <c r="HR1" s="320">
        <f t="shared" si="3"/>
        <v>1</v>
      </c>
      <c r="HS1" s="320">
        <f t="shared" si="3"/>
        <v>1</v>
      </c>
      <c r="HT1" s="320">
        <f t="shared" si="3"/>
        <v>1</v>
      </c>
      <c r="HU1" s="320">
        <f t="shared" si="3"/>
        <v>1</v>
      </c>
      <c r="HV1" s="320">
        <f t="shared" si="3"/>
        <v>1</v>
      </c>
      <c r="HW1" s="320">
        <f t="shared" si="3"/>
        <v>1</v>
      </c>
      <c r="HX1" s="320">
        <f t="shared" si="3"/>
        <v>1</v>
      </c>
      <c r="HY1" s="320">
        <f t="shared" si="3"/>
        <v>1</v>
      </c>
      <c r="HZ1" s="320">
        <f t="shared" si="3"/>
        <v>1</v>
      </c>
      <c r="IA1" s="320">
        <f t="shared" si="3"/>
        <v>1</v>
      </c>
      <c r="IB1" s="320">
        <f t="shared" si="3"/>
        <v>1</v>
      </c>
      <c r="IC1" s="320">
        <f t="shared" si="3"/>
        <v>1</v>
      </c>
      <c r="ID1" s="320">
        <f t="shared" si="3"/>
        <v>1</v>
      </c>
      <c r="IE1" s="320">
        <f t="shared" si="3"/>
        <v>1</v>
      </c>
      <c r="IF1" s="320">
        <f t="shared" si="3"/>
        <v>1</v>
      </c>
      <c r="IG1" s="320">
        <f t="shared" si="3"/>
        <v>1</v>
      </c>
      <c r="IH1" s="320">
        <f t="shared" si="3"/>
        <v>1</v>
      </c>
      <c r="II1" s="320">
        <f t="shared" si="3"/>
        <v>1</v>
      </c>
      <c r="IJ1" s="320">
        <f t="shared" si="3"/>
        <v>1</v>
      </c>
      <c r="IK1" s="320">
        <f t="shared" si="3"/>
        <v>1</v>
      </c>
      <c r="IL1" s="320">
        <f t="shared" si="3"/>
        <v>1</v>
      </c>
      <c r="IM1" s="320">
        <f t="shared" si="3"/>
        <v>1</v>
      </c>
      <c r="IN1" s="320">
        <f t="shared" si="3"/>
        <v>1</v>
      </c>
      <c r="IO1" s="320">
        <f t="shared" si="3"/>
        <v>1</v>
      </c>
      <c r="IP1" s="320">
        <f t="shared" si="3"/>
        <v>1</v>
      </c>
      <c r="IQ1" s="320">
        <f t="shared" si="3"/>
        <v>1</v>
      </c>
      <c r="IR1" s="320">
        <f t="shared" si="3"/>
        <v>1</v>
      </c>
      <c r="IS1" s="320">
        <f t="shared" si="3"/>
        <v>1</v>
      </c>
      <c r="IT1" s="320">
        <f t="shared" si="3"/>
        <v>1</v>
      </c>
      <c r="IU1" s="320">
        <f t="shared" si="3"/>
        <v>1</v>
      </c>
      <c r="IV1" s="320">
        <f t="shared" si="3"/>
        <v>1</v>
      </c>
      <c r="IW1" s="320">
        <f t="shared" si="3"/>
        <v>1</v>
      </c>
      <c r="IX1" s="320">
        <f t="shared" si="3"/>
        <v>1</v>
      </c>
      <c r="IY1" s="320">
        <f t="shared" ref="IY1:JD1" si="4">MONTH(IY8)</f>
        <v>1</v>
      </c>
      <c r="IZ1" s="320">
        <f t="shared" si="4"/>
        <v>1</v>
      </c>
      <c r="JA1" s="320">
        <f t="shared" si="4"/>
        <v>1</v>
      </c>
      <c r="JB1" s="320">
        <f t="shared" si="4"/>
        <v>1</v>
      </c>
      <c r="JC1" s="320">
        <f t="shared" si="4"/>
        <v>1</v>
      </c>
      <c r="JD1" s="320">
        <f t="shared" si="4"/>
        <v>1</v>
      </c>
    </row>
    <row r="2" spans="1:264" s="320" customFormat="1" ht="15.75" customHeight="1" x14ac:dyDescent="0.2">
      <c r="A2" s="320" t="s">
        <v>171</v>
      </c>
      <c r="B2" s="320">
        <f>YEAR(B8)</f>
        <v>2010</v>
      </c>
      <c r="C2" s="320">
        <f t="shared" ref="C2:BN2" si="5">YEAR(C8)</f>
        <v>2010</v>
      </c>
      <c r="D2" s="320">
        <f t="shared" si="5"/>
        <v>2010</v>
      </c>
      <c r="E2" s="320">
        <f t="shared" si="5"/>
        <v>2010</v>
      </c>
      <c r="F2" s="320">
        <f t="shared" si="5"/>
        <v>2010</v>
      </c>
      <c r="G2" s="320">
        <f t="shared" si="5"/>
        <v>2010</v>
      </c>
      <c r="H2" s="320">
        <f t="shared" si="5"/>
        <v>2010</v>
      </c>
      <c r="I2" s="320">
        <f t="shared" si="5"/>
        <v>2010</v>
      </c>
      <c r="J2" s="320">
        <f t="shared" si="5"/>
        <v>2010</v>
      </c>
      <c r="K2" s="320">
        <f t="shared" si="5"/>
        <v>2010</v>
      </c>
      <c r="L2" s="320">
        <f t="shared" si="5"/>
        <v>2010</v>
      </c>
      <c r="M2" s="320">
        <f t="shared" si="5"/>
        <v>2010</v>
      </c>
      <c r="N2" s="320">
        <f t="shared" si="5"/>
        <v>2011</v>
      </c>
      <c r="O2" s="320">
        <f t="shared" si="5"/>
        <v>2011</v>
      </c>
      <c r="P2" s="320">
        <f t="shared" si="5"/>
        <v>2011</v>
      </c>
      <c r="Q2" s="320">
        <f t="shared" si="5"/>
        <v>2011</v>
      </c>
      <c r="R2" s="320">
        <f t="shared" si="5"/>
        <v>2011</v>
      </c>
      <c r="S2" s="320">
        <f t="shared" si="5"/>
        <v>2011</v>
      </c>
      <c r="T2" s="320">
        <f t="shared" si="5"/>
        <v>2011</v>
      </c>
      <c r="U2" s="320">
        <f t="shared" si="5"/>
        <v>2011</v>
      </c>
      <c r="V2" s="320">
        <f t="shared" si="5"/>
        <v>2011</v>
      </c>
      <c r="W2" s="320">
        <f t="shared" si="5"/>
        <v>2011</v>
      </c>
      <c r="X2" s="320">
        <f t="shared" si="5"/>
        <v>2011</v>
      </c>
      <c r="Y2" s="320">
        <f t="shared" si="5"/>
        <v>2011</v>
      </c>
      <c r="Z2" s="320">
        <f t="shared" si="5"/>
        <v>2012</v>
      </c>
      <c r="AA2" s="320">
        <f t="shared" si="5"/>
        <v>2012</v>
      </c>
      <c r="AB2" s="320">
        <f t="shared" si="5"/>
        <v>2012</v>
      </c>
      <c r="AC2" s="320">
        <f t="shared" si="5"/>
        <v>2012</v>
      </c>
      <c r="AD2" s="320">
        <f t="shared" si="5"/>
        <v>2012</v>
      </c>
      <c r="AE2" s="320">
        <f t="shared" si="5"/>
        <v>2012</v>
      </c>
      <c r="AF2" s="320">
        <f t="shared" si="5"/>
        <v>2012</v>
      </c>
      <c r="AG2" s="320">
        <f t="shared" si="5"/>
        <v>2012</v>
      </c>
      <c r="AH2" s="320">
        <f t="shared" si="5"/>
        <v>2012</v>
      </c>
      <c r="AI2" s="320">
        <f t="shared" si="5"/>
        <v>2012</v>
      </c>
      <c r="AJ2" s="320">
        <f t="shared" si="5"/>
        <v>2012</v>
      </c>
      <c r="AK2" s="320">
        <f t="shared" si="5"/>
        <v>2012</v>
      </c>
      <c r="AL2" s="320">
        <f t="shared" si="5"/>
        <v>2013</v>
      </c>
      <c r="AM2" s="320">
        <f t="shared" si="5"/>
        <v>2013</v>
      </c>
      <c r="AN2" s="320">
        <f t="shared" si="5"/>
        <v>2013</v>
      </c>
      <c r="AO2" s="320">
        <f t="shared" si="5"/>
        <v>2013</v>
      </c>
      <c r="AP2" s="320">
        <f t="shared" si="5"/>
        <v>2013</v>
      </c>
      <c r="AQ2" s="320">
        <f t="shared" si="5"/>
        <v>2013</v>
      </c>
      <c r="AR2" s="320">
        <f t="shared" si="5"/>
        <v>2013</v>
      </c>
      <c r="AS2" s="320">
        <f t="shared" si="5"/>
        <v>2013</v>
      </c>
      <c r="AT2" s="320">
        <f t="shared" si="5"/>
        <v>2013</v>
      </c>
      <c r="AU2" s="320">
        <f t="shared" si="5"/>
        <v>2013</v>
      </c>
      <c r="AV2" s="320">
        <f t="shared" si="5"/>
        <v>2013</v>
      </c>
      <c r="AW2" s="320">
        <f t="shared" si="5"/>
        <v>2013</v>
      </c>
      <c r="AX2" s="320">
        <f t="shared" si="5"/>
        <v>2014</v>
      </c>
      <c r="AY2" s="320">
        <f t="shared" si="5"/>
        <v>2014</v>
      </c>
      <c r="AZ2" s="320">
        <f t="shared" si="5"/>
        <v>2014</v>
      </c>
      <c r="BA2" s="320">
        <f t="shared" si="5"/>
        <v>2014</v>
      </c>
      <c r="BB2" s="320">
        <f t="shared" si="5"/>
        <v>2014</v>
      </c>
      <c r="BC2" s="320">
        <f t="shared" si="5"/>
        <v>2014</v>
      </c>
      <c r="BD2" s="320">
        <f t="shared" si="5"/>
        <v>2014</v>
      </c>
      <c r="BE2" s="320">
        <f t="shared" si="5"/>
        <v>2014</v>
      </c>
      <c r="BF2" s="320">
        <f t="shared" si="5"/>
        <v>2014</v>
      </c>
      <c r="BG2" s="320">
        <f t="shared" si="5"/>
        <v>2014</v>
      </c>
      <c r="BH2" s="320">
        <f t="shared" si="5"/>
        <v>2014</v>
      </c>
      <c r="BI2" s="320">
        <f t="shared" si="5"/>
        <v>2014</v>
      </c>
      <c r="BJ2" s="320">
        <f t="shared" si="5"/>
        <v>2015</v>
      </c>
      <c r="BK2" s="320">
        <f t="shared" si="5"/>
        <v>2015</v>
      </c>
      <c r="BL2" s="320">
        <f t="shared" si="5"/>
        <v>2015</v>
      </c>
      <c r="BM2" s="320">
        <f t="shared" si="5"/>
        <v>2015</v>
      </c>
      <c r="BN2" s="320">
        <f t="shared" si="5"/>
        <v>2015</v>
      </c>
      <c r="BO2" s="320">
        <f t="shared" ref="BO2:DZ2" si="6">YEAR(BO8)</f>
        <v>2015</v>
      </c>
      <c r="BP2" s="320">
        <f t="shared" si="6"/>
        <v>2015</v>
      </c>
      <c r="BQ2" s="320">
        <f t="shared" si="6"/>
        <v>2015</v>
      </c>
      <c r="BR2" s="320">
        <f t="shared" si="6"/>
        <v>2015</v>
      </c>
      <c r="BS2" s="320">
        <f t="shared" si="6"/>
        <v>2015</v>
      </c>
      <c r="BT2" s="320">
        <f t="shared" si="6"/>
        <v>2015</v>
      </c>
      <c r="BU2" s="320">
        <f t="shared" si="6"/>
        <v>2015</v>
      </c>
      <c r="BV2" s="320">
        <f t="shared" si="6"/>
        <v>2016</v>
      </c>
      <c r="BW2" s="320">
        <f t="shared" si="6"/>
        <v>2016</v>
      </c>
      <c r="BX2" s="320">
        <f t="shared" si="6"/>
        <v>2016</v>
      </c>
      <c r="BY2" s="320">
        <f t="shared" si="6"/>
        <v>2016</v>
      </c>
      <c r="BZ2" s="320">
        <f t="shared" si="6"/>
        <v>2016</v>
      </c>
      <c r="CA2" s="320">
        <f t="shared" si="6"/>
        <v>2016</v>
      </c>
      <c r="CB2" s="320">
        <f t="shared" si="6"/>
        <v>2016</v>
      </c>
      <c r="CC2" s="320">
        <f t="shared" si="6"/>
        <v>2016</v>
      </c>
      <c r="CD2" s="320">
        <f t="shared" si="6"/>
        <v>2016</v>
      </c>
      <c r="CE2" s="320">
        <f t="shared" si="6"/>
        <v>2016</v>
      </c>
      <c r="CF2" s="320">
        <f t="shared" si="6"/>
        <v>2016</v>
      </c>
      <c r="CG2" s="320">
        <f t="shared" si="6"/>
        <v>2016</v>
      </c>
      <c r="CH2" s="320">
        <f t="shared" si="6"/>
        <v>2017</v>
      </c>
      <c r="CI2" s="320">
        <f t="shared" si="6"/>
        <v>2017</v>
      </c>
      <c r="CJ2" s="320">
        <f t="shared" si="6"/>
        <v>2017</v>
      </c>
      <c r="CK2" s="320">
        <f t="shared" si="6"/>
        <v>2017</v>
      </c>
      <c r="CL2" s="320">
        <f t="shared" si="6"/>
        <v>2017</v>
      </c>
      <c r="CM2" s="320">
        <f t="shared" si="6"/>
        <v>2017</v>
      </c>
      <c r="CN2" s="320">
        <f t="shared" si="6"/>
        <v>2017</v>
      </c>
      <c r="CO2" s="320">
        <f t="shared" si="6"/>
        <v>2017</v>
      </c>
      <c r="CP2" s="320">
        <f t="shared" si="6"/>
        <v>2017</v>
      </c>
      <c r="CQ2" s="320">
        <f t="shared" si="6"/>
        <v>2017</v>
      </c>
      <c r="CR2" s="320">
        <f t="shared" si="6"/>
        <v>2017</v>
      </c>
      <c r="CS2" s="320">
        <f t="shared" si="6"/>
        <v>2017</v>
      </c>
      <c r="CT2" s="320">
        <f t="shared" si="6"/>
        <v>2018</v>
      </c>
      <c r="CU2" s="320">
        <f t="shared" si="6"/>
        <v>2018</v>
      </c>
      <c r="CV2" s="320">
        <f t="shared" si="6"/>
        <v>2018</v>
      </c>
      <c r="CW2" s="320">
        <f t="shared" si="6"/>
        <v>2018</v>
      </c>
      <c r="CX2" s="320">
        <f t="shared" si="6"/>
        <v>2018</v>
      </c>
      <c r="CY2" s="320">
        <f t="shared" si="6"/>
        <v>2018</v>
      </c>
      <c r="CZ2" s="320">
        <f t="shared" si="6"/>
        <v>2018</v>
      </c>
      <c r="DA2" s="320">
        <f t="shared" si="6"/>
        <v>2018</v>
      </c>
      <c r="DB2" s="320">
        <f t="shared" si="6"/>
        <v>2018</v>
      </c>
      <c r="DC2" s="320">
        <f t="shared" si="6"/>
        <v>2018</v>
      </c>
      <c r="DD2" s="320">
        <f t="shared" si="6"/>
        <v>2018</v>
      </c>
      <c r="DE2" s="320">
        <f t="shared" si="6"/>
        <v>2018</v>
      </c>
      <c r="DF2" s="320">
        <f t="shared" si="6"/>
        <v>2019</v>
      </c>
      <c r="DG2" s="320">
        <f t="shared" si="6"/>
        <v>2019</v>
      </c>
      <c r="DH2" s="320">
        <f t="shared" si="6"/>
        <v>2019</v>
      </c>
      <c r="DI2" s="320">
        <f t="shared" si="6"/>
        <v>2019</v>
      </c>
      <c r="DJ2" s="320">
        <f t="shared" si="6"/>
        <v>2019</v>
      </c>
      <c r="DK2" s="320">
        <f t="shared" si="6"/>
        <v>2019</v>
      </c>
      <c r="DL2" s="320">
        <f t="shared" si="6"/>
        <v>2019</v>
      </c>
      <c r="DM2" s="320">
        <f t="shared" si="6"/>
        <v>2019</v>
      </c>
      <c r="DN2" s="320">
        <f t="shared" si="6"/>
        <v>2019</v>
      </c>
      <c r="DO2" s="320">
        <f t="shared" si="6"/>
        <v>2019</v>
      </c>
      <c r="DP2" s="320">
        <f t="shared" si="6"/>
        <v>2019</v>
      </c>
      <c r="DQ2" s="320">
        <f t="shared" si="6"/>
        <v>2019</v>
      </c>
      <c r="DR2" s="320">
        <f t="shared" si="6"/>
        <v>2020</v>
      </c>
      <c r="DS2" s="320">
        <f t="shared" si="6"/>
        <v>2020</v>
      </c>
      <c r="DT2" s="320">
        <f t="shared" si="6"/>
        <v>2020</v>
      </c>
      <c r="DU2" s="320">
        <f t="shared" si="6"/>
        <v>2020</v>
      </c>
      <c r="DV2" s="320">
        <f t="shared" si="6"/>
        <v>2020</v>
      </c>
      <c r="DW2" s="320">
        <f t="shared" si="6"/>
        <v>2020</v>
      </c>
      <c r="DX2" s="320">
        <f t="shared" si="6"/>
        <v>2020</v>
      </c>
      <c r="DY2" s="320">
        <f t="shared" si="6"/>
        <v>2020</v>
      </c>
      <c r="DZ2" s="320">
        <f t="shared" si="6"/>
        <v>2020</v>
      </c>
      <c r="EA2" s="320">
        <f t="shared" ref="EA2:GL2" si="7">YEAR(EA8)</f>
        <v>2020</v>
      </c>
      <c r="EB2" s="320">
        <f t="shared" si="7"/>
        <v>2020</v>
      </c>
      <c r="EC2" s="320">
        <f t="shared" si="7"/>
        <v>2020</v>
      </c>
      <c r="ED2" s="320">
        <f t="shared" si="7"/>
        <v>2021</v>
      </c>
      <c r="EE2" s="320">
        <f t="shared" si="7"/>
        <v>2021</v>
      </c>
      <c r="EF2" s="320">
        <f t="shared" si="7"/>
        <v>2021</v>
      </c>
      <c r="EG2" s="320">
        <f t="shared" si="7"/>
        <v>2021</v>
      </c>
      <c r="EH2" s="320">
        <f t="shared" si="7"/>
        <v>2021</v>
      </c>
      <c r="EI2" s="320">
        <f t="shared" si="7"/>
        <v>2021</v>
      </c>
      <c r="EJ2" s="320">
        <f>YEAR(EJ8)</f>
        <v>2021</v>
      </c>
      <c r="EK2" s="320">
        <f t="shared" ref="EK2:EN2" si="8">YEAR(EK8)</f>
        <v>2021</v>
      </c>
      <c r="EL2" s="320">
        <f t="shared" si="8"/>
        <v>2021</v>
      </c>
      <c r="EM2" s="320">
        <f t="shared" si="8"/>
        <v>2021</v>
      </c>
      <c r="EN2" s="320">
        <f t="shared" si="8"/>
        <v>2021</v>
      </c>
      <c r="EO2" s="320">
        <f t="shared" si="7"/>
        <v>2021</v>
      </c>
      <c r="EP2" s="320">
        <f t="shared" si="7"/>
        <v>2022</v>
      </c>
      <c r="EQ2" s="320">
        <f t="shared" si="7"/>
        <v>2022</v>
      </c>
      <c r="ER2" s="320">
        <f t="shared" si="7"/>
        <v>2022</v>
      </c>
      <c r="ES2" s="320">
        <f t="shared" si="7"/>
        <v>1900</v>
      </c>
      <c r="ET2" s="320">
        <f t="shared" si="7"/>
        <v>1900</v>
      </c>
      <c r="EU2" s="320">
        <f t="shared" si="7"/>
        <v>1900</v>
      </c>
      <c r="EV2" s="320">
        <f t="shared" si="7"/>
        <v>1900</v>
      </c>
      <c r="EW2" s="320">
        <f t="shared" si="7"/>
        <v>1900</v>
      </c>
      <c r="EX2" s="320">
        <f t="shared" si="7"/>
        <v>1900</v>
      </c>
      <c r="EY2" s="320">
        <f t="shared" si="7"/>
        <v>1900</v>
      </c>
      <c r="EZ2" s="320">
        <f t="shared" si="7"/>
        <v>1900</v>
      </c>
      <c r="FA2" s="320">
        <f t="shared" si="7"/>
        <v>1900</v>
      </c>
      <c r="FB2" s="320">
        <f t="shared" si="7"/>
        <v>1900</v>
      </c>
      <c r="FC2" s="320">
        <f t="shared" si="7"/>
        <v>1900</v>
      </c>
      <c r="FD2" s="320">
        <f t="shared" si="7"/>
        <v>1900</v>
      </c>
      <c r="FE2" s="320">
        <f t="shared" si="7"/>
        <v>1900</v>
      </c>
      <c r="FF2" s="320">
        <f t="shared" si="7"/>
        <v>1900</v>
      </c>
      <c r="FG2" s="320">
        <f t="shared" si="7"/>
        <v>1900</v>
      </c>
      <c r="FH2" s="320">
        <f t="shared" si="7"/>
        <v>1900</v>
      </c>
      <c r="FI2" s="320">
        <f t="shared" si="7"/>
        <v>1900</v>
      </c>
      <c r="FJ2" s="320">
        <f t="shared" si="7"/>
        <v>1900</v>
      </c>
      <c r="FK2" s="320">
        <f t="shared" si="7"/>
        <v>1900</v>
      </c>
      <c r="FL2" s="320">
        <f t="shared" si="7"/>
        <v>1900</v>
      </c>
      <c r="FM2" s="320">
        <f t="shared" si="7"/>
        <v>1900</v>
      </c>
      <c r="FN2" s="320">
        <f t="shared" si="7"/>
        <v>1900</v>
      </c>
      <c r="FO2" s="320">
        <f t="shared" si="7"/>
        <v>1900</v>
      </c>
      <c r="FP2" s="320">
        <f t="shared" si="7"/>
        <v>1900</v>
      </c>
      <c r="FQ2" s="320">
        <f t="shared" si="7"/>
        <v>1900</v>
      </c>
      <c r="FR2" s="320">
        <f t="shared" si="7"/>
        <v>1900</v>
      </c>
      <c r="FS2" s="320">
        <f t="shared" si="7"/>
        <v>1900</v>
      </c>
      <c r="FT2" s="320">
        <f t="shared" si="7"/>
        <v>1900</v>
      </c>
      <c r="FU2" s="320">
        <f t="shared" si="7"/>
        <v>1900</v>
      </c>
      <c r="FV2" s="320">
        <f t="shared" si="7"/>
        <v>1900</v>
      </c>
      <c r="FW2" s="320">
        <f t="shared" si="7"/>
        <v>1900</v>
      </c>
      <c r="FX2" s="320">
        <f t="shared" si="7"/>
        <v>1900</v>
      </c>
      <c r="FY2" s="320">
        <f t="shared" si="7"/>
        <v>1900</v>
      </c>
      <c r="FZ2" s="320">
        <f t="shared" si="7"/>
        <v>1900</v>
      </c>
      <c r="GA2" s="320">
        <f t="shared" si="7"/>
        <v>1900</v>
      </c>
      <c r="GB2" s="320">
        <f t="shared" si="7"/>
        <v>1900</v>
      </c>
      <c r="GC2" s="320">
        <f t="shared" si="7"/>
        <v>1900</v>
      </c>
      <c r="GD2" s="320">
        <f t="shared" si="7"/>
        <v>1900</v>
      </c>
      <c r="GE2" s="320">
        <f t="shared" si="7"/>
        <v>1900</v>
      </c>
      <c r="GF2" s="320">
        <f t="shared" si="7"/>
        <v>1900</v>
      </c>
      <c r="GG2" s="320">
        <f t="shared" si="7"/>
        <v>1900</v>
      </c>
      <c r="GH2" s="320">
        <f t="shared" si="7"/>
        <v>1900</v>
      </c>
      <c r="GI2" s="320">
        <f t="shared" si="7"/>
        <v>1900</v>
      </c>
      <c r="GJ2" s="320">
        <f t="shared" si="7"/>
        <v>1900</v>
      </c>
      <c r="GK2" s="320">
        <f t="shared" si="7"/>
        <v>1900</v>
      </c>
      <c r="GL2" s="320">
        <f t="shared" si="7"/>
        <v>1900</v>
      </c>
      <c r="GM2" s="320">
        <f t="shared" ref="GM2:IX2" si="9">YEAR(GM8)</f>
        <v>1900</v>
      </c>
      <c r="GN2" s="320">
        <f t="shared" si="9"/>
        <v>1900</v>
      </c>
      <c r="GO2" s="320">
        <f t="shared" si="9"/>
        <v>1900</v>
      </c>
      <c r="GP2" s="320">
        <f t="shared" si="9"/>
        <v>1900</v>
      </c>
      <c r="GQ2" s="320">
        <f t="shared" si="9"/>
        <v>1900</v>
      </c>
      <c r="GR2" s="320">
        <f t="shared" si="9"/>
        <v>1900</v>
      </c>
      <c r="GS2" s="320">
        <f t="shared" si="9"/>
        <v>1900</v>
      </c>
      <c r="GT2" s="320">
        <f t="shared" si="9"/>
        <v>1900</v>
      </c>
      <c r="GU2" s="320">
        <f t="shared" si="9"/>
        <v>1900</v>
      </c>
      <c r="GV2" s="320">
        <f t="shared" si="9"/>
        <v>1900</v>
      </c>
      <c r="GW2" s="320">
        <f t="shared" si="9"/>
        <v>1900</v>
      </c>
      <c r="GX2" s="320">
        <f t="shared" si="9"/>
        <v>1900</v>
      </c>
      <c r="GY2" s="320">
        <f t="shared" si="9"/>
        <v>1900</v>
      </c>
      <c r="GZ2" s="320">
        <f t="shared" si="9"/>
        <v>1900</v>
      </c>
      <c r="HA2" s="320">
        <f t="shared" si="9"/>
        <v>1900</v>
      </c>
      <c r="HB2" s="320">
        <f t="shared" si="9"/>
        <v>1900</v>
      </c>
      <c r="HC2" s="320">
        <f t="shared" si="9"/>
        <v>1900</v>
      </c>
      <c r="HD2" s="320">
        <f t="shared" si="9"/>
        <v>1900</v>
      </c>
      <c r="HE2" s="320">
        <f t="shared" si="9"/>
        <v>1900</v>
      </c>
      <c r="HF2" s="320">
        <f t="shared" si="9"/>
        <v>1900</v>
      </c>
      <c r="HG2" s="320">
        <f t="shared" si="9"/>
        <v>1900</v>
      </c>
      <c r="HH2" s="320">
        <f t="shared" si="9"/>
        <v>1900</v>
      </c>
      <c r="HI2" s="320">
        <f t="shared" si="9"/>
        <v>1900</v>
      </c>
      <c r="HJ2" s="320">
        <f t="shared" si="9"/>
        <v>1900</v>
      </c>
      <c r="HK2" s="320">
        <f t="shared" si="9"/>
        <v>1900</v>
      </c>
      <c r="HL2" s="320">
        <f t="shared" si="9"/>
        <v>1900</v>
      </c>
      <c r="HM2" s="320">
        <f t="shared" si="9"/>
        <v>1900</v>
      </c>
      <c r="HN2" s="320">
        <f t="shared" si="9"/>
        <v>1900</v>
      </c>
      <c r="HO2" s="320">
        <f t="shared" si="9"/>
        <v>1900</v>
      </c>
      <c r="HP2" s="320">
        <f t="shared" si="9"/>
        <v>1900</v>
      </c>
      <c r="HQ2" s="320">
        <f t="shared" si="9"/>
        <v>1900</v>
      </c>
      <c r="HR2" s="320">
        <f t="shared" si="9"/>
        <v>1900</v>
      </c>
      <c r="HS2" s="320">
        <f t="shared" si="9"/>
        <v>1900</v>
      </c>
      <c r="HT2" s="320">
        <f t="shared" si="9"/>
        <v>1900</v>
      </c>
      <c r="HU2" s="320">
        <f t="shared" si="9"/>
        <v>1900</v>
      </c>
      <c r="HV2" s="320">
        <f t="shared" si="9"/>
        <v>1900</v>
      </c>
      <c r="HW2" s="320">
        <f t="shared" si="9"/>
        <v>1900</v>
      </c>
      <c r="HX2" s="320">
        <f t="shared" si="9"/>
        <v>1900</v>
      </c>
      <c r="HY2" s="320">
        <f t="shared" si="9"/>
        <v>1900</v>
      </c>
      <c r="HZ2" s="320">
        <f t="shared" si="9"/>
        <v>1900</v>
      </c>
      <c r="IA2" s="320">
        <f t="shared" si="9"/>
        <v>1900</v>
      </c>
      <c r="IB2" s="320">
        <f t="shared" si="9"/>
        <v>1900</v>
      </c>
      <c r="IC2" s="320">
        <f t="shared" si="9"/>
        <v>1900</v>
      </c>
      <c r="ID2" s="320">
        <f t="shared" si="9"/>
        <v>1900</v>
      </c>
      <c r="IE2" s="320">
        <f t="shared" si="9"/>
        <v>1900</v>
      </c>
      <c r="IF2" s="320">
        <f t="shared" si="9"/>
        <v>1900</v>
      </c>
      <c r="IG2" s="320">
        <f t="shared" si="9"/>
        <v>1900</v>
      </c>
      <c r="IH2" s="320">
        <f t="shared" si="9"/>
        <v>1900</v>
      </c>
      <c r="II2" s="320">
        <f t="shared" si="9"/>
        <v>1900</v>
      </c>
      <c r="IJ2" s="320">
        <f t="shared" si="9"/>
        <v>1900</v>
      </c>
      <c r="IK2" s="320">
        <f t="shared" si="9"/>
        <v>1900</v>
      </c>
      <c r="IL2" s="320">
        <f t="shared" si="9"/>
        <v>1900</v>
      </c>
      <c r="IM2" s="320">
        <f t="shared" si="9"/>
        <v>1900</v>
      </c>
      <c r="IN2" s="320">
        <f t="shared" si="9"/>
        <v>1900</v>
      </c>
      <c r="IO2" s="320">
        <f t="shared" si="9"/>
        <v>1900</v>
      </c>
      <c r="IP2" s="320">
        <f t="shared" si="9"/>
        <v>1900</v>
      </c>
      <c r="IQ2" s="320">
        <f t="shared" si="9"/>
        <v>1900</v>
      </c>
      <c r="IR2" s="320">
        <f t="shared" si="9"/>
        <v>1900</v>
      </c>
      <c r="IS2" s="320">
        <f t="shared" si="9"/>
        <v>1900</v>
      </c>
      <c r="IT2" s="320">
        <f t="shared" si="9"/>
        <v>1900</v>
      </c>
      <c r="IU2" s="320">
        <f t="shared" si="9"/>
        <v>1900</v>
      </c>
      <c r="IV2" s="320">
        <f t="shared" si="9"/>
        <v>1900</v>
      </c>
      <c r="IW2" s="320">
        <f t="shared" si="9"/>
        <v>1900</v>
      </c>
      <c r="IX2" s="320">
        <f t="shared" si="9"/>
        <v>1900</v>
      </c>
      <c r="IY2" s="320">
        <f t="shared" ref="IY2:JD2" si="10">YEAR(IY8)</f>
        <v>1900</v>
      </c>
      <c r="IZ2" s="320">
        <f t="shared" si="10"/>
        <v>1900</v>
      </c>
      <c r="JA2" s="320">
        <f t="shared" si="10"/>
        <v>1900</v>
      </c>
      <c r="JB2" s="320">
        <f t="shared" si="10"/>
        <v>1900</v>
      </c>
      <c r="JC2" s="320">
        <f t="shared" si="10"/>
        <v>1900</v>
      </c>
      <c r="JD2" s="320">
        <f t="shared" si="10"/>
        <v>1900</v>
      </c>
    </row>
    <row r="3" spans="1:264" ht="15.75" customHeight="1" x14ac:dyDescent="0.25"/>
    <row r="4" spans="1:264" ht="15.75" customHeight="1" x14ac:dyDescent="0.25"/>
    <row r="7" spans="1:264" ht="15.75" thickBot="1" x14ac:dyDescent="0.3">
      <c r="A7" s="4" t="s">
        <v>546</v>
      </c>
    </row>
    <row r="8" spans="1:264" x14ac:dyDescent="0.25">
      <c r="A8" s="402"/>
      <c r="B8" s="403">
        <v>40179</v>
      </c>
      <c r="C8" s="330">
        <v>40210</v>
      </c>
      <c r="D8" s="330">
        <v>40238</v>
      </c>
      <c r="E8" s="330">
        <v>40269</v>
      </c>
      <c r="F8" s="330">
        <v>40299</v>
      </c>
      <c r="G8" s="330">
        <v>40330</v>
      </c>
      <c r="H8" s="330">
        <v>40360</v>
      </c>
      <c r="I8" s="330">
        <v>40391</v>
      </c>
      <c r="J8" s="330">
        <v>40422</v>
      </c>
      <c r="K8" s="330">
        <v>40452</v>
      </c>
      <c r="L8" s="330">
        <v>40483</v>
      </c>
      <c r="M8" s="330">
        <v>40513</v>
      </c>
      <c r="N8" s="330">
        <v>40544</v>
      </c>
      <c r="O8" s="330">
        <v>40575</v>
      </c>
      <c r="P8" s="330">
        <v>40603</v>
      </c>
      <c r="Q8" s="330">
        <v>40634</v>
      </c>
      <c r="R8" s="330">
        <v>40664</v>
      </c>
      <c r="S8" s="330">
        <v>40695</v>
      </c>
      <c r="T8" s="330">
        <v>40725</v>
      </c>
      <c r="U8" s="330">
        <v>40756</v>
      </c>
      <c r="V8" s="330">
        <v>40787</v>
      </c>
      <c r="W8" s="330">
        <v>40817</v>
      </c>
      <c r="X8" s="330">
        <v>40848</v>
      </c>
      <c r="Y8" s="330">
        <v>40878</v>
      </c>
      <c r="Z8" s="330">
        <v>40909</v>
      </c>
      <c r="AA8" s="330">
        <v>40940</v>
      </c>
      <c r="AB8" s="330">
        <v>40969</v>
      </c>
      <c r="AC8" s="330">
        <v>41000</v>
      </c>
      <c r="AD8" s="330">
        <v>41030</v>
      </c>
      <c r="AE8" s="330">
        <v>41061</v>
      </c>
      <c r="AF8" s="330">
        <v>41091</v>
      </c>
      <c r="AG8" s="330">
        <v>41122</v>
      </c>
      <c r="AH8" s="330">
        <v>41153</v>
      </c>
      <c r="AI8" s="330">
        <v>41183</v>
      </c>
      <c r="AJ8" s="330">
        <v>41214</v>
      </c>
      <c r="AK8" s="330">
        <v>41244</v>
      </c>
      <c r="AL8" s="330">
        <v>41275</v>
      </c>
      <c r="AM8" s="330">
        <v>41306</v>
      </c>
      <c r="AN8" s="330">
        <v>41334</v>
      </c>
      <c r="AO8" s="330">
        <v>41365</v>
      </c>
      <c r="AP8" s="330">
        <v>41395</v>
      </c>
      <c r="AQ8" s="330">
        <v>41426</v>
      </c>
      <c r="AR8" s="330">
        <v>41456</v>
      </c>
      <c r="AS8" s="330">
        <v>41487</v>
      </c>
      <c r="AT8" s="330">
        <v>41518</v>
      </c>
      <c r="AU8" s="330">
        <v>41548</v>
      </c>
      <c r="AV8" s="330">
        <v>41579</v>
      </c>
      <c r="AW8" s="330">
        <v>41609</v>
      </c>
      <c r="AX8" s="330">
        <v>41640</v>
      </c>
      <c r="AY8" s="330">
        <v>41671</v>
      </c>
      <c r="AZ8" s="330">
        <v>41699</v>
      </c>
      <c r="BA8" s="330">
        <v>41730</v>
      </c>
      <c r="BB8" s="330">
        <v>41760</v>
      </c>
      <c r="BC8" s="330">
        <v>41791</v>
      </c>
      <c r="BD8" s="330">
        <v>41821</v>
      </c>
      <c r="BE8" s="330">
        <v>41852</v>
      </c>
      <c r="BF8" s="330">
        <v>41883</v>
      </c>
      <c r="BG8" s="330">
        <v>41913</v>
      </c>
      <c r="BH8" s="330">
        <v>41944</v>
      </c>
      <c r="BI8" s="330">
        <v>41974</v>
      </c>
      <c r="BJ8" s="330">
        <v>42005</v>
      </c>
      <c r="BK8" s="330">
        <v>42036</v>
      </c>
      <c r="BL8" s="330">
        <v>42064</v>
      </c>
      <c r="BM8" s="330">
        <v>42095</v>
      </c>
      <c r="BN8" s="330">
        <v>42125</v>
      </c>
      <c r="BO8" s="330">
        <v>42156</v>
      </c>
      <c r="BP8" s="330">
        <v>42186</v>
      </c>
      <c r="BQ8" s="330">
        <v>42217</v>
      </c>
      <c r="BR8" s="330">
        <v>42248</v>
      </c>
      <c r="BS8" s="330">
        <v>42278</v>
      </c>
      <c r="BT8" s="330">
        <v>42309</v>
      </c>
      <c r="BU8" s="330">
        <v>42339</v>
      </c>
      <c r="BV8" s="330">
        <v>42370</v>
      </c>
      <c r="BW8" s="330">
        <v>42401</v>
      </c>
      <c r="BX8" s="330">
        <v>42430</v>
      </c>
      <c r="BY8" s="330">
        <v>42461</v>
      </c>
      <c r="BZ8" s="330">
        <v>42491</v>
      </c>
      <c r="CA8" s="330">
        <v>42522</v>
      </c>
      <c r="CB8" s="330">
        <v>42552</v>
      </c>
      <c r="CC8" s="330">
        <v>42583</v>
      </c>
      <c r="CD8" s="330">
        <v>42614</v>
      </c>
      <c r="CE8" s="330">
        <v>42644</v>
      </c>
      <c r="CF8" s="330">
        <v>42675</v>
      </c>
      <c r="CG8" s="330">
        <v>42705</v>
      </c>
      <c r="CH8" s="330">
        <v>42736</v>
      </c>
      <c r="CI8" s="330">
        <v>42767</v>
      </c>
      <c r="CJ8" s="330">
        <v>42795</v>
      </c>
      <c r="CK8" s="330">
        <v>42826</v>
      </c>
      <c r="CL8" s="330">
        <v>42856</v>
      </c>
      <c r="CM8" s="330">
        <v>42887</v>
      </c>
      <c r="CN8" s="330">
        <v>42917</v>
      </c>
      <c r="CO8" s="330">
        <v>42948</v>
      </c>
      <c r="CP8" s="330">
        <v>42979</v>
      </c>
      <c r="CQ8" s="330">
        <v>43009</v>
      </c>
      <c r="CR8" s="330">
        <v>43040</v>
      </c>
      <c r="CS8" s="330">
        <v>43070</v>
      </c>
      <c r="CT8" s="330">
        <v>43101</v>
      </c>
      <c r="CU8" s="330">
        <v>43132</v>
      </c>
      <c r="CV8" s="330">
        <v>43160</v>
      </c>
      <c r="CW8" s="330">
        <v>43191</v>
      </c>
      <c r="CX8" s="330">
        <v>43221</v>
      </c>
      <c r="CY8" s="330">
        <v>43252</v>
      </c>
      <c r="CZ8" s="330">
        <v>43282</v>
      </c>
      <c r="DA8" s="330">
        <v>43313</v>
      </c>
      <c r="DB8" s="330">
        <v>43344</v>
      </c>
      <c r="DC8" s="330">
        <v>43374</v>
      </c>
      <c r="DD8" s="330">
        <v>43405</v>
      </c>
      <c r="DE8" s="330">
        <v>43435</v>
      </c>
      <c r="DF8" s="330">
        <v>43466</v>
      </c>
      <c r="DG8" s="330">
        <v>43497</v>
      </c>
      <c r="DH8" s="330">
        <v>43525</v>
      </c>
      <c r="DI8" s="330">
        <v>43556</v>
      </c>
      <c r="DJ8" s="330">
        <v>43586</v>
      </c>
      <c r="DK8" s="330">
        <v>43617</v>
      </c>
      <c r="DL8" s="330">
        <v>43647</v>
      </c>
      <c r="DM8" s="330">
        <v>43678</v>
      </c>
      <c r="DN8" s="330">
        <v>43709</v>
      </c>
      <c r="DO8" s="330">
        <v>43739</v>
      </c>
      <c r="DP8" s="330">
        <v>43770</v>
      </c>
      <c r="DQ8" s="330">
        <v>43800</v>
      </c>
      <c r="DR8" s="330">
        <v>43831</v>
      </c>
      <c r="DS8" s="330">
        <v>43862</v>
      </c>
      <c r="DT8" s="330">
        <v>43891</v>
      </c>
      <c r="DU8" s="330">
        <v>43922</v>
      </c>
      <c r="DV8" s="330">
        <v>43952</v>
      </c>
      <c r="DW8" s="330">
        <v>43983</v>
      </c>
      <c r="DX8" s="330">
        <v>44013</v>
      </c>
      <c r="DY8" s="330">
        <v>44044</v>
      </c>
      <c r="DZ8" s="330">
        <v>44075</v>
      </c>
      <c r="EA8" s="330">
        <v>44105</v>
      </c>
      <c r="EB8" s="330">
        <v>44136</v>
      </c>
      <c r="EC8" s="330">
        <v>44166</v>
      </c>
      <c r="ED8" s="330">
        <v>44197</v>
      </c>
      <c r="EE8" s="330">
        <v>44228</v>
      </c>
      <c r="EF8" s="330">
        <v>44256</v>
      </c>
      <c r="EG8" s="330">
        <v>44287</v>
      </c>
      <c r="EH8" s="330">
        <v>44317</v>
      </c>
      <c r="EI8" s="330">
        <v>44348</v>
      </c>
      <c r="EJ8" s="330">
        <v>44378</v>
      </c>
      <c r="EK8" s="330">
        <v>44409</v>
      </c>
      <c r="EL8" s="330">
        <v>44440</v>
      </c>
      <c r="EM8" s="330">
        <v>44470</v>
      </c>
      <c r="EN8" s="330">
        <v>44501</v>
      </c>
      <c r="EO8" s="330">
        <v>44531</v>
      </c>
      <c r="EP8" s="330">
        <v>44562</v>
      </c>
      <c r="EQ8" s="330">
        <v>44593</v>
      </c>
      <c r="ER8" s="404">
        <v>44621</v>
      </c>
      <c r="ES8" s="405"/>
      <c r="ET8" s="405"/>
      <c r="EU8" s="405"/>
    </row>
    <row r="9" spans="1:264" x14ac:dyDescent="0.25">
      <c r="A9" s="358" t="s">
        <v>547</v>
      </c>
      <c r="B9" s="406">
        <v>528.07802112312083</v>
      </c>
      <c r="C9" s="407">
        <v>565.40402261616089</v>
      </c>
      <c r="D9" s="407">
        <v>561.5160224606409</v>
      </c>
      <c r="E9" s="407">
        <v>560.01602240064085</v>
      </c>
      <c r="F9" s="407">
        <v>602.80202411208097</v>
      </c>
      <c r="G9" s="407">
        <v>530.55002122200085</v>
      </c>
      <c r="H9" s="407">
        <v>553.05002212200088</v>
      </c>
      <c r="I9" s="407">
        <v>459.42001837680073</v>
      </c>
      <c r="J9" s="407">
        <v>528.73802114952082</v>
      </c>
      <c r="K9" s="407">
        <v>538.96202155848084</v>
      </c>
      <c r="L9" s="407">
        <v>529.45202117808083</v>
      </c>
      <c r="M9" s="407">
        <v>541.68602166744085</v>
      </c>
      <c r="N9" s="407">
        <v>602.10002408400089</v>
      </c>
      <c r="O9" s="407">
        <v>601.49402405976093</v>
      </c>
      <c r="P9" s="407">
        <v>609.7560243902409</v>
      </c>
      <c r="Q9" s="407">
        <v>602.35802409432097</v>
      </c>
      <c r="R9" s="407">
        <v>655.986026239441</v>
      </c>
      <c r="S9" s="407">
        <v>688.85402755416112</v>
      </c>
      <c r="T9" s="407">
        <v>783.96003135840124</v>
      </c>
      <c r="U9" s="407">
        <v>871.52403486096136</v>
      </c>
      <c r="V9" s="407">
        <v>709.54802838192109</v>
      </c>
      <c r="W9" s="407">
        <v>717.81002871240116</v>
      </c>
      <c r="X9" s="407">
        <v>720.63002882520107</v>
      </c>
      <c r="Y9" s="407">
        <v>727.84202911368118</v>
      </c>
      <c r="Z9" s="407">
        <v>723.90602895624113</v>
      </c>
      <c r="AA9" s="407">
        <v>700.09202800368109</v>
      </c>
      <c r="AB9" s="407">
        <v>710.34002841360109</v>
      </c>
      <c r="AC9" s="407">
        <v>677.1600270864011</v>
      </c>
      <c r="AD9" s="407">
        <v>723.07802892312111</v>
      </c>
      <c r="AE9" s="407">
        <v>724.12202896488111</v>
      </c>
      <c r="AF9" s="407">
        <v>993.09003972360154</v>
      </c>
      <c r="AG9" s="407">
        <v>1279.2420511696821</v>
      </c>
      <c r="AH9" s="407">
        <v>1095.5100438204017</v>
      </c>
      <c r="AI9" s="407">
        <v>754.38603017544119</v>
      </c>
      <c r="AJ9" s="407">
        <v>767.69403070776116</v>
      </c>
      <c r="AK9" s="407">
        <v>719.70602878824116</v>
      </c>
      <c r="AL9" s="407">
        <v>706.71602826864114</v>
      </c>
      <c r="AM9" s="407">
        <v>695.39402781576109</v>
      </c>
      <c r="AN9" s="407">
        <v>717.28202869128108</v>
      </c>
      <c r="AO9" s="407">
        <v>774.50403098016125</v>
      </c>
      <c r="AP9" s="407">
        <v>839.40003357600131</v>
      </c>
      <c r="AQ9" s="407">
        <v>900.86403603456142</v>
      </c>
      <c r="AR9" s="407">
        <v>867.60603470424132</v>
      </c>
      <c r="AS9" s="407">
        <v>869.84403479376135</v>
      </c>
      <c r="AT9" s="407">
        <v>962.38803849552153</v>
      </c>
      <c r="AU9" s="407">
        <v>823.65603294624123</v>
      </c>
      <c r="AV9" s="407">
        <v>731.93402927736111</v>
      </c>
      <c r="AW9" s="407">
        <v>649.644025985761</v>
      </c>
      <c r="AX9" s="407">
        <v>662.55002650200106</v>
      </c>
      <c r="AY9" s="407">
        <v>616.46402465856102</v>
      </c>
      <c r="AZ9" s="407">
        <v>635.52602542104103</v>
      </c>
      <c r="BA9" s="407">
        <v>618.84002475360091</v>
      </c>
      <c r="BB9" s="407">
        <v>692.97002771880113</v>
      </c>
      <c r="BC9" s="407">
        <v>632.29802529192102</v>
      </c>
      <c r="BD9" s="407">
        <v>726.11402904456111</v>
      </c>
      <c r="BE9" s="407">
        <v>646.71602586864105</v>
      </c>
      <c r="BF9" s="407">
        <v>602.28002409120097</v>
      </c>
      <c r="BG9" s="407">
        <v>603.17402412696094</v>
      </c>
      <c r="BH9" s="407">
        <v>570.44402281776092</v>
      </c>
      <c r="BI9" s="407">
        <v>545.06402180256089</v>
      </c>
      <c r="BJ9" s="407">
        <v>552.00602208024088</v>
      </c>
      <c r="BK9" s="407">
        <v>543.59402174376089</v>
      </c>
      <c r="BL9" s="407">
        <v>587.6760235070409</v>
      </c>
      <c r="BM9" s="407">
        <v>569.65802278632088</v>
      </c>
      <c r="BN9" s="407">
        <v>554.0520221620809</v>
      </c>
      <c r="BO9" s="407">
        <v>561.82802247312088</v>
      </c>
      <c r="BP9" s="407">
        <v>591.59402366376094</v>
      </c>
      <c r="BQ9" s="407">
        <v>599.29202397168092</v>
      </c>
      <c r="BR9" s="407">
        <v>581.45402325816087</v>
      </c>
      <c r="BS9" s="407">
        <v>577.21202308848092</v>
      </c>
      <c r="BT9" s="407">
        <v>559.6200223848009</v>
      </c>
      <c r="BU9" s="407">
        <v>502.75802011032079</v>
      </c>
      <c r="BV9" s="407">
        <v>481.79401927176076</v>
      </c>
      <c r="BW9" s="407">
        <v>479.91001919640075</v>
      </c>
      <c r="BX9" s="407">
        <v>476.66401906656074</v>
      </c>
      <c r="BY9" s="407">
        <v>463.5720185428807</v>
      </c>
      <c r="BZ9" s="407">
        <v>482.32201929288073</v>
      </c>
      <c r="CA9" s="407">
        <v>483.78601935144076</v>
      </c>
      <c r="CB9" s="407">
        <v>460.47001841880069</v>
      </c>
      <c r="CC9" s="407">
        <v>470.06401880256072</v>
      </c>
      <c r="CD9" s="407">
        <v>463.48801853952074</v>
      </c>
      <c r="CE9" s="407">
        <v>435.78601743144065</v>
      </c>
      <c r="CF9" s="407">
        <v>568.36802273472085</v>
      </c>
      <c r="CG9" s="407">
        <v>579.64802318592092</v>
      </c>
      <c r="CH9" s="407">
        <v>558.16202232648084</v>
      </c>
      <c r="CI9" s="407">
        <v>625.00802500032103</v>
      </c>
      <c r="CJ9" s="407">
        <v>587.31002349240089</v>
      </c>
      <c r="CK9" s="407">
        <v>573.75602295024089</v>
      </c>
      <c r="CL9" s="407">
        <v>632.39402529576103</v>
      </c>
      <c r="CM9" s="407">
        <v>633.57602534304101</v>
      </c>
      <c r="CN9" s="407">
        <v>592.96202371848096</v>
      </c>
      <c r="CO9" s="407">
        <v>569.4420227776809</v>
      </c>
      <c r="CP9" s="407">
        <v>530.33402121336087</v>
      </c>
      <c r="CQ9" s="407">
        <v>501.33002005320077</v>
      </c>
      <c r="CR9" s="407">
        <v>501.96002007840076</v>
      </c>
      <c r="CS9" s="407">
        <v>477.69001910760073</v>
      </c>
      <c r="CT9" s="407">
        <v>441.90601767624071</v>
      </c>
      <c r="CU9" s="407">
        <v>457.05001828200074</v>
      </c>
      <c r="CV9" s="407">
        <v>519.64202078568076</v>
      </c>
      <c r="CW9" s="407">
        <v>546.24002184960079</v>
      </c>
      <c r="CX9" s="407">
        <v>520.05602080224082</v>
      </c>
      <c r="CY9" s="407">
        <v>484.11001936440073</v>
      </c>
      <c r="CZ9" s="407">
        <v>487.61401950456076</v>
      </c>
      <c r="DA9" s="407">
        <v>492.24001968960079</v>
      </c>
      <c r="DB9" s="407">
        <v>537.42002149680081</v>
      </c>
      <c r="DC9" s="407">
        <v>683.80802735232112</v>
      </c>
      <c r="DD9" s="407">
        <v>612.5580245023209</v>
      </c>
      <c r="DE9" s="407">
        <v>456.12601824504071</v>
      </c>
      <c r="DF9" s="407">
        <v>442.53001770120068</v>
      </c>
      <c r="DG9" s="407">
        <v>456.82201827288071</v>
      </c>
      <c r="DH9" s="407">
        <v>547.7100219084009</v>
      </c>
      <c r="DI9" s="407">
        <v>455.62801822512068</v>
      </c>
      <c r="DJ9" s="407">
        <v>514.07402056296075</v>
      </c>
      <c r="DK9" s="407">
        <v>499.00201996008076</v>
      </c>
      <c r="DL9" s="407">
        <v>501.5760200630408</v>
      </c>
      <c r="DM9" s="407">
        <v>526.47002105880085</v>
      </c>
      <c r="DN9" s="407">
        <v>539.88602159544087</v>
      </c>
      <c r="DO9" s="407">
        <v>512.8860205154408</v>
      </c>
      <c r="DP9" s="407">
        <v>507.04202028168078</v>
      </c>
      <c r="DQ9" s="407">
        <v>463.5240185409607</v>
      </c>
      <c r="DR9" s="407">
        <v>467.75064498710032</v>
      </c>
      <c r="DS9" s="407">
        <v>475.70048599028024</v>
      </c>
      <c r="DT9" s="407">
        <v>552.45095098098045</v>
      </c>
      <c r="DU9" s="407">
        <v>460.39479210415794</v>
      </c>
      <c r="DV9" s="407">
        <v>475.80848383032344</v>
      </c>
      <c r="DW9" s="408">
        <v>458.96682066358676</v>
      </c>
      <c r="DX9" s="407">
        <v>727</v>
      </c>
      <c r="DY9" s="407">
        <v>719</v>
      </c>
      <c r="DZ9" s="407">
        <v>698</v>
      </c>
      <c r="EA9" s="407">
        <v>692</v>
      </c>
      <c r="EB9" s="407">
        <v>706</v>
      </c>
      <c r="EC9" s="407">
        <v>699</v>
      </c>
      <c r="ED9" s="407">
        <v>641</v>
      </c>
      <c r="EE9" s="407">
        <v>667</v>
      </c>
      <c r="EF9" s="407">
        <v>712</v>
      </c>
      <c r="EG9" s="407">
        <v>744</v>
      </c>
      <c r="EH9" s="407">
        <v>732</v>
      </c>
      <c r="EI9" s="407">
        <v>781</v>
      </c>
      <c r="EJ9" s="407">
        <v>713</v>
      </c>
      <c r="EK9" s="407">
        <v>722</v>
      </c>
      <c r="EL9" s="407">
        <v>755</v>
      </c>
      <c r="EM9" s="407">
        <v>715</v>
      </c>
      <c r="EN9" s="407">
        <v>741</v>
      </c>
      <c r="EO9" s="407">
        <v>731</v>
      </c>
      <c r="EP9" s="407">
        <v>641</v>
      </c>
      <c r="EQ9" s="407">
        <v>803</v>
      </c>
      <c r="ER9" s="409">
        <v>735</v>
      </c>
      <c r="ES9" s="410"/>
      <c r="ET9" s="410"/>
      <c r="EU9" s="410"/>
    </row>
    <row r="10" spans="1:264" x14ac:dyDescent="0.25">
      <c r="A10" s="358" t="s">
        <v>232</v>
      </c>
      <c r="B10" s="411">
        <v>1490.8860596354423</v>
      </c>
      <c r="C10" s="412">
        <v>1208.5860483434419</v>
      </c>
      <c r="D10" s="412">
        <v>1152.7260461090418</v>
      </c>
      <c r="E10" s="412">
        <v>1178.4780471391218</v>
      </c>
      <c r="F10" s="412">
        <v>1178.2680471307219</v>
      </c>
      <c r="G10" s="412">
        <v>1475.4960590198423</v>
      </c>
      <c r="H10" s="412">
        <v>1614.4800645792025</v>
      </c>
      <c r="I10" s="412">
        <v>2121.8040848721635</v>
      </c>
      <c r="J10" s="412">
        <v>2410.9560964382435</v>
      </c>
      <c r="K10" s="412">
        <v>2474.922098996884</v>
      </c>
      <c r="L10" s="412">
        <v>2648.2561059302443</v>
      </c>
      <c r="M10" s="412">
        <v>2649.5281059811241</v>
      </c>
      <c r="N10" s="412">
        <v>2416.1760966470438</v>
      </c>
      <c r="O10" s="412">
        <v>1468.8000587520023</v>
      </c>
      <c r="P10" s="412">
        <v>1619.7900647916026</v>
      </c>
      <c r="Q10" s="412">
        <v>1327.974053118962</v>
      </c>
      <c r="R10" s="412">
        <v>1475.5320590212823</v>
      </c>
      <c r="S10" s="412">
        <v>1563.8280625531224</v>
      </c>
      <c r="T10" s="412">
        <v>1508.1060603242424</v>
      </c>
      <c r="U10" s="412">
        <v>1702.3380680935227</v>
      </c>
      <c r="V10" s="412">
        <v>2354.1060941642436</v>
      </c>
      <c r="W10" s="412">
        <v>1872.7980749119229</v>
      </c>
      <c r="X10" s="412">
        <v>1783.3260713330428</v>
      </c>
      <c r="Y10" s="412">
        <v>1979.8200791928032</v>
      </c>
      <c r="Z10" s="412">
        <v>1308.8580523543221</v>
      </c>
      <c r="AA10" s="412">
        <v>2322.1020928840835</v>
      </c>
      <c r="AB10" s="412">
        <v>3196.3981278559249</v>
      </c>
      <c r="AC10" s="412">
        <v>2759.2921103716844</v>
      </c>
      <c r="AD10" s="412">
        <v>2866.7461146698442</v>
      </c>
      <c r="AE10" s="412">
        <v>3350.7121340284853</v>
      </c>
      <c r="AF10" s="412">
        <v>1933.5840773433631</v>
      </c>
      <c r="AG10" s="412">
        <v>2097.9660839186431</v>
      </c>
      <c r="AH10" s="412">
        <v>1923.708076948323</v>
      </c>
      <c r="AI10" s="412">
        <v>2066.1600826464032</v>
      </c>
      <c r="AJ10" s="412">
        <v>2432.1600972864039</v>
      </c>
      <c r="AK10" s="412">
        <v>2212.6500885060036</v>
      </c>
      <c r="AL10" s="412">
        <v>1666.0020666400826</v>
      </c>
      <c r="AM10" s="412">
        <v>2119.5600847824035</v>
      </c>
      <c r="AN10" s="412">
        <v>2008.7640803505631</v>
      </c>
      <c r="AO10" s="412">
        <v>2134.0200853608035</v>
      </c>
      <c r="AP10" s="412">
        <v>2392.7760957110436</v>
      </c>
      <c r="AQ10" s="412">
        <v>2505.4441002177641</v>
      </c>
      <c r="AR10" s="412">
        <v>2230.8300892332036</v>
      </c>
      <c r="AS10" s="412">
        <v>1580.3940632157626</v>
      </c>
      <c r="AT10" s="412">
        <v>1532.4960612998425</v>
      </c>
      <c r="AU10" s="412">
        <v>1698.1140679245627</v>
      </c>
      <c r="AV10" s="412">
        <v>1634.1900653676025</v>
      </c>
      <c r="AW10" s="412">
        <v>1060.3020424120816</v>
      </c>
      <c r="AX10" s="412">
        <v>1201.5120480604819</v>
      </c>
      <c r="AY10" s="412">
        <v>1041.3000416520017</v>
      </c>
      <c r="AZ10" s="412">
        <v>1140.1680456067218</v>
      </c>
      <c r="BA10" s="412">
        <v>1140.1920456076818</v>
      </c>
      <c r="BB10" s="412">
        <v>1284.8880513955221</v>
      </c>
      <c r="BC10" s="412">
        <v>1543.7460617498425</v>
      </c>
      <c r="BD10" s="412">
        <v>1569.4560627782425</v>
      </c>
      <c r="BE10" s="412">
        <v>1844.3280737731229</v>
      </c>
      <c r="BF10" s="412">
        <v>1784.5260713810428</v>
      </c>
      <c r="BG10" s="412">
        <v>1936.3620774544829</v>
      </c>
      <c r="BH10" s="412">
        <v>2017.3980806959232</v>
      </c>
      <c r="BI10" s="412">
        <v>1470.8700588348022</v>
      </c>
      <c r="BJ10" s="412">
        <v>1490.4360596174424</v>
      </c>
      <c r="BK10" s="412">
        <v>1278.9660511586419</v>
      </c>
      <c r="BL10" s="412">
        <v>1344.0900537636021</v>
      </c>
      <c r="BM10" s="412">
        <v>1449.7080579883223</v>
      </c>
      <c r="BN10" s="412">
        <v>1558.8360623534425</v>
      </c>
      <c r="BO10" s="412">
        <v>1479.6600591864023</v>
      </c>
      <c r="BP10" s="412">
        <v>1595.5200638208025</v>
      </c>
      <c r="BQ10" s="412">
        <v>1551.4860620594425</v>
      </c>
      <c r="BR10" s="412">
        <v>1278.5460511418421</v>
      </c>
      <c r="BS10" s="412">
        <v>1523.1660609266423</v>
      </c>
      <c r="BT10" s="412">
        <v>1028.3040411321615</v>
      </c>
      <c r="BU10" s="412">
        <v>839.29203357168126</v>
      </c>
      <c r="BV10" s="412">
        <v>684.17402736696101</v>
      </c>
      <c r="BW10" s="412">
        <v>546.73802186952082</v>
      </c>
      <c r="BX10" s="412">
        <v>526.72202106888085</v>
      </c>
      <c r="BY10" s="412">
        <v>507.1740202869608</v>
      </c>
      <c r="BZ10" s="412">
        <v>451.74601806984072</v>
      </c>
      <c r="CA10" s="412">
        <v>370.21801480872057</v>
      </c>
      <c r="CB10" s="412">
        <v>366.10201464408055</v>
      </c>
      <c r="CC10" s="412">
        <v>446.88001787520068</v>
      </c>
      <c r="CD10" s="412">
        <v>395.09401580376061</v>
      </c>
      <c r="CE10" s="412">
        <v>664.81802659272103</v>
      </c>
      <c r="CF10" s="412">
        <v>780.36003121440126</v>
      </c>
      <c r="CG10" s="412">
        <v>786.15003144600121</v>
      </c>
      <c r="CH10" s="412">
        <v>665.89802663592104</v>
      </c>
      <c r="CI10" s="412">
        <v>616.37402465496098</v>
      </c>
      <c r="CJ10" s="412">
        <v>707.71802830872105</v>
      </c>
      <c r="CK10" s="412">
        <v>747.07802988312119</v>
      </c>
      <c r="CL10" s="412">
        <v>794.67603178704121</v>
      </c>
      <c r="CM10" s="412">
        <v>831.16803324672128</v>
      </c>
      <c r="CN10" s="412">
        <v>752.29803009192119</v>
      </c>
      <c r="CO10" s="412">
        <v>728.55602914224119</v>
      </c>
      <c r="CP10" s="412">
        <v>734.1000293640011</v>
      </c>
      <c r="CQ10" s="412">
        <v>806.89803227592131</v>
      </c>
      <c r="CR10" s="412">
        <v>643.91402575656105</v>
      </c>
      <c r="CS10" s="412">
        <v>523.41602093664085</v>
      </c>
      <c r="CT10" s="412">
        <v>477.03601908144077</v>
      </c>
      <c r="CU10" s="412">
        <v>507.97802031912079</v>
      </c>
      <c r="CV10" s="412">
        <v>650.61002602440101</v>
      </c>
      <c r="CW10" s="412">
        <v>490.86601963464074</v>
      </c>
      <c r="CX10" s="412">
        <v>815.54403262176129</v>
      </c>
      <c r="CY10" s="412">
        <v>626.88002507520093</v>
      </c>
      <c r="CZ10" s="412">
        <v>803.09403212376128</v>
      </c>
      <c r="DA10" s="412">
        <v>626.07002504280092</v>
      </c>
      <c r="DB10" s="412">
        <v>771.19203084768117</v>
      </c>
      <c r="DC10" s="412">
        <v>718.99202875968115</v>
      </c>
      <c r="DD10" s="412">
        <v>692.59802770392105</v>
      </c>
      <c r="DE10" s="412">
        <v>620.38802481552102</v>
      </c>
      <c r="DF10" s="412">
        <v>1004.6640401865616</v>
      </c>
      <c r="DG10" s="412">
        <v>557.84402231376089</v>
      </c>
      <c r="DH10" s="412">
        <v>720.25802881032109</v>
      </c>
      <c r="DI10" s="412">
        <v>736.20602944824111</v>
      </c>
      <c r="DJ10" s="412">
        <v>589.75802359032093</v>
      </c>
      <c r="DK10" s="412">
        <v>736.6920294676811</v>
      </c>
      <c r="DL10" s="412">
        <v>698.44202793768113</v>
      </c>
      <c r="DM10" s="412">
        <v>714.58202858328116</v>
      </c>
      <c r="DN10" s="412">
        <v>724.69802898792113</v>
      </c>
      <c r="DO10" s="412">
        <v>995.74203982968152</v>
      </c>
      <c r="DP10" s="412">
        <v>988.23603952944154</v>
      </c>
      <c r="DQ10" s="412">
        <v>695.73002782920105</v>
      </c>
      <c r="DR10" s="412">
        <v>700.65398692026167</v>
      </c>
      <c r="DS10" s="412">
        <v>581.50236995260104</v>
      </c>
      <c r="DT10" s="412">
        <v>676.16247675046509</v>
      </c>
      <c r="DU10" s="412">
        <v>288.90622187556249</v>
      </c>
      <c r="DV10" s="412">
        <v>346.64906701865965</v>
      </c>
      <c r="DW10" s="413">
        <v>359.62680746385075</v>
      </c>
      <c r="DX10" s="412">
        <v>277</v>
      </c>
      <c r="DY10" s="412">
        <v>433</v>
      </c>
      <c r="DZ10" s="412">
        <v>434</v>
      </c>
      <c r="EA10" s="412">
        <v>454</v>
      </c>
      <c r="EB10" s="412">
        <v>390</v>
      </c>
      <c r="EC10" s="412">
        <v>361</v>
      </c>
      <c r="ED10" s="412">
        <v>395</v>
      </c>
      <c r="EE10" s="412">
        <v>434</v>
      </c>
      <c r="EF10" s="412">
        <v>508</v>
      </c>
      <c r="EG10" s="412">
        <v>419</v>
      </c>
      <c r="EH10" s="412">
        <v>425</v>
      </c>
      <c r="EI10" s="412">
        <v>424</v>
      </c>
      <c r="EJ10" s="412">
        <v>599</v>
      </c>
      <c r="EK10" s="412">
        <v>603</v>
      </c>
      <c r="EL10" s="412">
        <v>548</v>
      </c>
      <c r="EM10" s="412">
        <v>574</v>
      </c>
      <c r="EN10" s="412">
        <v>660</v>
      </c>
      <c r="EO10" s="412">
        <v>503</v>
      </c>
      <c r="EP10" s="412">
        <v>422</v>
      </c>
      <c r="EQ10" s="412">
        <v>447</v>
      </c>
      <c r="ER10" s="414">
        <v>424</v>
      </c>
      <c r="ES10" s="410"/>
      <c r="ET10" s="410"/>
      <c r="EU10" s="410"/>
    </row>
    <row r="11" spans="1:264" x14ac:dyDescent="0.25">
      <c r="A11" s="358" t="s">
        <v>548</v>
      </c>
      <c r="B11" s="406">
        <v>7.5600003024000122</v>
      </c>
      <c r="C11" s="407">
        <v>6.0660002426400093</v>
      </c>
      <c r="D11" s="407">
        <v>1.5480000619200025</v>
      </c>
      <c r="E11" s="407">
        <v>1.326000053040002</v>
      </c>
      <c r="F11" s="407">
        <v>1.2000000480000019</v>
      </c>
      <c r="G11" s="407">
        <v>2.2680000907200037</v>
      </c>
      <c r="H11" s="407">
        <v>1.1580000463200018</v>
      </c>
      <c r="I11" s="407">
        <v>3.6900001476000059</v>
      </c>
      <c r="J11" s="407">
        <v>3.918000156720006</v>
      </c>
      <c r="K11" s="407">
        <v>0.48000001920000074</v>
      </c>
      <c r="L11" s="407">
        <v>0.72000002880000114</v>
      </c>
      <c r="M11" s="407">
        <v>1.4280000571200022</v>
      </c>
      <c r="N11" s="407">
        <v>5.9700002388000089</v>
      </c>
      <c r="O11" s="407">
        <v>5.0160002006400077</v>
      </c>
      <c r="P11" s="407">
        <v>4.8180001927200076</v>
      </c>
      <c r="Q11" s="407">
        <v>1.7460000698400027</v>
      </c>
      <c r="R11" s="407">
        <v>26.976001079040042</v>
      </c>
      <c r="S11" s="407">
        <v>3.4920001396800053</v>
      </c>
      <c r="T11" s="407">
        <v>25.71000102840004</v>
      </c>
      <c r="U11" s="407">
        <v>4.0620001624800066</v>
      </c>
      <c r="V11" s="407">
        <v>1.878000075120003</v>
      </c>
      <c r="W11" s="407">
        <v>1.5840000633600024</v>
      </c>
      <c r="X11" s="407">
        <v>1.5060000602400023</v>
      </c>
      <c r="Y11" s="407">
        <v>1.6680000667200026</v>
      </c>
      <c r="Z11" s="407">
        <v>0.6120000244800009</v>
      </c>
      <c r="AA11" s="407">
        <v>0.40200001608000063</v>
      </c>
      <c r="AB11" s="407">
        <v>1.260000050400002</v>
      </c>
      <c r="AC11" s="407">
        <v>1.218000048720002</v>
      </c>
      <c r="AD11" s="407">
        <v>60.468002418720097</v>
      </c>
      <c r="AE11" s="407">
        <v>56.724002268960085</v>
      </c>
      <c r="AF11" s="407">
        <v>1.212000048480002</v>
      </c>
      <c r="AG11" s="407">
        <v>0.98400003936000158</v>
      </c>
      <c r="AH11" s="407">
        <v>2.3460000938400039</v>
      </c>
      <c r="AI11" s="407">
        <v>0.90600003624000136</v>
      </c>
      <c r="AJ11" s="407">
        <v>6.7620002704800104</v>
      </c>
      <c r="AK11" s="407">
        <v>5.0520002020800074</v>
      </c>
      <c r="AL11" s="407">
        <v>5.0520002020800074</v>
      </c>
      <c r="AM11" s="407">
        <v>1.0920000436800017</v>
      </c>
      <c r="AN11" s="407">
        <v>1.8000000720000029</v>
      </c>
      <c r="AO11" s="407">
        <v>4.0740001629600062</v>
      </c>
      <c r="AP11" s="407">
        <v>4.4880001795200073</v>
      </c>
      <c r="AQ11" s="407">
        <v>5.5560002222400087</v>
      </c>
      <c r="AR11" s="407">
        <v>7.4520002980800113</v>
      </c>
      <c r="AS11" s="407">
        <v>2.4720000988800037</v>
      </c>
      <c r="AT11" s="407">
        <v>3.7500001500000057</v>
      </c>
      <c r="AU11" s="407">
        <v>1.6380000655200027</v>
      </c>
      <c r="AV11" s="407">
        <v>2.2620000904800035</v>
      </c>
      <c r="AW11" s="407">
        <v>1.1700000468000018</v>
      </c>
      <c r="AX11" s="407">
        <v>0.72000002880000114</v>
      </c>
      <c r="AY11" s="407">
        <v>2.3700000948000035</v>
      </c>
      <c r="AZ11" s="407">
        <v>2.1480000859200032</v>
      </c>
      <c r="BA11" s="407">
        <v>2.8560001142400044</v>
      </c>
      <c r="BB11" s="407">
        <v>6.6420002656800099</v>
      </c>
      <c r="BC11" s="407">
        <v>4.3260001730400068</v>
      </c>
      <c r="BD11" s="407">
        <v>5.6760002270400092</v>
      </c>
      <c r="BE11" s="407">
        <v>2.2860000914400036</v>
      </c>
      <c r="BF11" s="407">
        <v>1.0020000400800015</v>
      </c>
      <c r="BG11" s="407">
        <v>3.3180001327200053</v>
      </c>
      <c r="BH11" s="407">
        <v>2.8620001144800042</v>
      </c>
      <c r="BI11" s="407">
        <v>2.1600000864000033</v>
      </c>
      <c r="BJ11" s="407">
        <v>2.1060000842400033</v>
      </c>
      <c r="BK11" s="407">
        <v>2.1900000876000032</v>
      </c>
      <c r="BL11" s="407">
        <v>6.0420002416800092</v>
      </c>
      <c r="BM11" s="407">
        <v>2.2320000892800036</v>
      </c>
      <c r="BN11" s="407">
        <v>0.55200002208000087</v>
      </c>
      <c r="BO11" s="407">
        <v>0.88200003528000137</v>
      </c>
      <c r="BP11" s="407">
        <v>1.1940000477600019</v>
      </c>
      <c r="BQ11" s="407">
        <v>0.91800003672000141</v>
      </c>
      <c r="BR11" s="407">
        <v>1.7400000696000026</v>
      </c>
      <c r="BS11" s="407">
        <v>4.632000185280007</v>
      </c>
      <c r="BT11" s="407">
        <v>2.9760001190400045</v>
      </c>
      <c r="BU11" s="407">
        <v>0.76800003072000123</v>
      </c>
      <c r="BV11" s="407">
        <v>0.5340000213600008</v>
      </c>
      <c r="BW11" s="407">
        <v>1.2960000518400021</v>
      </c>
      <c r="BX11" s="407">
        <v>1.4640000585600024</v>
      </c>
      <c r="BY11" s="407">
        <v>1.266000050640002</v>
      </c>
      <c r="BZ11" s="407">
        <v>2.3520000940800037</v>
      </c>
      <c r="CA11" s="407">
        <v>2.5620001024800039</v>
      </c>
      <c r="CB11" s="407">
        <v>0.79200003168000122</v>
      </c>
      <c r="CC11" s="407">
        <v>2.0880000835200034</v>
      </c>
      <c r="CD11" s="407">
        <v>5.9640002385600095</v>
      </c>
      <c r="CE11" s="407">
        <v>4.7220001888800072</v>
      </c>
      <c r="CF11" s="407">
        <v>7.5720003028800118</v>
      </c>
      <c r="CG11" s="407">
        <v>5.9640002385600095</v>
      </c>
      <c r="CH11" s="407">
        <v>1.8360000734400028</v>
      </c>
      <c r="CI11" s="407">
        <v>1.6140000645600026</v>
      </c>
      <c r="CJ11" s="407">
        <v>0.90000003600000145</v>
      </c>
      <c r="CK11" s="407">
        <v>1.4400000576000023</v>
      </c>
      <c r="CL11" s="407">
        <v>1.2360000494400019</v>
      </c>
      <c r="CM11" s="407">
        <v>0.79800003192000124</v>
      </c>
      <c r="CN11" s="407">
        <v>0.43800001752000067</v>
      </c>
      <c r="CO11" s="407">
        <v>0.68400002736000109</v>
      </c>
      <c r="CP11" s="407">
        <v>0.72000002880000114</v>
      </c>
      <c r="CQ11" s="407">
        <v>3.6060001442400056</v>
      </c>
      <c r="CR11" s="407">
        <v>0.7620000304800012</v>
      </c>
      <c r="CS11" s="407">
        <v>0.6120000244800009</v>
      </c>
      <c r="CT11" s="407">
        <v>0.49800001992000076</v>
      </c>
      <c r="CU11" s="407">
        <v>0.62400002496000095</v>
      </c>
      <c r="CV11" s="407">
        <v>0.49800001992000076</v>
      </c>
      <c r="CW11" s="407">
        <v>0.54600002184000085</v>
      </c>
      <c r="CX11" s="407">
        <v>1.326000053040002</v>
      </c>
      <c r="CY11" s="407">
        <v>1.326000053040002</v>
      </c>
      <c r="CZ11" s="407">
        <v>3.960000158400006</v>
      </c>
      <c r="DA11" s="407">
        <v>4.266000170640007</v>
      </c>
      <c r="DB11" s="407">
        <v>5.346000213840008</v>
      </c>
      <c r="DC11" s="407">
        <v>5.7540002301600088</v>
      </c>
      <c r="DD11" s="407">
        <v>6.2880002515200095</v>
      </c>
      <c r="DE11" s="407">
        <v>5.2140002085600079</v>
      </c>
      <c r="DF11" s="407">
        <v>4.1760001670400069</v>
      </c>
      <c r="DG11" s="407">
        <v>2.0220000808800029</v>
      </c>
      <c r="DH11" s="407">
        <v>5.6820002272800085</v>
      </c>
      <c r="DI11" s="407">
        <v>0.94200003768000151</v>
      </c>
      <c r="DJ11" s="407">
        <v>1.1160000446400018</v>
      </c>
      <c r="DK11" s="407">
        <v>42.636001705440066</v>
      </c>
      <c r="DL11" s="407">
        <v>20.664000826560031</v>
      </c>
      <c r="DM11" s="407">
        <v>0.72000002880000114</v>
      </c>
      <c r="DN11" s="407">
        <v>1.890000075600003</v>
      </c>
      <c r="DO11" s="407">
        <v>5.346000213840008</v>
      </c>
      <c r="DP11" s="407">
        <v>6.0480002419200094</v>
      </c>
      <c r="DQ11" s="407">
        <v>3.0480001219200048</v>
      </c>
      <c r="DR11" s="407">
        <v>0.73198536029279415</v>
      </c>
      <c r="DS11" s="407">
        <v>3.6719265614687711</v>
      </c>
      <c r="DT11" s="407">
        <v>2.1599568008639829</v>
      </c>
      <c r="DU11" s="407">
        <v>0.7199856002879943</v>
      </c>
      <c r="DV11" s="407">
        <v>1.9439611207775847</v>
      </c>
      <c r="DW11" s="408">
        <v>1.2239755204895904</v>
      </c>
      <c r="DX11" s="407">
        <v>3</v>
      </c>
      <c r="DY11" s="407">
        <v>3</v>
      </c>
      <c r="DZ11" s="407">
        <v>3</v>
      </c>
      <c r="EA11" s="407">
        <v>3</v>
      </c>
      <c r="EB11" s="407">
        <v>3</v>
      </c>
      <c r="EC11" s="407">
        <v>3</v>
      </c>
      <c r="ED11" s="407">
        <v>3</v>
      </c>
      <c r="EE11" s="407">
        <v>3</v>
      </c>
      <c r="EF11" s="407">
        <v>3</v>
      </c>
      <c r="EG11" s="407">
        <v>3</v>
      </c>
      <c r="EH11" s="407">
        <v>3</v>
      </c>
      <c r="EI11" s="407">
        <v>3</v>
      </c>
      <c r="EJ11" s="407">
        <v>3</v>
      </c>
      <c r="EK11" s="407">
        <v>3</v>
      </c>
      <c r="EL11" s="407">
        <v>3</v>
      </c>
      <c r="EM11" s="407">
        <v>3</v>
      </c>
      <c r="EN11" s="407">
        <v>3</v>
      </c>
      <c r="EO11" s="407">
        <v>3</v>
      </c>
      <c r="EP11" s="407">
        <v>3</v>
      </c>
      <c r="EQ11" s="407">
        <v>3</v>
      </c>
      <c r="ER11" s="409">
        <v>3</v>
      </c>
      <c r="ES11" s="410"/>
      <c r="ET11" s="410"/>
      <c r="EU11" s="410"/>
    </row>
    <row r="12" spans="1:264" ht="15.75" thickBot="1" x14ac:dyDescent="0.3">
      <c r="A12" s="415" t="s">
        <v>98</v>
      </c>
      <c r="B12" s="416">
        <v>2026.5240810609632</v>
      </c>
      <c r="C12" s="417">
        <v>1780.0560712022427</v>
      </c>
      <c r="D12" s="417">
        <v>1715.7900686316027</v>
      </c>
      <c r="E12" s="417">
        <v>1739.8200695928026</v>
      </c>
      <c r="F12" s="417">
        <v>1782.2700712908027</v>
      </c>
      <c r="G12" s="417">
        <v>2008.3140803325632</v>
      </c>
      <c r="H12" s="417">
        <v>2168.6880867475234</v>
      </c>
      <c r="I12" s="417">
        <v>2584.9141033965639</v>
      </c>
      <c r="J12" s="417">
        <v>2943.6121177444847</v>
      </c>
      <c r="K12" s="417">
        <v>3014.3641205745648</v>
      </c>
      <c r="L12" s="417">
        <v>3178.4281271371251</v>
      </c>
      <c r="M12" s="417">
        <v>3192.6421277056847</v>
      </c>
      <c r="N12" s="417">
        <v>3024.2461209698449</v>
      </c>
      <c r="O12" s="417">
        <v>2075.3100830124031</v>
      </c>
      <c r="P12" s="417">
        <v>2234.3640893745633</v>
      </c>
      <c r="Q12" s="417">
        <v>1932.0780772831231</v>
      </c>
      <c r="R12" s="417">
        <v>2158.4940863397633</v>
      </c>
      <c r="S12" s="417">
        <v>2256.1740902469637</v>
      </c>
      <c r="T12" s="417">
        <v>2317.7760927110435</v>
      </c>
      <c r="U12" s="417">
        <v>2577.924103116964</v>
      </c>
      <c r="V12" s="417">
        <v>3065.5321226212845</v>
      </c>
      <c r="W12" s="417">
        <v>2592.1921036876838</v>
      </c>
      <c r="X12" s="417">
        <v>2505.462100218484</v>
      </c>
      <c r="Y12" s="417">
        <v>2709.3301083732044</v>
      </c>
      <c r="Z12" s="417">
        <v>2033.3760813350432</v>
      </c>
      <c r="AA12" s="417">
        <v>3022.5961209038446</v>
      </c>
      <c r="AB12" s="417">
        <v>3907.9981563199262</v>
      </c>
      <c r="AC12" s="417">
        <v>3437.6701375068055</v>
      </c>
      <c r="AD12" s="417">
        <v>3650.2921460116859</v>
      </c>
      <c r="AE12" s="417">
        <v>4131.5581652623268</v>
      </c>
      <c r="AF12" s="417">
        <v>2927.8861171154444</v>
      </c>
      <c r="AG12" s="417">
        <v>3378.1921351276851</v>
      </c>
      <c r="AH12" s="417">
        <v>3021.5641208625648</v>
      </c>
      <c r="AI12" s="417">
        <v>2821.4521128580845</v>
      </c>
      <c r="AJ12" s="417">
        <v>3206.6161282646449</v>
      </c>
      <c r="AK12" s="417">
        <v>2937.4081174963244</v>
      </c>
      <c r="AL12" s="417">
        <v>2377.7700951108036</v>
      </c>
      <c r="AM12" s="417">
        <v>2816.0461126418445</v>
      </c>
      <c r="AN12" s="417">
        <v>2727.8461091138442</v>
      </c>
      <c r="AO12" s="417">
        <v>2912.5981165039248</v>
      </c>
      <c r="AP12" s="417">
        <v>3236.6641294665651</v>
      </c>
      <c r="AQ12" s="417">
        <v>3411.8641364745654</v>
      </c>
      <c r="AR12" s="417">
        <v>3105.8881242355246</v>
      </c>
      <c r="AS12" s="417">
        <v>2452.7100981084036</v>
      </c>
      <c r="AT12" s="417">
        <v>2498.6340999453637</v>
      </c>
      <c r="AU12" s="417">
        <v>2523.408100936324</v>
      </c>
      <c r="AV12" s="417">
        <v>2368.3860947354437</v>
      </c>
      <c r="AW12" s="417">
        <v>1711.1160684446427</v>
      </c>
      <c r="AX12" s="417">
        <v>1864.7820745912829</v>
      </c>
      <c r="AY12" s="417">
        <v>1660.1340664053625</v>
      </c>
      <c r="AZ12" s="417">
        <v>1777.8420711136828</v>
      </c>
      <c r="BA12" s="417">
        <v>1761.8880704755227</v>
      </c>
      <c r="BB12" s="417">
        <v>1984.5000793800032</v>
      </c>
      <c r="BC12" s="417">
        <v>2180.3700872148033</v>
      </c>
      <c r="BD12" s="417">
        <v>2301.2460920498434</v>
      </c>
      <c r="BE12" s="417">
        <v>2493.330099733204</v>
      </c>
      <c r="BF12" s="417">
        <v>2387.8080955123237</v>
      </c>
      <c r="BG12" s="417">
        <v>2542.8541017141638</v>
      </c>
      <c r="BH12" s="417">
        <v>2590.7041036281639</v>
      </c>
      <c r="BI12" s="417">
        <v>2018.0940807237632</v>
      </c>
      <c r="BJ12" s="417">
        <v>2044.5480817819232</v>
      </c>
      <c r="BK12" s="417">
        <v>1824.7500729900028</v>
      </c>
      <c r="BL12" s="417">
        <v>1937.8080775123231</v>
      </c>
      <c r="BM12" s="417">
        <v>2021.5980808639231</v>
      </c>
      <c r="BN12" s="417">
        <v>2113.4400845376031</v>
      </c>
      <c r="BO12" s="417">
        <v>2042.3700816948033</v>
      </c>
      <c r="BP12" s="417">
        <v>2188.3080875323235</v>
      </c>
      <c r="BQ12" s="417">
        <v>2151.6960860678432</v>
      </c>
      <c r="BR12" s="417">
        <v>1861.7400744696029</v>
      </c>
      <c r="BS12" s="417">
        <v>2105.0100842004031</v>
      </c>
      <c r="BT12" s="417">
        <v>1590.9000636360024</v>
      </c>
      <c r="BU12" s="417">
        <v>1342.8180537127221</v>
      </c>
      <c r="BV12" s="417">
        <v>1166.5020466600818</v>
      </c>
      <c r="BW12" s="417">
        <v>1027.9440411177616</v>
      </c>
      <c r="BX12" s="417">
        <v>1004.8500401940015</v>
      </c>
      <c r="BY12" s="417">
        <v>972.01203888048155</v>
      </c>
      <c r="BZ12" s="417">
        <v>936.42003745680142</v>
      </c>
      <c r="CA12" s="417">
        <v>856.56603426264132</v>
      </c>
      <c r="CB12" s="417">
        <v>827.36403309456125</v>
      </c>
      <c r="CC12" s="417">
        <v>919.03203676128146</v>
      </c>
      <c r="CD12" s="417">
        <v>864.54603458184135</v>
      </c>
      <c r="CE12" s="417">
        <v>1105.3260442130418</v>
      </c>
      <c r="CF12" s="417">
        <v>1356.3000542520022</v>
      </c>
      <c r="CG12" s="417">
        <v>1371.7620548704822</v>
      </c>
      <c r="CH12" s="417">
        <v>1225.896049035842</v>
      </c>
      <c r="CI12" s="417">
        <v>1242.9960497198419</v>
      </c>
      <c r="CJ12" s="417">
        <v>1295.928051837122</v>
      </c>
      <c r="CK12" s="417">
        <v>1322.2740528909621</v>
      </c>
      <c r="CL12" s="417">
        <v>1428.3060571322421</v>
      </c>
      <c r="CM12" s="417">
        <v>1465.5420586216824</v>
      </c>
      <c r="CN12" s="417">
        <v>1345.6980538279222</v>
      </c>
      <c r="CO12" s="417">
        <v>1298.6820519472819</v>
      </c>
      <c r="CP12" s="417">
        <v>1265.1540506061619</v>
      </c>
      <c r="CQ12" s="417">
        <v>1311.8340524733621</v>
      </c>
      <c r="CR12" s="417">
        <v>1146.6360458654417</v>
      </c>
      <c r="CS12" s="417">
        <v>1001.7180400687215</v>
      </c>
      <c r="CT12" s="417">
        <v>919.44003677760145</v>
      </c>
      <c r="CU12" s="417">
        <v>965.65203862608155</v>
      </c>
      <c r="CV12" s="417">
        <v>1170.7500468300018</v>
      </c>
      <c r="CW12" s="417">
        <v>1037.6520415060816</v>
      </c>
      <c r="CX12" s="417">
        <v>1336.9260534770422</v>
      </c>
      <c r="CY12" s="417">
        <v>1112.3160444926418</v>
      </c>
      <c r="CZ12" s="417">
        <v>1294.6680517867221</v>
      </c>
      <c r="DA12" s="417">
        <v>1122.5760449030417</v>
      </c>
      <c r="DB12" s="417">
        <v>1313.9580525583222</v>
      </c>
      <c r="DC12" s="417">
        <v>1408.5540563421621</v>
      </c>
      <c r="DD12" s="417">
        <v>1311.4440524577619</v>
      </c>
      <c r="DE12" s="417">
        <v>1081.7280432691216</v>
      </c>
      <c r="DF12" s="417">
        <v>1451.3700580548023</v>
      </c>
      <c r="DG12" s="417">
        <v>1016.6880406675216</v>
      </c>
      <c r="DH12" s="417">
        <v>1273.650050946002</v>
      </c>
      <c r="DI12" s="417">
        <v>1192.7760477110419</v>
      </c>
      <c r="DJ12" s="417">
        <v>1104.9480441979217</v>
      </c>
      <c r="DK12" s="417">
        <v>1278.330051133202</v>
      </c>
      <c r="DL12" s="417">
        <v>1220.682048827282</v>
      </c>
      <c r="DM12" s="417">
        <v>1241.7720496708819</v>
      </c>
      <c r="DN12" s="417">
        <v>1266.4740506589619</v>
      </c>
      <c r="DO12" s="417">
        <v>1513.9740605589623</v>
      </c>
      <c r="DP12" s="417">
        <v>1501.3260600530423</v>
      </c>
      <c r="DQ12" s="417">
        <v>1162.3020464920819</v>
      </c>
      <c r="DR12" s="417">
        <v>1169.1366172676549</v>
      </c>
      <c r="DS12" s="417">
        <v>1060.8747825043502</v>
      </c>
      <c r="DT12" s="417">
        <v>1230.7733845323094</v>
      </c>
      <c r="DU12" s="417">
        <v>750.02099958000838</v>
      </c>
      <c r="DV12" s="417">
        <v>824.40151196976069</v>
      </c>
      <c r="DW12" s="418">
        <v>819.81760364792717</v>
      </c>
      <c r="DX12" s="417">
        <v>1007</v>
      </c>
      <c r="DY12" s="417">
        <v>1155</v>
      </c>
      <c r="DZ12" s="417">
        <v>1135</v>
      </c>
      <c r="EA12" s="417">
        <v>1149</v>
      </c>
      <c r="EB12" s="417">
        <v>1099</v>
      </c>
      <c r="EC12" s="417">
        <v>1063</v>
      </c>
      <c r="ED12" s="417">
        <v>1039</v>
      </c>
      <c r="EE12" s="417">
        <v>1104</v>
      </c>
      <c r="EF12" s="417">
        <v>1223</v>
      </c>
      <c r="EG12" s="417">
        <v>1166</v>
      </c>
      <c r="EH12" s="417">
        <v>1160</v>
      </c>
      <c r="EI12" s="417">
        <v>1208</v>
      </c>
      <c r="EJ12" s="417">
        <v>1315</v>
      </c>
      <c r="EK12" s="417">
        <v>1328</v>
      </c>
      <c r="EL12" s="417">
        <v>1306</v>
      </c>
      <c r="EM12" s="417">
        <v>1292</v>
      </c>
      <c r="EN12" s="417">
        <v>1404</v>
      </c>
      <c r="EO12" s="417">
        <v>1237</v>
      </c>
      <c r="EP12" s="417">
        <v>1066</v>
      </c>
      <c r="EQ12" s="417">
        <v>1253</v>
      </c>
      <c r="ER12" s="419">
        <v>1162</v>
      </c>
      <c r="ES12" s="410"/>
      <c r="ET12" s="410"/>
      <c r="EU12" s="410"/>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30BAA-F50C-4232-BE63-721ADE4F8659}">
  <sheetPr codeName="Sheet4"/>
  <dimension ref="H1:Y15"/>
  <sheetViews>
    <sheetView showGridLines="0" zoomScale="85" zoomScaleNormal="85" workbookViewId="0"/>
  </sheetViews>
  <sheetFormatPr defaultColWidth="9.140625" defaultRowHeight="15" x14ac:dyDescent="0.25"/>
  <cols>
    <col min="1" max="1" width="17.7109375" customWidth="1"/>
    <col min="2" max="2" width="44" customWidth="1"/>
    <col min="9" max="9" width="13.28515625" bestFit="1" customWidth="1"/>
    <col min="12" max="12" width="16" customWidth="1"/>
    <col min="25" max="25" width="9.140625" style="3"/>
  </cols>
  <sheetData>
    <row r="1" spans="8:25" x14ac:dyDescent="0.25">
      <c r="Y1" s="3" t="s">
        <v>48</v>
      </c>
    </row>
    <row r="2" spans="8:25" x14ac:dyDescent="0.25">
      <c r="Y2" s="3" t="s">
        <v>49</v>
      </c>
    </row>
    <row r="3" spans="8:25" x14ac:dyDescent="0.25">
      <c r="Y3" s="3" t="s">
        <v>50</v>
      </c>
    </row>
    <row r="4" spans="8:25" x14ac:dyDescent="0.25">
      <c r="Y4" s="3" t="s">
        <v>49</v>
      </c>
    </row>
    <row r="8" spans="8:25" ht="15.75" thickBot="1" x14ac:dyDescent="0.3"/>
    <row r="9" spans="8:25" ht="15.75" thickBot="1" x14ac:dyDescent="0.3">
      <c r="H9" s="563" t="s">
        <v>51</v>
      </c>
      <c r="I9" s="564"/>
      <c r="J9" s="564"/>
      <c r="K9" s="564"/>
      <c r="L9" s="565"/>
    </row>
    <row r="10" spans="8:25" ht="15.75" thickBot="1" x14ac:dyDescent="0.3">
      <c r="H10" s="566" t="s">
        <v>49</v>
      </c>
      <c r="I10" s="567"/>
      <c r="J10" s="567"/>
      <c r="K10" s="567"/>
      <c r="L10" s="568"/>
    </row>
    <row r="11" spans="8:25" x14ac:dyDescent="0.25">
      <c r="H11" s="569" t="s">
        <v>52</v>
      </c>
      <c r="I11" s="569"/>
      <c r="J11" s="569"/>
      <c r="K11" s="569"/>
      <c r="L11" s="569"/>
    </row>
    <row r="12" spans="8:25" ht="15.75" thickBot="1" x14ac:dyDescent="0.3"/>
    <row r="13" spans="8:25" ht="15.75" thickBot="1" x14ac:dyDescent="0.3">
      <c r="H13" s="6" t="s">
        <v>53</v>
      </c>
      <c r="I13" s="570" t="s">
        <v>49</v>
      </c>
      <c r="J13" s="570"/>
      <c r="K13" s="570"/>
      <c r="L13" s="571"/>
    </row>
    <row r="15" spans="8:25" x14ac:dyDescent="0.25">
      <c r="H15" s="572" t="s">
        <v>49</v>
      </c>
      <c r="I15" s="573"/>
      <c r="J15" s="573"/>
      <c r="K15" s="573"/>
      <c r="L15" s="573"/>
    </row>
  </sheetData>
  <mergeCells count="5">
    <mergeCell ref="H9:L9"/>
    <mergeCell ref="H10:L10"/>
    <mergeCell ref="H11:L11"/>
    <mergeCell ref="I13:L13"/>
    <mergeCell ref="H15:L15"/>
  </mergeCells>
  <dataValidations count="2">
    <dataValidation type="list" allowBlank="1" showInputMessage="1" showErrorMessage="1" promptTitle="Selecta Display Factor:" prompt="Clicking here will bring up a message describing the selections you can make." sqref="H15:L15" xr:uid="{42E96A36-485B-480E-B1CC-21A258721FCF}">
      <formula1>$Y$3:$Y$4</formula1>
    </dataValidation>
    <dataValidation type="list" allowBlank="1" showInputMessage="1" showErrorMessage="1" promptTitle="Select a Display Factor:" prompt="Clicking here will bring up a message describing the selections you can make." sqref="H10:L10 I13:L13" xr:uid="{2FD3430C-9F36-47AA-8644-617CB8747EA9}">
      <formula1>$Y$1:$Y$2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B47F1-B0A0-41C4-A584-8E0EA5304392}">
  <sheetPr codeName="Sheet5"/>
  <dimension ref="A7:R44"/>
  <sheetViews>
    <sheetView showGridLines="0" zoomScale="85" zoomScaleNormal="85" workbookViewId="0">
      <pane ySplit="8" topLeftCell="A9" activePane="bottomLeft" state="frozen"/>
      <selection activeCell="C1" sqref="C1"/>
      <selection pane="bottomLeft" activeCell="C1" sqref="C1"/>
    </sheetView>
  </sheetViews>
  <sheetFormatPr defaultColWidth="9.140625" defaultRowHeight="15" x14ac:dyDescent="0.25"/>
  <cols>
    <col min="1" max="2" width="4.85546875" hidden="1" customWidth="1"/>
    <col min="3" max="3" width="12.7109375" customWidth="1"/>
    <col min="4" max="9" width="15.7109375" customWidth="1"/>
    <col min="10" max="10" width="3.42578125" customWidth="1"/>
    <col min="11" max="11" width="4" customWidth="1"/>
    <col min="12" max="12" width="12.7109375" customWidth="1"/>
    <col min="13" max="18" width="15.7109375" customWidth="1"/>
  </cols>
  <sheetData>
    <row r="7" spans="1:18" ht="15.75" thickBot="1" x14ac:dyDescent="0.3">
      <c r="C7" s="574" t="s">
        <v>2</v>
      </c>
      <c r="D7" s="574"/>
      <c r="E7" s="574"/>
      <c r="F7" s="574"/>
      <c r="G7" s="574"/>
      <c r="H7" s="574"/>
      <c r="I7" s="574"/>
      <c r="L7" s="575" t="s">
        <v>54</v>
      </c>
      <c r="M7" s="575"/>
      <c r="N7" s="575"/>
      <c r="O7" s="575"/>
      <c r="P7" s="575"/>
      <c r="Q7" s="575"/>
      <c r="R7" s="575"/>
    </row>
    <row r="8" spans="1:18" ht="60" customHeight="1" x14ac:dyDescent="0.25">
      <c r="C8" s="7" t="s">
        <v>55</v>
      </c>
      <c r="D8" s="8" t="s">
        <v>565</v>
      </c>
      <c r="E8" s="8" t="s">
        <v>568</v>
      </c>
      <c r="F8" s="9" t="s">
        <v>57</v>
      </c>
      <c r="G8" s="9" t="s">
        <v>79</v>
      </c>
      <c r="H8" s="9" t="s">
        <v>1223</v>
      </c>
      <c r="I8" s="10" t="s">
        <v>58</v>
      </c>
      <c r="J8" s="11"/>
      <c r="K8" s="12"/>
      <c r="L8" s="13" t="s">
        <v>55</v>
      </c>
      <c r="M8" s="9" t="s">
        <v>562</v>
      </c>
      <c r="N8" s="9" t="s">
        <v>563</v>
      </c>
      <c r="O8" s="9" t="s">
        <v>564</v>
      </c>
      <c r="P8" s="9" t="s">
        <v>79</v>
      </c>
      <c r="Q8" s="9" t="s">
        <v>1223</v>
      </c>
      <c r="R8" s="10" t="s">
        <v>58</v>
      </c>
    </row>
    <row r="9" spans="1:18" x14ac:dyDescent="0.25">
      <c r="A9">
        <v>1989</v>
      </c>
      <c r="B9">
        <v>1990</v>
      </c>
      <c r="C9" s="14" t="str">
        <f>A9&amp;"-"&amp;RIGHT(B9,2)</f>
        <v>1989-90</v>
      </c>
      <c r="D9" s="15">
        <v>5507</v>
      </c>
      <c r="E9" s="16">
        <f t="shared" ref="E9:E44" si="0">F9-D9</f>
        <v>12463</v>
      </c>
      <c r="F9" s="15">
        <v>17970</v>
      </c>
      <c r="G9" s="546">
        <f t="shared" ref="G9:G44" si="1">D9/F9</f>
        <v>0.30645520311630498</v>
      </c>
      <c r="H9" s="549">
        <v>39460</v>
      </c>
      <c r="I9" s="18">
        <f t="shared" ref="I9:I44" si="2">IFERROR(D9/H9,"N/A")</f>
        <v>0.1395590471363406</v>
      </c>
      <c r="J9" s="11"/>
      <c r="L9" s="19" t="str">
        <f>LEFT(L10,4)-1&amp;"-"&amp;MID(L10,3,2)</f>
        <v>2015-16</v>
      </c>
      <c r="M9" s="20">
        <f t="shared" ref="M9:M18" si="3">VLOOKUP($L9,$C:$I,2,FALSE)</f>
        <v>57275</v>
      </c>
      <c r="N9" s="20">
        <f t="shared" ref="N9:N18" si="4">VLOOKUP($L9,$C:$I,3,FALSE)</f>
        <v>38912</v>
      </c>
      <c r="O9" s="20">
        <f t="shared" ref="O9:O18" si="5">VLOOKUP($L9,$C:$I,4,FALSE)</f>
        <v>96187</v>
      </c>
      <c r="P9" s="21">
        <f t="shared" ref="P9:P18" si="6">VLOOKUP($L9,$C:$I,5,FALSE)</f>
        <v>0.5954546872238452</v>
      </c>
      <c r="Q9" s="22">
        <f t="shared" ref="Q9:Q18" si="7">VLOOKUP($L9,$C:$I,6,FALSE)</f>
        <v>237778</v>
      </c>
      <c r="R9" s="23">
        <f t="shared" ref="R9:R18" si="8">VLOOKUP($L9,$C:$I,7,FALSE)</f>
        <v>0.24087594310659521</v>
      </c>
    </row>
    <row r="10" spans="1:18" x14ac:dyDescent="0.25">
      <c r="A10">
        <f>A9+1</f>
        <v>1990</v>
      </c>
      <c r="B10">
        <f>B9+1</f>
        <v>1991</v>
      </c>
      <c r="C10" s="25" t="str">
        <f t="shared" ref="C10:C43" si="9">A10&amp;"-"&amp;RIGHT(B10,2)</f>
        <v>1990-91</v>
      </c>
      <c r="D10" s="26">
        <v>6962</v>
      </c>
      <c r="E10" s="27">
        <f t="shared" si="0"/>
        <v>12556</v>
      </c>
      <c r="F10" s="26">
        <v>19518</v>
      </c>
      <c r="G10" s="547">
        <f t="shared" si="1"/>
        <v>0.35669638282610922</v>
      </c>
      <c r="H10" s="28">
        <v>40314</v>
      </c>
      <c r="I10" s="29">
        <f t="shared" si="2"/>
        <v>0.1726943493575433</v>
      </c>
      <c r="J10" s="11"/>
      <c r="L10" s="30" t="str">
        <f t="shared" ref="L10:L16" si="10">LEFT(L11,4)-1&amp;"-"&amp;MID(L11,3,2)</f>
        <v>2016-17</v>
      </c>
      <c r="M10" s="31">
        <f t="shared" si="3"/>
        <v>72378</v>
      </c>
      <c r="N10" s="32">
        <f t="shared" si="4"/>
        <v>60026</v>
      </c>
      <c r="O10" s="32">
        <f t="shared" si="5"/>
        <v>132404</v>
      </c>
      <c r="P10" s="33">
        <f t="shared" si="6"/>
        <v>0.5466451164617383</v>
      </c>
      <c r="Q10" s="34">
        <f t="shared" si="7"/>
        <v>248904</v>
      </c>
      <c r="R10" s="35">
        <f t="shared" si="8"/>
        <v>0.29078680937228812</v>
      </c>
    </row>
    <row r="11" spans="1:18" x14ac:dyDescent="0.25">
      <c r="A11">
        <f t="shared" ref="A11:B26" si="11">A10+1</f>
        <v>1991</v>
      </c>
      <c r="B11">
        <f t="shared" si="11"/>
        <v>1992</v>
      </c>
      <c r="C11" s="25" t="str">
        <f t="shared" si="9"/>
        <v>1991-92</v>
      </c>
      <c r="D11" s="15">
        <v>7208</v>
      </c>
      <c r="E11" s="541">
        <f t="shared" si="0"/>
        <v>12227</v>
      </c>
      <c r="F11" s="15">
        <v>19435</v>
      </c>
      <c r="G11" s="546">
        <f t="shared" si="1"/>
        <v>0.3708772832518652</v>
      </c>
      <c r="H11" s="17">
        <v>41670</v>
      </c>
      <c r="I11" s="18">
        <f t="shared" si="2"/>
        <v>0.17297816174706024</v>
      </c>
      <c r="J11" s="11"/>
      <c r="L11" s="19" t="str">
        <f t="shared" si="10"/>
        <v>2017-18</v>
      </c>
      <c r="M11" s="36">
        <f t="shared" si="3"/>
        <v>79198</v>
      </c>
      <c r="N11" s="37">
        <f t="shared" si="4"/>
        <v>70504</v>
      </c>
      <c r="O11" s="37">
        <f t="shared" si="5"/>
        <v>149702</v>
      </c>
      <c r="P11" s="38">
        <f t="shared" si="6"/>
        <v>0.5290376882072384</v>
      </c>
      <c r="Q11" s="39">
        <f t="shared" si="7"/>
        <v>257221</v>
      </c>
      <c r="R11" s="23">
        <f t="shared" si="8"/>
        <v>0.30789865524199034</v>
      </c>
    </row>
    <row r="12" spans="1:18" x14ac:dyDescent="0.25">
      <c r="A12">
        <f t="shared" si="11"/>
        <v>1992</v>
      </c>
      <c r="B12">
        <f t="shared" si="11"/>
        <v>1993</v>
      </c>
      <c r="C12" s="25" t="str">
        <f t="shared" si="9"/>
        <v>1992-93</v>
      </c>
      <c r="D12" s="26">
        <v>7140</v>
      </c>
      <c r="E12" s="542">
        <f t="shared" si="0"/>
        <v>13222</v>
      </c>
      <c r="F12" s="26">
        <v>20362</v>
      </c>
      <c r="G12" s="547">
        <f t="shared" si="1"/>
        <v>0.35065317748747665</v>
      </c>
      <c r="H12" s="28">
        <v>43763</v>
      </c>
      <c r="I12" s="29">
        <f t="shared" si="2"/>
        <v>0.16315152069099467</v>
      </c>
      <c r="J12" s="11"/>
      <c r="L12" s="30" t="str">
        <f t="shared" si="10"/>
        <v>2018-19</v>
      </c>
      <c r="M12" s="31">
        <f t="shared" si="3"/>
        <v>108179</v>
      </c>
      <c r="N12" s="32">
        <f t="shared" si="4"/>
        <v>82378</v>
      </c>
      <c r="O12" s="32">
        <f t="shared" si="5"/>
        <v>190557</v>
      </c>
      <c r="P12" s="33">
        <f t="shared" si="6"/>
        <v>0.56769890374008825</v>
      </c>
      <c r="Q12" s="34">
        <f t="shared" si="7"/>
        <v>288015</v>
      </c>
      <c r="R12" s="35">
        <f t="shared" si="8"/>
        <v>0.37560196517542488</v>
      </c>
    </row>
    <row r="13" spans="1:18" x14ac:dyDescent="0.25">
      <c r="A13">
        <f t="shared" si="11"/>
        <v>1993</v>
      </c>
      <c r="B13">
        <f t="shared" si="11"/>
        <v>1994</v>
      </c>
      <c r="C13" s="25" t="str">
        <f t="shared" si="9"/>
        <v>1993-94</v>
      </c>
      <c r="D13" s="15">
        <v>7394</v>
      </c>
      <c r="E13" s="541">
        <f t="shared" si="0"/>
        <v>12497</v>
      </c>
      <c r="F13" s="15">
        <v>19891</v>
      </c>
      <c r="G13" s="546">
        <f t="shared" si="1"/>
        <v>0.37172590618872858</v>
      </c>
      <c r="H13" s="17">
        <v>47175</v>
      </c>
      <c r="I13" s="18">
        <f t="shared" si="2"/>
        <v>0.15673555908850026</v>
      </c>
      <c r="J13" s="11"/>
      <c r="L13" s="19" t="str">
        <f t="shared" si="10"/>
        <v>2019-20</v>
      </c>
      <c r="M13" s="36">
        <f t="shared" si="3"/>
        <v>131090</v>
      </c>
      <c r="N13" s="37">
        <f t="shared" si="4"/>
        <v>71394</v>
      </c>
      <c r="O13" s="37">
        <f t="shared" si="5"/>
        <v>202484</v>
      </c>
      <c r="P13" s="38">
        <f t="shared" si="6"/>
        <v>0.64740917800912667</v>
      </c>
      <c r="Q13" s="39">
        <f t="shared" si="7"/>
        <v>314025</v>
      </c>
      <c r="R13" s="23">
        <f t="shared" si="8"/>
        <v>0.41745083990128173</v>
      </c>
    </row>
    <row r="14" spans="1:18" x14ac:dyDescent="0.25">
      <c r="A14">
        <f t="shared" si="11"/>
        <v>1994</v>
      </c>
      <c r="B14">
        <f t="shared" si="11"/>
        <v>1995</v>
      </c>
      <c r="C14" s="25" t="str">
        <f t="shared" si="9"/>
        <v>1994-95</v>
      </c>
      <c r="D14" s="26">
        <v>8744</v>
      </c>
      <c r="E14" s="542">
        <f t="shared" si="0"/>
        <v>12258</v>
      </c>
      <c r="F14" s="26">
        <v>21002</v>
      </c>
      <c r="G14" s="547">
        <f t="shared" si="1"/>
        <v>0.41634130082849252</v>
      </c>
      <c r="H14" s="28">
        <v>51171</v>
      </c>
      <c r="I14" s="29">
        <f t="shared" si="2"/>
        <v>0.17087803638779778</v>
      </c>
      <c r="J14" s="11"/>
      <c r="L14" s="30" t="str">
        <f t="shared" si="10"/>
        <v>2020-21</v>
      </c>
      <c r="M14" s="31">
        <f t="shared" si="3"/>
        <v>172316</v>
      </c>
      <c r="N14" s="32">
        <f t="shared" si="4"/>
        <v>50173</v>
      </c>
      <c r="O14" s="32">
        <f t="shared" si="5"/>
        <v>222489</v>
      </c>
      <c r="P14" s="33">
        <f t="shared" si="6"/>
        <v>0.77449222208738411</v>
      </c>
      <c r="Q14" s="34">
        <f t="shared" si="7"/>
        <v>367521</v>
      </c>
      <c r="R14" s="35">
        <f t="shared" si="8"/>
        <v>0.46886028281377118</v>
      </c>
    </row>
    <row r="15" spans="1:18" x14ac:dyDescent="0.25">
      <c r="A15">
        <f t="shared" si="11"/>
        <v>1995</v>
      </c>
      <c r="B15">
        <f t="shared" si="11"/>
        <v>1996</v>
      </c>
      <c r="C15" s="25" t="str">
        <f t="shared" si="9"/>
        <v>1995-96</v>
      </c>
      <c r="D15" s="15">
        <v>10147</v>
      </c>
      <c r="E15" s="541">
        <f t="shared" si="0"/>
        <v>13729</v>
      </c>
      <c r="F15" s="15">
        <v>23876</v>
      </c>
      <c r="G15" s="546">
        <f t="shared" si="1"/>
        <v>0.42498743508125314</v>
      </c>
      <c r="H15" s="17">
        <v>55486</v>
      </c>
      <c r="I15" s="18">
        <f t="shared" si="2"/>
        <v>0.18287495944923043</v>
      </c>
      <c r="J15" s="11"/>
      <c r="L15" s="19" t="str">
        <f t="shared" si="10"/>
        <v>2021-22</v>
      </c>
      <c r="M15" s="36">
        <f t="shared" si="3"/>
        <v>185374</v>
      </c>
      <c r="N15" s="37">
        <f t="shared" si="4"/>
        <v>128612</v>
      </c>
      <c r="O15" s="37">
        <f t="shared" si="5"/>
        <v>313986</v>
      </c>
      <c r="P15" s="38">
        <f t="shared" si="6"/>
        <v>0.59038938041823519</v>
      </c>
      <c r="Q15" s="39">
        <f t="shared" si="7"/>
        <v>403803</v>
      </c>
      <c r="R15" s="23">
        <f t="shared" si="8"/>
        <v>0.45907038828339564</v>
      </c>
    </row>
    <row r="16" spans="1:18" x14ac:dyDescent="0.25">
      <c r="A16">
        <f t="shared" si="11"/>
        <v>1996</v>
      </c>
      <c r="B16">
        <f t="shared" si="11"/>
        <v>1997</v>
      </c>
      <c r="C16" s="25" t="str">
        <f t="shared" si="9"/>
        <v>1996-97</v>
      </c>
      <c r="D16" s="26">
        <v>10026</v>
      </c>
      <c r="E16" s="542">
        <f t="shared" si="0"/>
        <v>13686</v>
      </c>
      <c r="F16" s="26">
        <v>23712</v>
      </c>
      <c r="G16" s="547">
        <f t="shared" si="1"/>
        <v>0.42282388663967613</v>
      </c>
      <c r="H16" s="28">
        <v>56985</v>
      </c>
      <c r="I16" s="29">
        <f t="shared" si="2"/>
        <v>0.17594103711503026</v>
      </c>
      <c r="J16" s="11"/>
      <c r="L16" s="30" t="str">
        <f t="shared" si="10"/>
        <v>2022-23</v>
      </c>
      <c r="M16" s="31">
        <f t="shared" si="3"/>
        <v>206058</v>
      </c>
      <c r="N16" s="32">
        <f t="shared" si="4"/>
        <v>143178</v>
      </c>
      <c r="O16" s="32">
        <f t="shared" si="5"/>
        <v>349236</v>
      </c>
      <c r="P16" s="33">
        <f t="shared" si="6"/>
        <v>0.59002508332474313</v>
      </c>
      <c r="Q16" s="34">
        <f t="shared" si="7"/>
        <v>448633</v>
      </c>
      <c r="R16" s="35">
        <f t="shared" si="8"/>
        <v>0.4593019238442112</v>
      </c>
    </row>
    <row r="17" spans="1:18" x14ac:dyDescent="0.25">
      <c r="A17">
        <f t="shared" si="11"/>
        <v>1997</v>
      </c>
      <c r="B17">
        <f t="shared" si="11"/>
        <v>1998</v>
      </c>
      <c r="C17" s="25" t="str">
        <f t="shared" si="9"/>
        <v>1997-98</v>
      </c>
      <c r="D17" s="15">
        <v>10676</v>
      </c>
      <c r="E17" s="541">
        <f t="shared" si="0"/>
        <v>14612</v>
      </c>
      <c r="F17" s="15">
        <v>25288</v>
      </c>
      <c r="G17" s="546">
        <f t="shared" si="1"/>
        <v>0.42217652641569126</v>
      </c>
      <c r="H17" s="17">
        <v>61102</v>
      </c>
      <c r="I17" s="18">
        <f t="shared" si="2"/>
        <v>0.17472423161271317</v>
      </c>
      <c r="J17" s="11"/>
      <c r="L17" s="19" t="str">
        <f>LEFT(L18,4)-1&amp;"-"&amp;MID(L18,3,2)</f>
        <v>2023-24</v>
      </c>
      <c r="M17" s="36">
        <f t="shared" si="3"/>
        <v>195959</v>
      </c>
      <c r="N17" s="37">
        <f t="shared" si="4"/>
        <v>96753</v>
      </c>
      <c r="O17" s="37">
        <f t="shared" si="5"/>
        <v>292712</v>
      </c>
      <c r="P17" s="38">
        <f t="shared" si="6"/>
        <v>0.66946008363169263</v>
      </c>
      <c r="Q17" s="39">
        <f t="shared" si="7"/>
        <v>455683</v>
      </c>
      <c r="R17" s="23">
        <f t="shared" si="8"/>
        <v>0.43003359791785079</v>
      </c>
    </row>
    <row r="18" spans="1:18" ht="15.75" thickBot="1" x14ac:dyDescent="0.3">
      <c r="A18">
        <f t="shared" si="11"/>
        <v>1998</v>
      </c>
      <c r="B18">
        <f t="shared" si="11"/>
        <v>1999</v>
      </c>
      <c r="C18" s="25" t="str">
        <f t="shared" si="9"/>
        <v>1998-99</v>
      </c>
      <c r="D18" s="26">
        <v>10288</v>
      </c>
      <c r="E18" s="542">
        <f t="shared" si="0"/>
        <v>14691</v>
      </c>
      <c r="F18" s="26">
        <v>24979</v>
      </c>
      <c r="G18" s="547">
        <f t="shared" si="1"/>
        <v>0.4118659674126266</v>
      </c>
      <c r="H18" s="28">
        <v>62417</v>
      </c>
      <c r="I18" s="29">
        <f t="shared" si="2"/>
        <v>0.16482689011006615</v>
      </c>
      <c r="J18" s="11"/>
      <c r="L18" s="40" t="str">
        <f>MAX(A:A)&amp;"-"&amp;RIGHT(MAX(B:B),2)</f>
        <v>2024-25</v>
      </c>
      <c r="M18" s="41">
        <f t="shared" si="3"/>
        <v>177844</v>
      </c>
      <c r="N18" s="42">
        <f t="shared" si="4"/>
        <v>79821</v>
      </c>
      <c r="O18" s="42">
        <f t="shared" si="5"/>
        <v>257665</v>
      </c>
      <c r="P18" s="43">
        <f t="shared" si="6"/>
        <v>0.69021403760697031</v>
      </c>
      <c r="Q18" s="44">
        <f t="shared" si="7"/>
        <v>458831</v>
      </c>
      <c r="R18" s="45">
        <f t="shared" si="8"/>
        <v>0.38760240698645038</v>
      </c>
    </row>
    <row r="19" spans="1:18" x14ac:dyDescent="0.25">
      <c r="A19">
        <f t="shared" si="11"/>
        <v>1999</v>
      </c>
      <c r="B19">
        <f t="shared" si="11"/>
        <v>2000</v>
      </c>
      <c r="C19" s="25" t="str">
        <f t="shared" si="9"/>
        <v>1999-00</v>
      </c>
      <c r="D19" s="15">
        <v>12844</v>
      </c>
      <c r="E19" s="541">
        <f t="shared" si="0"/>
        <v>14880</v>
      </c>
      <c r="F19" s="15">
        <v>27724</v>
      </c>
      <c r="G19" s="546">
        <f t="shared" si="1"/>
        <v>0.46328091184533254</v>
      </c>
      <c r="H19" s="17">
        <v>69264</v>
      </c>
      <c r="I19" s="18">
        <f t="shared" si="2"/>
        <v>0.18543543543543545</v>
      </c>
      <c r="J19" s="11"/>
      <c r="O19" s="46"/>
      <c r="P19" s="46"/>
    </row>
    <row r="20" spans="1:18" x14ac:dyDescent="0.25">
      <c r="A20">
        <f t="shared" si="11"/>
        <v>2000</v>
      </c>
      <c r="B20">
        <f t="shared" si="11"/>
        <v>2001</v>
      </c>
      <c r="C20" s="25" t="str">
        <f t="shared" si="9"/>
        <v>2000-01</v>
      </c>
      <c r="D20" s="26">
        <v>16729</v>
      </c>
      <c r="E20" s="542">
        <f t="shared" si="0"/>
        <v>18415</v>
      </c>
      <c r="F20" s="26">
        <v>35144</v>
      </c>
      <c r="G20" s="547">
        <f t="shared" si="1"/>
        <v>0.47601297518779878</v>
      </c>
      <c r="H20" s="28">
        <v>75813</v>
      </c>
      <c r="I20" s="29">
        <f t="shared" si="2"/>
        <v>0.2206613641459908</v>
      </c>
      <c r="J20" s="11"/>
    </row>
    <row r="21" spans="1:18" x14ac:dyDescent="0.25">
      <c r="A21">
        <f t="shared" si="11"/>
        <v>2001</v>
      </c>
      <c r="B21">
        <f t="shared" si="11"/>
        <v>2002</v>
      </c>
      <c r="C21" s="25" t="str">
        <f t="shared" si="9"/>
        <v>2001-02</v>
      </c>
      <c r="D21" s="15">
        <v>16468</v>
      </c>
      <c r="E21" s="541">
        <f t="shared" si="0"/>
        <v>19458</v>
      </c>
      <c r="F21" s="15">
        <v>35926</v>
      </c>
      <c r="G21" s="546">
        <f t="shared" si="1"/>
        <v>0.45838668373879643</v>
      </c>
      <c r="H21" s="17">
        <v>81699</v>
      </c>
      <c r="I21" s="18">
        <f t="shared" si="2"/>
        <v>0.20156917465330054</v>
      </c>
      <c r="J21" s="11"/>
    </row>
    <row r="22" spans="1:18" x14ac:dyDescent="0.25">
      <c r="A22">
        <f t="shared" si="11"/>
        <v>2002</v>
      </c>
      <c r="B22">
        <f t="shared" si="11"/>
        <v>2003</v>
      </c>
      <c r="C22" s="25" t="str">
        <f t="shared" si="9"/>
        <v>2002-03</v>
      </c>
      <c r="D22" s="26">
        <v>17342</v>
      </c>
      <c r="E22" s="542">
        <f t="shared" si="0"/>
        <v>18617</v>
      </c>
      <c r="F22" s="26">
        <v>35959</v>
      </c>
      <c r="G22" s="547">
        <f t="shared" si="1"/>
        <v>0.48227147584749297</v>
      </c>
      <c r="H22" s="28">
        <v>88336</v>
      </c>
      <c r="I22" s="29">
        <f t="shared" si="2"/>
        <v>0.19631860170259011</v>
      </c>
      <c r="J22" s="11"/>
    </row>
    <row r="23" spans="1:18" x14ac:dyDescent="0.25">
      <c r="A23">
        <f t="shared" si="11"/>
        <v>2003</v>
      </c>
      <c r="B23">
        <f t="shared" si="11"/>
        <v>2004</v>
      </c>
      <c r="C23" s="25" t="str">
        <f t="shared" si="9"/>
        <v>2003-04</v>
      </c>
      <c r="D23" s="15">
        <v>16272</v>
      </c>
      <c r="E23" s="541">
        <f t="shared" si="0"/>
        <v>17328</v>
      </c>
      <c r="F23" s="15">
        <v>33600</v>
      </c>
      <c r="G23" s="546">
        <f t="shared" si="1"/>
        <v>0.48428571428571426</v>
      </c>
      <c r="H23" s="17">
        <v>95700</v>
      </c>
      <c r="I23" s="18">
        <f t="shared" si="2"/>
        <v>0.17003134796238245</v>
      </c>
      <c r="J23" s="11"/>
    </row>
    <row r="24" spans="1:18" x14ac:dyDescent="0.25">
      <c r="A24">
        <f t="shared" si="11"/>
        <v>2004</v>
      </c>
      <c r="B24">
        <f t="shared" si="11"/>
        <v>2005</v>
      </c>
      <c r="C24" s="25" t="str">
        <f t="shared" si="9"/>
        <v>2004-05</v>
      </c>
      <c r="D24" s="26">
        <v>21468</v>
      </c>
      <c r="E24" s="542">
        <f t="shared" si="0"/>
        <v>24016</v>
      </c>
      <c r="F24" s="26">
        <v>45484</v>
      </c>
      <c r="G24" s="547">
        <f t="shared" si="1"/>
        <v>0.4719901503825521</v>
      </c>
      <c r="H24" s="28">
        <v>105920</v>
      </c>
      <c r="I24" s="29">
        <f t="shared" si="2"/>
        <v>0.20268126888217522</v>
      </c>
      <c r="J24" s="11"/>
    </row>
    <row r="25" spans="1:18" x14ac:dyDescent="0.25">
      <c r="A25">
        <f t="shared" si="11"/>
        <v>2005</v>
      </c>
      <c r="B25">
        <f t="shared" si="11"/>
        <v>2006</v>
      </c>
      <c r="C25" s="25" t="str">
        <f t="shared" si="9"/>
        <v>2005-06</v>
      </c>
      <c r="D25" s="15">
        <v>29013</v>
      </c>
      <c r="E25" s="541">
        <f t="shared" si="0"/>
        <v>36133</v>
      </c>
      <c r="F25" s="15">
        <v>65146</v>
      </c>
      <c r="G25" s="546">
        <f t="shared" si="1"/>
        <v>0.44535351364627146</v>
      </c>
      <c r="H25" s="17">
        <v>122810</v>
      </c>
      <c r="I25" s="18">
        <f t="shared" si="2"/>
        <v>0.23624297695627391</v>
      </c>
      <c r="J25" s="11"/>
    </row>
    <row r="26" spans="1:18" x14ac:dyDescent="0.25">
      <c r="A26">
        <f t="shared" si="11"/>
        <v>2006</v>
      </c>
      <c r="B26">
        <f t="shared" si="11"/>
        <v>2007</v>
      </c>
      <c r="C26" s="25" t="str">
        <f t="shared" si="9"/>
        <v>2006-07</v>
      </c>
      <c r="D26" s="26">
        <v>38335</v>
      </c>
      <c r="E26" s="542">
        <f t="shared" si="0"/>
        <v>37816</v>
      </c>
      <c r="F26" s="26">
        <v>76151</v>
      </c>
      <c r="G26" s="547">
        <f t="shared" si="1"/>
        <v>0.50340770311617711</v>
      </c>
      <c r="H26" s="28">
        <v>143443</v>
      </c>
      <c r="I26" s="29">
        <f t="shared" si="2"/>
        <v>0.26724901180259752</v>
      </c>
      <c r="J26" s="11"/>
    </row>
    <row r="27" spans="1:18" x14ac:dyDescent="0.25">
      <c r="A27">
        <f t="shared" ref="A27:B44" si="12">A26+1</f>
        <v>2007</v>
      </c>
      <c r="B27">
        <f t="shared" si="12"/>
        <v>2008</v>
      </c>
      <c r="C27" s="25" t="str">
        <f t="shared" si="9"/>
        <v>2007-08</v>
      </c>
      <c r="D27" s="15">
        <v>42539</v>
      </c>
      <c r="E27" s="541">
        <f t="shared" si="0"/>
        <v>40511</v>
      </c>
      <c r="F27" s="15">
        <v>83050</v>
      </c>
      <c r="G27" s="546">
        <f t="shared" si="1"/>
        <v>0.51220951234196266</v>
      </c>
      <c r="H27" s="17">
        <v>161077</v>
      </c>
      <c r="I27" s="18">
        <f t="shared" si="2"/>
        <v>0.26409108687149624</v>
      </c>
      <c r="J27" s="11"/>
    </row>
    <row r="28" spans="1:18" x14ac:dyDescent="0.25">
      <c r="A28">
        <f t="shared" si="12"/>
        <v>2008</v>
      </c>
      <c r="B28">
        <f t="shared" si="12"/>
        <v>2009</v>
      </c>
      <c r="C28" s="25" t="str">
        <f t="shared" si="9"/>
        <v>2008-09</v>
      </c>
      <c r="D28" s="26">
        <v>51332</v>
      </c>
      <c r="E28" s="542">
        <f t="shared" si="0"/>
        <v>62622</v>
      </c>
      <c r="F28" s="26">
        <v>113954</v>
      </c>
      <c r="G28" s="547">
        <f t="shared" si="1"/>
        <v>0.45046246731137124</v>
      </c>
      <c r="H28" s="28">
        <v>176773</v>
      </c>
      <c r="I28" s="29">
        <f t="shared" si="2"/>
        <v>0.29038371244477379</v>
      </c>
      <c r="J28" s="11"/>
    </row>
    <row r="29" spans="1:18" x14ac:dyDescent="0.25">
      <c r="A29">
        <f t="shared" si="12"/>
        <v>2009</v>
      </c>
      <c r="B29">
        <f t="shared" si="12"/>
        <v>2010</v>
      </c>
      <c r="C29" s="25" t="str">
        <f t="shared" si="9"/>
        <v>2009-10</v>
      </c>
      <c r="D29" s="15">
        <v>54415</v>
      </c>
      <c r="E29" s="541">
        <f t="shared" si="0"/>
        <v>40132</v>
      </c>
      <c r="F29" s="15">
        <v>94547</v>
      </c>
      <c r="G29" s="546">
        <f t="shared" si="1"/>
        <v>0.57553386146572605</v>
      </c>
      <c r="H29" s="17">
        <v>185586</v>
      </c>
      <c r="I29" s="18">
        <f t="shared" si="2"/>
        <v>0.29320638410224908</v>
      </c>
      <c r="J29" s="11"/>
    </row>
    <row r="30" spans="1:18" x14ac:dyDescent="0.25">
      <c r="A30">
        <f t="shared" si="12"/>
        <v>2010</v>
      </c>
      <c r="B30">
        <f t="shared" si="12"/>
        <v>2011</v>
      </c>
      <c r="C30" s="25" t="str">
        <f t="shared" si="9"/>
        <v>2010-11</v>
      </c>
      <c r="D30" s="26">
        <v>81272</v>
      </c>
      <c r="E30" s="542">
        <f t="shared" si="0"/>
        <v>49292</v>
      </c>
      <c r="F30" s="26">
        <v>130564</v>
      </c>
      <c r="G30" s="547">
        <f t="shared" si="1"/>
        <v>0.62246867436659414</v>
      </c>
      <c r="H30" s="28">
        <v>222544</v>
      </c>
      <c r="I30" s="29">
        <f t="shared" si="2"/>
        <v>0.36519519735423106</v>
      </c>
      <c r="J30" s="11"/>
    </row>
    <row r="31" spans="1:18" x14ac:dyDescent="0.25">
      <c r="A31">
        <f t="shared" si="12"/>
        <v>2011</v>
      </c>
      <c r="B31">
        <f t="shared" si="12"/>
        <v>2012</v>
      </c>
      <c r="C31" s="25" t="str">
        <f t="shared" si="9"/>
        <v>2011-12</v>
      </c>
      <c r="D31" s="15">
        <v>83806</v>
      </c>
      <c r="E31" s="541">
        <f t="shared" si="0"/>
        <v>49347</v>
      </c>
      <c r="F31" s="15">
        <v>133153</v>
      </c>
      <c r="G31" s="546">
        <f t="shared" si="1"/>
        <v>0.6293962584395395</v>
      </c>
      <c r="H31" s="17">
        <v>242620</v>
      </c>
      <c r="I31" s="18">
        <f t="shared" si="2"/>
        <v>0.34542082268568131</v>
      </c>
      <c r="J31" s="11"/>
    </row>
    <row r="32" spans="1:18" x14ac:dyDescent="0.25">
      <c r="A32">
        <f t="shared" si="12"/>
        <v>2012</v>
      </c>
      <c r="B32">
        <f t="shared" si="12"/>
        <v>2013</v>
      </c>
      <c r="C32" s="25" t="str">
        <f t="shared" si="9"/>
        <v>2012-13</v>
      </c>
      <c r="D32" s="26">
        <v>75790</v>
      </c>
      <c r="E32" s="542">
        <f t="shared" si="0"/>
        <v>41934</v>
      </c>
      <c r="F32" s="26">
        <v>117724</v>
      </c>
      <c r="G32" s="547">
        <f t="shared" si="1"/>
        <v>0.64379395875097689</v>
      </c>
      <c r="H32" s="28">
        <v>247073</v>
      </c>
      <c r="I32" s="29">
        <f t="shared" si="2"/>
        <v>0.306751445928936</v>
      </c>
      <c r="J32" s="11"/>
    </row>
    <row r="33" spans="1:10" x14ac:dyDescent="0.25">
      <c r="A33">
        <f t="shared" si="12"/>
        <v>2013</v>
      </c>
      <c r="B33">
        <f t="shared" si="12"/>
        <v>2014</v>
      </c>
      <c r="C33" s="25" t="str">
        <f t="shared" si="9"/>
        <v>2013-14</v>
      </c>
      <c r="D33" s="15">
        <v>90359</v>
      </c>
      <c r="E33" s="541">
        <f t="shared" si="0"/>
        <v>43193</v>
      </c>
      <c r="F33" s="15">
        <v>133552</v>
      </c>
      <c r="G33" s="546">
        <f t="shared" si="1"/>
        <v>0.67658290403737875</v>
      </c>
      <c r="H33" s="17">
        <v>269719</v>
      </c>
      <c r="I33" s="18">
        <f t="shared" si="2"/>
        <v>0.33501162320785705</v>
      </c>
      <c r="J33" s="11"/>
    </row>
    <row r="34" spans="1:10" x14ac:dyDescent="0.25">
      <c r="A34">
        <f t="shared" si="12"/>
        <v>2014</v>
      </c>
      <c r="B34">
        <f t="shared" si="12"/>
        <v>2015</v>
      </c>
      <c r="C34" s="25" t="str">
        <f t="shared" si="9"/>
        <v>2014-15</v>
      </c>
      <c r="D34" s="26">
        <v>68158</v>
      </c>
      <c r="E34" s="542">
        <f t="shared" si="0"/>
        <v>39201</v>
      </c>
      <c r="F34" s="26">
        <v>107359</v>
      </c>
      <c r="G34" s="547">
        <f t="shared" si="1"/>
        <v>0.63486060786706289</v>
      </c>
      <c r="H34" s="28">
        <v>250806</v>
      </c>
      <c r="I34" s="29">
        <f t="shared" si="2"/>
        <v>0.27175585911022865</v>
      </c>
    </row>
    <row r="35" spans="1:10" x14ac:dyDescent="0.25">
      <c r="A35">
        <f t="shared" si="12"/>
        <v>2015</v>
      </c>
      <c r="B35">
        <f t="shared" si="12"/>
        <v>2016</v>
      </c>
      <c r="C35" s="25" t="str">
        <f t="shared" si="9"/>
        <v>2015-16</v>
      </c>
      <c r="D35" s="15">
        <v>57275</v>
      </c>
      <c r="E35" s="541">
        <f t="shared" si="0"/>
        <v>38912</v>
      </c>
      <c r="F35" s="15">
        <v>96187</v>
      </c>
      <c r="G35" s="546">
        <f t="shared" si="1"/>
        <v>0.5954546872238452</v>
      </c>
      <c r="H35" s="17">
        <v>237778</v>
      </c>
      <c r="I35" s="18">
        <f t="shared" si="2"/>
        <v>0.24087594310659521</v>
      </c>
    </row>
    <row r="36" spans="1:10" x14ac:dyDescent="0.25">
      <c r="A36">
        <f t="shared" si="12"/>
        <v>2016</v>
      </c>
      <c r="B36">
        <f t="shared" si="12"/>
        <v>2017</v>
      </c>
      <c r="C36" s="25" t="str">
        <f t="shared" si="9"/>
        <v>2016-17</v>
      </c>
      <c r="D36" s="26">
        <v>72378</v>
      </c>
      <c r="E36" s="542">
        <f t="shared" si="0"/>
        <v>60026</v>
      </c>
      <c r="F36" s="26">
        <v>132404</v>
      </c>
      <c r="G36" s="547">
        <f t="shared" si="1"/>
        <v>0.5466451164617383</v>
      </c>
      <c r="H36" s="28">
        <v>248904</v>
      </c>
      <c r="I36" s="29">
        <f t="shared" si="2"/>
        <v>0.29078680937228812</v>
      </c>
    </row>
    <row r="37" spans="1:10" x14ac:dyDescent="0.25">
      <c r="A37">
        <f t="shared" si="12"/>
        <v>2017</v>
      </c>
      <c r="B37">
        <f t="shared" si="12"/>
        <v>2018</v>
      </c>
      <c r="C37" s="25" t="str">
        <f t="shared" si="9"/>
        <v>2017-18</v>
      </c>
      <c r="D37" s="15">
        <v>79198</v>
      </c>
      <c r="E37" s="541">
        <f t="shared" si="0"/>
        <v>70504</v>
      </c>
      <c r="F37" s="15">
        <v>149702</v>
      </c>
      <c r="G37" s="546">
        <f t="shared" si="1"/>
        <v>0.5290376882072384</v>
      </c>
      <c r="H37" s="17">
        <v>257221</v>
      </c>
      <c r="I37" s="18">
        <f t="shared" si="2"/>
        <v>0.30789865524199034</v>
      </c>
    </row>
    <row r="38" spans="1:10" x14ac:dyDescent="0.25">
      <c r="A38">
        <f t="shared" si="12"/>
        <v>2018</v>
      </c>
      <c r="B38">
        <f t="shared" si="12"/>
        <v>2019</v>
      </c>
      <c r="C38" s="25" t="str">
        <f t="shared" si="9"/>
        <v>2018-19</v>
      </c>
      <c r="D38" s="26">
        <v>108179</v>
      </c>
      <c r="E38" s="542">
        <f t="shared" si="0"/>
        <v>82378</v>
      </c>
      <c r="F38" s="26">
        <v>190557</v>
      </c>
      <c r="G38" s="547">
        <f t="shared" si="1"/>
        <v>0.56769890374008825</v>
      </c>
      <c r="H38" s="28">
        <v>288015</v>
      </c>
      <c r="I38" s="29">
        <f t="shared" si="2"/>
        <v>0.37560196517542488</v>
      </c>
    </row>
    <row r="39" spans="1:10" x14ac:dyDescent="0.25">
      <c r="A39">
        <f t="shared" si="12"/>
        <v>2019</v>
      </c>
      <c r="B39">
        <f t="shared" si="12"/>
        <v>2020</v>
      </c>
      <c r="C39" s="25" t="str">
        <f t="shared" si="9"/>
        <v>2019-20</v>
      </c>
      <c r="D39" s="15">
        <v>131090</v>
      </c>
      <c r="E39" s="541">
        <f t="shared" si="0"/>
        <v>71394</v>
      </c>
      <c r="F39" s="15">
        <v>202484</v>
      </c>
      <c r="G39" s="546">
        <f t="shared" si="1"/>
        <v>0.64740917800912667</v>
      </c>
      <c r="H39" s="17">
        <v>314025</v>
      </c>
      <c r="I39" s="18">
        <f t="shared" si="2"/>
        <v>0.41745083990128173</v>
      </c>
    </row>
    <row r="40" spans="1:10" ht="15.75" customHeight="1" x14ac:dyDescent="0.25">
      <c r="A40">
        <f t="shared" si="12"/>
        <v>2020</v>
      </c>
      <c r="B40">
        <f t="shared" si="12"/>
        <v>2021</v>
      </c>
      <c r="C40" s="25" t="str">
        <f t="shared" si="9"/>
        <v>2020-21</v>
      </c>
      <c r="D40" s="26">
        <v>172316</v>
      </c>
      <c r="E40" s="542">
        <f t="shared" si="0"/>
        <v>50173</v>
      </c>
      <c r="F40" s="26">
        <v>222489</v>
      </c>
      <c r="G40" s="547">
        <f t="shared" si="1"/>
        <v>0.77449222208738411</v>
      </c>
      <c r="H40" s="28">
        <v>367521</v>
      </c>
      <c r="I40" s="29">
        <f t="shared" si="2"/>
        <v>0.46886028281377118</v>
      </c>
    </row>
    <row r="41" spans="1:10" x14ac:dyDescent="0.25">
      <c r="A41">
        <f t="shared" si="12"/>
        <v>2021</v>
      </c>
      <c r="B41">
        <f t="shared" si="12"/>
        <v>2022</v>
      </c>
      <c r="C41" s="25" t="str">
        <f t="shared" si="9"/>
        <v>2021-22</v>
      </c>
      <c r="D41" s="15">
        <v>185374</v>
      </c>
      <c r="E41" s="541">
        <f t="shared" si="0"/>
        <v>128612</v>
      </c>
      <c r="F41" s="15">
        <v>313986</v>
      </c>
      <c r="G41" s="546">
        <f t="shared" si="1"/>
        <v>0.59038938041823519</v>
      </c>
      <c r="H41" s="17">
        <v>403803</v>
      </c>
      <c r="I41" s="18">
        <f t="shared" si="2"/>
        <v>0.45907038828339564</v>
      </c>
    </row>
    <row r="42" spans="1:10" x14ac:dyDescent="0.25">
      <c r="A42">
        <f t="shared" si="12"/>
        <v>2022</v>
      </c>
      <c r="B42">
        <f t="shared" si="12"/>
        <v>2023</v>
      </c>
      <c r="C42" s="25" t="str">
        <f t="shared" si="9"/>
        <v>2022-23</v>
      </c>
      <c r="D42" s="26">
        <v>206058</v>
      </c>
      <c r="E42" s="542">
        <f t="shared" si="0"/>
        <v>143178</v>
      </c>
      <c r="F42" s="26">
        <v>349236</v>
      </c>
      <c r="G42" s="547">
        <f t="shared" si="1"/>
        <v>0.59002508332474313</v>
      </c>
      <c r="H42" s="28">
        <v>448633</v>
      </c>
      <c r="I42" s="29">
        <f t="shared" si="2"/>
        <v>0.4593019238442112</v>
      </c>
    </row>
    <row r="43" spans="1:10" x14ac:dyDescent="0.25">
      <c r="A43">
        <f t="shared" si="12"/>
        <v>2023</v>
      </c>
      <c r="B43">
        <f t="shared" si="12"/>
        <v>2024</v>
      </c>
      <c r="C43" s="25" t="str">
        <f t="shared" si="9"/>
        <v>2023-24</v>
      </c>
      <c r="D43" s="15">
        <v>195959</v>
      </c>
      <c r="E43" s="541">
        <f t="shared" si="0"/>
        <v>96753</v>
      </c>
      <c r="F43" s="15">
        <v>292712</v>
      </c>
      <c r="G43" s="546">
        <f t="shared" si="1"/>
        <v>0.66946008363169263</v>
      </c>
      <c r="H43" s="17">
        <v>455683</v>
      </c>
      <c r="I43" s="18">
        <f t="shared" si="2"/>
        <v>0.43003359791785079</v>
      </c>
    </row>
    <row r="44" spans="1:10" ht="15.75" thickBot="1" x14ac:dyDescent="0.3">
      <c r="A44">
        <f t="shared" si="12"/>
        <v>2024</v>
      </c>
      <c r="B44">
        <f t="shared" si="12"/>
        <v>2025</v>
      </c>
      <c r="C44" s="530" t="s">
        <v>824</v>
      </c>
      <c r="D44" s="543">
        <v>177844</v>
      </c>
      <c r="E44" s="544">
        <f t="shared" si="0"/>
        <v>79821</v>
      </c>
      <c r="F44" s="543">
        <v>257665</v>
      </c>
      <c r="G44" s="548">
        <f t="shared" si="1"/>
        <v>0.69021403760697031</v>
      </c>
      <c r="H44" s="550">
        <v>458831</v>
      </c>
      <c r="I44" s="545">
        <f t="shared" si="2"/>
        <v>0.38760240698645038</v>
      </c>
    </row>
  </sheetData>
  <mergeCells count="2">
    <mergeCell ref="C7:I7"/>
    <mergeCell ref="L7:R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94164-670C-4E62-96D8-39E2E72B37C0}">
  <sheetPr codeName="Sheet6"/>
  <dimension ref="A1:V246"/>
  <sheetViews>
    <sheetView showGridLines="0" zoomScale="85" zoomScaleNormal="85" workbookViewId="0"/>
  </sheetViews>
  <sheetFormatPr defaultColWidth="9.140625" defaultRowHeight="15" x14ac:dyDescent="0.25"/>
  <cols>
    <col min="1" max="1" width="50.7109375" customWidth="1"/>
    <col min="2" max="5" width="17.7109375" customWidth="1"/>
  </cols>
  <sheetData>
    <row r="1" spans="1:22" ht="15.75" thickBot="1" x14ac:dyDescent="0.3">
      <c r="D1" s="51" t="s">
        <v>53</v>
      </c>
      <c r="E1" s="52" t="s">
        <v>61</v>
      </c>
      <c r="U1" s="53" t="s">
        <v>62</v>
      </c>
      <c r="V1" s="53" t="s">
        <v>62</v>
      </c>
    </row>
    <row r="2" spans="1:22" x14ac:dyDescent="0.25">
      <c r="U2" s="53" t="s">
        <v>61</v>
      </c>
    </row>
    <row r="7" spans="1:22" ht="18.75" customHeight="1" thickBot="1" x14ac:dyDescent="0.3">
      <c r="A7" s="576" t="str">
        <f>CONCATENATE("Western Australia Mineral and Petroleum Exports ",B8," and ",C8)</f>
        <v>Western Australia Mineral and Petroleum Exports 2024 and 2025</v>
      </c>
      <c r="B7" s="576"/>
      <c r="C7" s="576"/>
      <c r="D7" s="576"/>
      <c r="E7" s="576"/>
    </row>
    <row r="8" spans="1:22" x14ac:dyDescent="0.25">
      <c r="A8" s="54"/>
      <c r="B8" s="55">
        <f>IF($E$1="Calendar Year", 2024, "2023-24")</f>
        <v>2024</v>
      </c>
      <c r="C8" s="55">
        <f>IF($E$1="Calendar Year", 2025, "2024-25")</f>
        <v>2025</v>
      </c>
      <c r="D8" s="577" t="str">
        <f>CONCATENATE(C8," Growth")</f>
        <v>2025 Growth</v>
      </c>
      <c r="E8" s="578"/>
      <c r="T8" s="53" t="str">
        <f>CONCATENATE("Western Australia Mineral and Petroleum Exports Growth "&amp;CHAR(10)&amp;B8&amp;" to "&amp;C8)</f>
        <v>Western Australia Mineral and Petroleum Exports Growth 
2024 to 2025</v>
      </c>
      <c r="U8" s="53" t="str">
        <f>CONCATENATE("Western Australia Mineral and Petroleum Exports "&amp;CHAR(10)&amp;C8)</f>
        <v>Western Australia Mineral and Petroleum Exports 
2025</v>
      </c>
    </row>
    <row r="9" spans="1:22" x14ac:dyDescent="0.25">
      <c r="A9" s="56" t="s">
        <v>63</v>
      </c>
      <c r="B9" s="57" t="s">
        <v>64</v>
      </c>
      <c r="C9" s="57" t="s">
        <v>64</v>
      </c>
      <c r="D9" s="58" t="s">
        <v>64</v>
      </c>
      <c r="E9" s="59" t="s">
        <v>65</v>
      </c>
    </row>
    <row r="10" spans="1:22" x14ac:dyDescent="0.25">
      <c r="A10" s="60" t="s">
        <v>66</v>
      </c>
      <c r="B10" s="61" cm="1">
        <f t="array" ref="B10">IF($E$1="Financial Year",
_xlfn.XLOOKUP(B$8, 'Exports Historic'!$8:$8, _xlfn.XLOOKUP($A10, 'Exports Historic'!$A$10:$A$23, 'Exports Historic'!$10:$23)),
_xlfn.XLOOKUP(B$8, 'Exports Historic'!$26:$26, _xlfn.XLOOKUP($A10, 'Exports Historic'!$A$28:$A$41, 'Exports Historic'!$28:$41))
)</f>
        <v>7845796000</v>
      </c>
      <c r="C10" s="61" cm="1">
        <f t="array" ref="C10">IF($E$1="Financial Year",
_xlfn.XLOOKUP(C$8, 'Exports Historic'!$8:$8, _xlfn.XLOOKUP($A10, 'Exports Historic'!$A$10:$A$23, 'Exports Historic'!$10:$23)),
_xlfn.XLOOKUP(C$8, 'Exports Historic'!$26:$26, _xlfn.XLOOKUP($A10, 'Exports Historic'!$A$28:$A$41, 'Exports Historic'!$28:$41))
)</f>
        <v>7088050000</v>
      </c>
      <c r="D10" s="62">
        <f>IFERROR(C10-B10,"n/a")</f>
        <v>-757746000</v>
      </c>
      <c r="E10" s="63">
        <f t="shared" ref="E10:E18" si="0">IFERROR(D10/B10,"n/a")</f>
        <v>-9.6579875388042205E-2</v>
      </c>
      <c r="F10" s="64"/>
      <c r="J10" t="str">
        <f>"Mineral and Petroleum Exports"&amp;CHAR(10)&amp;C8</f>
        <v>Mineral and Petroleum Exports
2025</v>
      </c>
    </row>
    <row r="11" spans="1:22" x14ac:dyDescent="0.25">
      <c r="A11" s="60" t="s">
        <v>67</v>
      </c>
      <c r="B11" s="65" t="str" cm="1">
        <f t="array" ref="B11">IF($E$1="Financial Year",
_xlfn.XLOOKUP(B$8, 'Exports Historic'!$8:$8, _xlfn.XLOOKUP($A11, 'Exports Historic'!$A$10:$A$23, 'Exports Historic'!$10:$23)),
_xlfn.XLOOKUP(B$8, 'Exports Historic'!$26:$26, _xlfn.XLOOKUP($A11, 'Exports Historic'!$A$28:$A$41, 'Exports Historic'!$28:$41))
)</f>
        <v>n/a</v>
      </c>
      <c r="C11" s="65" t="str" cm="1">
        <f t="array" ref="C11">IF($E$1="Financial Year",
_xlfn.XLOOKUP(C$8, 'Exports Historic'!$8:$8, _xlfn.XLOOKUP($A11, 'Exports Historic'!$A$10:$A$23, 'Exports Historic'!$10:$23)),
_xlfn.XLOOKUP(C$8, 'Exports Historic'!$26:$26, _xlfn.XLOOKUP($A11, 'Exports Historic'!$A$28:$A$41, 'Exports Historic'!$28:$41))
)</f>
        <v>n/a</v>
      </c>
      <c r="D11" s="66" t="str">
        <f t="shared" ref="D11:D18" si="1">IFERROR(C11-B11,"n/a")</f>
        <v>n/a</v>
      </c>
      <c r="E11" s="67" t="str">
        <f t="shared" si="0"/>
        <v>n/a</v>
      </c>
      <c r="F11" s="64"/>
    </row>
    <row r="12" spans="1:22" x14ac:dyDescent="0.25">
      <c r="A12" s="60" t="s">
        <v>68</v>
      </c>
      <c r="B12" s="61" cm="1">
        <f t="array" ref="B12">IF($E$1="Financial Year",
_xlfn.XLOOKUP(B$8, 'Exports Historic'!$8:$8, _xlfn.XLOOKUP($A12, 'Exports Historic'!$A$10:$A$23, 'Exports Historic'!$10:$23)),
_xlfn.XLOOKUP(B$8, 'Exports Historic'!$26:$26, _xlfn.XLOOKUP($A12, 'Exports Historic'!$A$28:$A$41, 'Exports Historic'!$28:$41))
)</f>
        <v>26087844000</v>
      </c>
      <c r="C12" s="61" cm="1">
        <f t="array" ref="C12">IF($E$1="Financial Year",
_xlfn.XLOOKUP(C$8, 'Exports Historic'!$8:$8, _xlfn.XLOOKUP($A12, 'Exports Historic'!$A$10:$A$23, 'Exports Historic'!$10:$23)),
_xlfn.XLOOKUP(C$8, 'Exports Historic'!$26:$26, _xlfn.XLOOKUP($A12, 'Exports Historic'!$A$28:$A$41, 'Exports Historic'!$28:$41))
)</f>
        <v>33997406000</v>
      </c>
      <c r="D12" s="62">
        <f t="shared" si="1"/>
        <v>7909562000</v>
      </c>
      <c r="E12" s="63">
        <f t="shared" si="0"/>
        <v>0.30318956215776205</v>
      </c>
      <c r="F12" s="64"/>
    </row>
    <row r="13" spans="1:22" x14ac:dyDescent="0.25">
      <c r="A13" s="68" t="s">
        <v>69</v>
      </c>
      <c r="B13" s="65" cm="1">
        <f t="array" ref="B13">IF($E$1="Financial Year",
_xlfn.XLOOKUP(B$8, 'Exports Historic'!$8:$8, _xlfn.XLOOKUP($A13, 'Exports Historic'!$A$10:$A$23, 'Exports Historic'!$10:$23)),
_xlfn.XLOOKUP(B$8, 'Exports Historic'!$26:$26, _xlfn.XLOOKUP($A13, 'Exports Historic'!$A$28:$A$41, 'Exports Historic'!$28:$41))
)</f>
        <v>122985428000</v>
      </c>
      <c r="C13" s="65" cm="1">
        <f t="array" ref="C13">IF($E$1="Financial Year",
_xlfn.XLOOKUP(C$8, 'Exports Historic'!$8:$8, _xlfn.XLOOKUP($A13, 'Exports Historic'!$A$10:$A$23, 'Exports Historic'!$10:$23)),
_xlfn.XLOOKUP(C$8, 'Exports Historic'!$26:$26, _xlfn.XLOOKUP($A13, 'Exports Historic'!$A$28:$A$41, 'Exports Historic'!$28:$41))
)</f>
        <v>119657689000</v>
      </c>
      <c r="D13" s="66">
        <f t="shared" si="1"/>
        <v>-3327739000</v>
      </c>
      <c r="E13" s="67">
        <f t="shared" si="0"/>
        <v>-2.7057994220258355E-2</v>
      </c>
      <c r="F13" s="64"/>
    </row>
    <row r="14" spans="1:22" x14ac:dyDescent="0.25">
      <c r="A14" s="68" t="s">
        <v>70</v>
      </c>
      <c r="B14" s="61" cm="1">
        <f t="array" ref="B14">IF($E$1="Financial Year",
_xlfn.XLOOKUP(B$8, 'Exports Historic'!$8:$8, _xlfn.XLOOKUP($A14, 'Exports Historic'!$A$10:$A$23, 'Exports Historic'!$10:$23)),
_xlfn.XLOOKUP(B$8, 'Exports Historic'!$26:$26, _xlfn.XLOOKUP($A14, 'Exports Historic'!$A$28:$A$41, 'Exports Historic'!$28:$41))
)</f>
        <v>4745865018</v>
      </c>
      <c r="C14" s="61" cm="1">
        <f t="array" ref="C14">IF($E$1="Financial Year",
_xlfn.XLOOKUP(C$8, 'Exports Historic'!$8:$8, _xlfn.XLOOKUP($A14, 'Exports Historic'!$A$10:$A$23, 'Exports Historic'!$10:$23)),
_xlfn.XLOOKUP(C$8, 'Exports Historic'!$26:$26, _xlfn.XLOOKUP($A14, 'Exports Historic'!$A$28:$A$41, 'Exports Historic'!$28:$41))
)</f>
        <v>4691001084</v>
      </c>
      <c r="D14" s="62">
        <f t="shared" si="1"/>
        <v>-54863934</v>
      </c>
      <c r="E14" s="63">
        <f t="shared" si="0"/>
        <v>-1.1560365453276362E-2</v>
      </c>
      <c r="F14" s="64"/>
    </row>
    <row r="15" spans="1:22" x14ac:dyDescent="0.25">
      <c r="A15" s="60" t="s">
        <v>71</v>
      </c>
      <c r="B15" s="65" t="str" cm="1">
        <f t="array" ref="B15">IF($E$1="Financial Year",
_xlfn.XLOOKUP(B$8, 'Exports Historic'!$8:$8, _xlfn.XLOOKUP($A15, 'Exports Historic'!$A$10:$A$23, 'Exports Historic'!$10:$23)),
_xlfn.XLOOKUP(B$8, 'Exports Historic'!$26:$26, _xlfn.XLOOKUP($A15, 'Exports Historic'!$A$28:$A$41, 'Exports Historic'!$28:$41))
)</f>
        <v>n/a</v>
      </c>
      <c r="C15" s="65" t="str" cm="1">
        <f t="array" ref="C15">IF($E$1="Financial Year",
_xlfn.XLOOKUP(C$8, 'Exports Historic'!$8:$8, _xlfn.XLOOKUP($A15, 'Exports Historic'!$A$10:$A$23, 'Exports Historic'!$10:$23)),
_xlfn.XLOOKUP(C$8, 'Exports Historic'!$26:$26, _xlfn.XLOOKUP($A15, 'Exports Historic'!$A$28:$A$41, 'Exports Historic'!$28:$41))
)</f>
        <v>n/a</v>
      </c>
      <c r="D15" s="66" t="str">
        <f t="shared" si="1"/>
        <v>n/a</v>
      </c>
      <c r="E15" s="67" t="str">
        <f t="shared" si="0"/>
        <v>n/a</v>
      </c>
      <c r="F15" s="64"/>
      <c r="M15" s="53" t="str">
        <f>CONCATENATE("Royalty Receipts and North West Shelf Grants ",C8)</f>
        <v>Royalty Receipts and North West Shelf Grants 2025</v>
      </c>
    </row>
    <row r="16" spans="1:22" x14ac:dyDescent="0.25">
      <c r="A16" s="60" t="s">
        <v>72</v>
      </c>
      <c r="B16" s="61" t="str" cm="1">
        <f t="array" ref="B16">IF($E$1="Financial Year",
_xlfn.XLOOKUP(B$8, 'Exports Historic'!$8:$8, _xlfn.XLOOKUP($A16, 'Exports Historic'!$A$10:$A$23, 'Exports Historic'!$10:$23)),
_xlfn.XLOOKUP(B$8, 'Exports Historic'!$26:$26, _xlfn.XLOOKUP($A16, 'Exports Historic'!$A$28:$A$41, 'Exports Historic'!$28:$41))
)</f>
        <v>n/a</v>
      </c>
      <c r="C16" s="61" t="str" cm="1">
        <f t="array" ref="C16">IF($E$1="Financial Year",
_xlfn.XLOOKUP(C$8, 'Exports Historic'!$8:$8, _xlfn.XLOOKUP($A16, 'Exports Historic'!$A$10:$A$23, 'Exports Historic'!$10:$23)),
_xlfn.XLOOKUP(C$8, 'Exports Historic'!$26:$26, _xlfn.XLOOKUP($A16, 'Exports Historic'!$A$28:$A$41, 'Exports Historic'!$28:$41))
)</f>
        <v>n/a</v>
      </c>
      <c r="D16" s="62" t="str">
        <f t="shared" si="1"/>
        <v>n/a</v>
      </c>
      <c r="E16" s="63" t="str">
        <f t="shared" si="0"/>
        <v>n/a</v>
      </c>
      <c r="F16" s="69"/>
      <c r="G16" s="70"/>
    </row>
    <row r="17" spans="1:7" x14ac:dyDescent="0.25">
      <c r="A17" s="60" t="s">
        <v>73</v>
      </c>
      <c r="B17" s="65" t="str" cm="1">
        <f t="array" ref="B17">IF($E$1="Financial Year",
_xlfn.XLOOKUP(B$8, 'Exports Historic'!$8:$8, _xlfn.XLOOKUP($A17, 'Exports Historic'!$A$10:$A$23, 'Exports Historic'!$10:$23)),
_xlfn.XLOOKUP(B$8, 'Exports Historic'!$26:$26, _xlfn.XLOOKUP($A17, 'Exports Historic'!$A$28:$A$41, 'Exports Historic'!$28:$41))
)</f>
        <v>n/a</v>
      </c>
      <c r="C17" s="65" t="str" cm="1">
        <f t="array" ref="C17">IF($E$1="Financial Year",
_xlfn.XLOOKUP(C$8, 'Exports Historic'!$8:$8, _xlfn.XLOOKUP($A17, 'Exports Historic'!$A$10:$A$23, 'Exports Historic'!$10:$23)),
_xlfn.XLOOKUP(C$8, 'Exports Historic'!$26:$26, _xlfn.XLOOKUP($A17, 'Exports Historic'!$A$28:$A$41, 'Exports Historic'!$28:$41))
)</f>
        <v>n/a</v>
      </c>
      <c r="D17" s="66" t="str">
        <f t="shared" si="1"/>
        <v>n/a</v>
      </c>
      <c r="E17" s="67" t="str">
        <f t="shared" si="0"/>
        <v>n/a</v>
      </c>
      <c r="F17" s="71"/>
      <c r="G17" s="72"/>
    </row>
    <row r="18" spans="1:7" x14ac:dyDescent="0.25">
      <c r="A18" s="60" t="s">
        <v>74</v>
      </c>
      <c r="B18" s="61" cm="1">
        <f t="array" ref="B18">IF($E$1="Financial Year",
_xlfn.XLOOKUP(B$8, 'Exports Historic'!$8:$8, _xlfn.XLOOKUP($A18, 'Exports Historic'!$A$10:$A$23, 'Exports Historic'!$10:$23)),
_xlfn.XLOOKUP(B$8, 'Exports Historic'!$26:$26, _xlfn.XLOOKUP($A18, 'Exports Historic'!$A$28:$A$41, 'Exports Historic'!$28:$41))
)</f>
        <v>57709943973.070862</v>
      </c>
      <c r="C18" s="61" cm="1">
        <f t="array" ref="C18">IF($E$1="Financial Year",
_xlfn.XLOOKUP(C$8, 'Exports Historic'!$8:$8, _xlfn.XLOOKUP($A18, 'Exports Historic'!$A$10:$A$23, 'Exports Historic'!$10:$23)),
_xlfn.XLOOKUP(C$8, 'Exports Historic'!$26:$26, _xlfn.XLOOKUP($A18, 'Exports Historic'!$A$28:$A$41, 'Exports Historic'!$28:$41))
)</f>
        <v>50169808592.457756</v>
      </c>
      <c r="D18" s="62">
        <f t="shared" si="1"/>
        <v>-7540135380.6131058</v>
      </c>
      <c r="E18" s="63">
        <f t="shared" si="0"/>
        <v>-0.13065573905480748</v>
      </c>
    </row>
    <row r="19" spans="1:7" x14ac:dyDescent="0.25">
      <c r="A19" s="73" t="s">
        <v>75</v>
      </c>
      <c r="B19" s="74" cm="1">
        <f t="array" ref="B19">IF($E$1="Financial Year",
_xlfn.XLOOKUP(B$8, 'Exports Historic'!$8:$8, _xlfn.XLOOKUP($A19, 'Exports Historic'!$A$10:$A$23, 'Exports Historic'!$10:$23)),
_xlfn.XLOOKUP(B$8, 'Exports Historic'!$26:$26, _xlfn.XLOOKUP($A19, 'Exports Historic'!$A$28:$A$41, 'Exports Historic'!$28:$41))
)</f>
        <v>219374876991.07086</v>
      </c>
      <c r="C19" s="74" cm="1">
        <f t="array" ref="C19">IF($E$1="Financial Year",
_xlfn.XLOOKUP(C$8, 'Exports Historic'!$8:$8, _xlfn.XLOOKUP($A19, 'Exports Historic'!$A$10:$A$23, 'Exports Historic'!$10:$23)),
_xlfn.XLOOKUP(C$8, 'Exports Historic'!$26:$26, _xlfn.XLOOKUP($A19, 'Exports Historic'!$A$28:$A$41, 'Exports Historic'!$28:$41))
)</f>
        <v>215603954676.45776</v>
      </c>
      <c r="D19" s="75">
        <f t="shared" ref="D19" si="2">C19-B19</f>
        <v>-3770922314.6130981</v>
      </c>
      <c r="E19" s="76">
        <f t="shared" ref="E19" si="3">D19/B19</f>
        <v>-1.7189399106838404E-2</v>
      </c>
    </row>
    <row r="20" spans="1:7" x14ac:dyDescent="0.25">
      <c r="A20" s="77" t="s">
        <v>76</v>
      </c>
      <c r="B20" s="78" cm="1">
        <f t="array" ref="B20">IF($E$1="Financial Year",
_xlfn.XLOOKUP(B$8, 'Exports Historic'!$8:$8, _xlfn.XLOOKUP($A20, 'Exports Historic'!$A$10:$A$23, 'Exports Historic'!$10:$23)),
_xlfn.XLOOKUP(B$8, 'Exports Historic'!$26:$26, _xlfn.XLOOKUP($A20, 'Exports Historic'!$A$28:$A$41, 'Exports Historic'!$28:$41))
)</f>
        <v>0.93531405706751669</v>
      </c>
      <c r="C20" s="78" cm="1">
        <f t="array" ref="C20">IF($E$1="Financial Year",
_xlfn.XLOOKUP(C$8, 'Exports Historic'!$8:$8, _xlfn.XLOOKUP($A20, 'Exports Historic'!$A$10:$A$23, 'Exports Historic'!$10:$23)),
_xlfn.XLOOKUP(C$8, 'Exports Historic'!$26:$26, _xlfn.XLOOKUP($A20, 'Exports Historic'!$A$28:$A$41, 'Exports Historic'!$28:$41))
)</f>
        <v>0.90811444797088148</v>
      </c>
      <c r="D20" s="79" t="s">
        <v>77</v>
      </c>
      <c r="E20" s="80">
        <f>C20-B20</f>
        <v>-2.7199609096635213E-2</v>
      </c>
    </row>
    <row r="21" spans="1:7" x14ac:dyDescent="0.25">
      <c r="A21" s="77" t="s">
        <v>78</v>
      </c>
      <c r="B21" s="81" cm="1">
        <f t="array" ref="B21">IF($E$1="Financial Year",
_xlfn.XLOOKUP(B$8, 'Exports Historic'!$8:$8, _xlfn.XLOOKUP($A21, 'Exports Historic'!$A$10:$A$23, 'Exports Historic'!$10:$23)),
_xlfn.XLOOKUP(B$8, 'Exports Historic'!$26:$26, _xlfn.XLOOKUP($A21, 'Exports Historic'!$A$28:$A$41, 'Exports Historic'!$28:$41))
)</f>
        <v>394856140452.73138</v>
      </c>
      <c r="C21" s="81" t="str" cm="1">
        <f t="array" ref="C21">IF($E$1="Financial Year",
_xlfn.XLOOKUP(C$8, 'Exports Historic'!$8:$8, _xlfn.XLOOKUP($A21, 'Exports Historic'!$A$10:$A$23, 'Exports Historic'!$10:$23)),
_xlfn.XLOOKUP(C$8, 'Exports Historic'!$26:$26, _xlfn.XLOOKUP($A21, 'Exports Historic'!$A$28:$A$41, 'Exports Historic'!$28:$41))
)</f>
        <v>n/a</v>
      </c>
      <c r="D21" s="79" t="str">
        <f>IFERROR(C21-B21, "n/a")</f>
        <v>n/a</v>
      </c>
      <c r="E21" s="80" t="str">
        <f>IFERROR(D21/B21, "n/a")</f>
        <v>n/a</v>
      </c>
    </row>
    <row r="22" spans="1:7" ht="15.75" thickBot="1" x14ac:dyDescent="0.3">
      <c r="A22" s="82" t="s">
        <v>79</v>
      </c>
      <c r="B22" s="83" cm="1">
        <f t="array" ref="B22">IF($E$1="Financial Year",
_xlfn.XLOOKUP(B$8, 'Exports Historic'!$8:$8, _xlfn.XLOOKUP($A22, 'Exports Historic'!$A$10:$A$23, 'Exports Historic'!$10:$23)),
_xlfn.XLOOKUP(B$8, 'Exports Historic'!$26:$26, _xlfn.XLOOKUP($A22, 'Exports Historic'!$A$28:$A$41, 'Exports Historic'!$28:$41))
)</f>
        <v>0.55558177907412443</v>
      </c>
      <c r="C22" s="83" t="str" cm="1">
        <f t="array" ref="C22">IF($E$1="Financial Year",
_xlfn.XLOOKUP(C$8, 'Exports Historic'!$8:$8, _xlfn.XLOOKUP($A22, 'Exports Historic'!$A$10:$A$23, 'Exports Historic'!$10:$23)),
_xlfn.XLOOKUP(C$8, 'Exports Historic'!$26:$26, _xlfn.XLOOKUP($A22, 'Exports Historic'!$A$28:$A$41, 'Exports Historic'!$28:$41))
)</f>
        <v>n/a</v>
      </c>
      <c r="D22" s="84" t="s">
        <v>77</v>
      </c>
      <c r="E22" s="85" t="str">
        <f>IFERROR(C22-B22, "n/a")</f>
        <v>n/a</v>
      </c>
    </row>
    <row r="235" spans="2:2" x14ac:dyDescent="0.25">
      <c r="B235">
        <v>63.54</v>
      </c>
    </row>
    <row r="236" spans="2:2" x14ac:dyDescent="0.25">
      <c r="B236">
        <v>63.86</v>
      </c>
    </row>
    <row r="237" spans="2:2" x14ac:dyDescent="0.25">
      <c r="B237">
        <v>63.7</v>
      </c>
    </row>
    <row r="238" spans="2:2" x14ac:dyDescent="0.25">
      <c r="B238">
        <v>64.67</v>
      </c>
    </row>
    <row r="239" spans="2:2" x14ac:dyDescent="0.25">
      <c r="B239">
        <v>65.03</v>
      </c>
    </row>
    <row r="240" spans="2:2" x14ac:dyDescent="0.25">
      <c r="B240">
        <v>64.67</v>
      </c>
    </row>
    <row r="241" spans="2:2" x14ac:dyDescent="0.25">
      <c r="B241">
        <v>65.260000000000005</v>
      </c>
    </row>
    <row r="242" spans="2:2" x14ac:dyDescent="0.25">
      <c r="B242">
        <v>66.599999999999994</v>
      </c>
    </row>
    <row r="243" spans="2:2" x14ac:dyDescent="0.25">
      <c r="B243">
        <v>66.28</v>
      </c>
    </row>
    <row r="244" spans="2:2" x14ac:dyDescent="0.25">
      <c r="B244">
        <v>65.11</v>
      </c>
    </row>
    <row r="245" spans="2:2" x14ac:dyDescent="0.25">
      <c r="B245">
        <v>64.040000000000006</v>
      </c>
    </row>
    <row r="246" spans="2:2" x14ac:dyDescent="0.25">
      <c r="B246">
        <v>64.569999999999993</v>
      </c>
    </row>
  </sheetData>
  <mergeCells count="2">
    <mergeCell ref="A7:E7"/>
    <mergeCell ref="D8:E8"/>
  </mergeCells>
  <conditionalFormatting sqref="D10:E21">
    <cfRule type="cellIs" dxfId="3" priority="1" operator="lessThan">
      <formula>0</formula>
    </cfRule>
  </conditionalFormatting>
  <conditionalFormatting sqref="F16:G17 E22">
    <cfRule type="cellIs" dxfId="2" priority="4" operator="lessThan">
      <formula>0</formula>
    </cfRule>
  </conditionalFormatting>
  <dataValidations count="1">
    <dataValidation type="list" allowBlank="1" showInputMessage="1" showErrorMessage="1" promptTitle="Select a Period" prompt="Click to select Calendar or Financial Year" sqref="E1" xr:uid="{2FBBE3E0-682F-42D7-AB90-5EAEF99F95C1}">
      <formula1>$U$1:$U$2</formula1>
    </dataValidation>
  </dataValidations>
  <pageMargins left="0.70866141732283472" right="0.70866141732283472" top="0.74803149606299213" bottom="0.74803149606299213" header="0.31496062992125984" footer="0.31496062992125984"/>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0B9AF-6B75-4E12-A0E0-0774C2DB8FA6}">
  <sheetPr codeName="Sheet7"/>
  <dimension ref="A1:Z41"/>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50.7109375" customWidth="1"/>
    <col min="2" max="12" width="17.7109375" customWidth="1"/>
  </cols>
  <sheetData>
    <row r="1" spans="1:26" x14ac:dyDescent="0.25">
      <c r="A1" s="3"/>
      <c r="B1" s="3">
        <f t="shared" ref="B1:J1" ca="1" si="0">IFERROR(SUM(LEFT(INDIRECT(ADDRESS(8,COLUMN(),1,0),FALSE),4)),"")</f>
        <v>2015</v>
      </c>
      <c r="C1" s="3">
        <f t="shared" ca="1" si="0"/>
        <v>2016</v>
      </c>
      <c r="D1" s="3">
        <f t="shared" ca="1" si="0"/>
        <v>2017</v>
      </c>
      <c r="E1" s="3">
        <f t="shared" ca="1" si="0"/>
        <v>2018</v>
      </c>
      <c r="F1" s="3">
        <f t="shared" ca="1" si="0"/>
        <v>2019</v>
      </c>
      <c r="G1" s="3">
        <f t="shared" ca="1" si="0"/>
        <v>2020</v>
      </c>
      <c r="H1" s="3">
        <f t="shared" ca="1" si="0"/>
        <v>2021</v>
      </c>
      <c r="I1" s="3">
        <f t="shared" ca="1" si="0"/>
        <v>2022</v>
      </c>
      <c r="J1" s="3">
        <f t="shared" ca="1" si="0"/>
        <v>2023</v>
      </c>
      <c r="K1" s="3">
        <f t="shared" ref="K1:Z1" ca="1" si="1">IFERROR(SUM(LEFT(INDIRECT(ADDRESS(8,COLUMN(),1,0),FALSE),4)),"")</f>
        <v>2024</v>
      </c>
      <c r="L1" s="3" t="str">
        <f t="shared" ca="1" si="1"/>
        <v/>
      </c>
      <c r="M1" s="3" t="str">
        <f t="shared" ca="1" si="1"/>
        <v/>
      </c>
      <c r="N1" s="3" t="str">
        <f t="shared" ca="1" si="1"/>
        <v/>
      </c>
      <c r="O1" s="3" t="str">
        <f t="shared" ca="1" si="1"/>
        <v/>
      </c>
      <c r="P1" s="3" t="str">
        <f t="shared" ca="1" si="1"/>
        <v/>
      </c>
      <c r="Q1" s="3" t="str">
        <f t="shared" ca="1" si="1"/>
        <v/>
      </c>
      <c r="R1" s="3" t="str">
        <f t="shared" ca="1" si="1"/>
        <v/>
      </c>
      <c r="S1" s="3" t="str">
        <f t="shared" ca="1" si="1"/>
        <v/>
      </c>
      <c r="T1" s="3" t="str">
        <f t="shared" ca="1" si="1"/>
        <v/>
      </c>
      <c r="U1" s="3" t="str">
        <f t="shared" ca="1" si="1"/>
        <v/>
      </c>
      <c r="V1" s="3" t="str">
        <f t="shared" ca="1" si="1"/>
        <v/>
      </c>
      <c r="W1" s="3" t="str">
        <f t="shared" ca="1" si="1"/>
        <v/>
      </c>
      <c r="X1" s="3" t="str">
        <f t="shared" ca="1" si="1"/>
        <v/>
      </c>
      <c r="Y1" s="3" t="str">
        <f t="shared" ca="1" si="1"/>
        <v/>
      </c>
      <c r="Z1" s="3" t="str">
        <f t="shared" ca="1" si="1"/>
        <v/>
      </c>
    </row>
    <row r="2" spans="1:26" x14ac:dyDescent="0.25">
      <c r="A2" s="3" t="str">
        <f>ADDRESS(8,(A3-1),1,)</f>
        <v>$J$8</v>
      </c>
      <c r="B2" s="3"/>
      <c r="C2" s="3"/>
      <c r="D2" s="3"/>
      <c r="E2" s="3"/>
      <c r="F2" s="3"/>
      <c r="G2" s="3"/>
      <c r="H2" s="3"/>
      <c r="I2" s="3"/>
      <c r="J2" s="3"/>
      <c r="K2" s="3"/>
      <c r="L2" s="3"/>
      <c r="M2" s="3"/>
      <c r="N2" s="3"/>
      <c r="O2" s="3"/>
      <c r="P2" s="3"/>
      <c r="Q2" s="3"/>
      <c r="R2" s="3"/>
      <c r="S2" s="3"/>
      <c r="T2" s="3"/>
      <c r="U2" s="3"/>
      <c r="V2" s="3"/>
      <c r="W2" s="3"/>
      <c r="X2" s="3"/>
      <c r="Y2" s="3"/>
      <c r="Z2" s="3"/>
    </row>
    <row r="3" spans="1:26" x14ac:dyDescent="0.25">
      <c r="A3" s="86">
        <f>MATCH("Cumulative Total",A8:BX8)</f>
        <v>11</v>
      </c>
      <c r="B3" s="3"/>
      <c r="C3" s="3"/>
      <c r="D3" s="3"/>
      <c r="E3" s="3"/>
      <c r="F3" s="3"/>
      <c r="G3" s="3"/>
      <c r="H3" s="3"/>
      <c r="I3" s="3"/>
      <c r="J3" s="3"/>
      <c r="K3" s="3"/>
      <c r="L3" s="3"/>
      <c r="M3" s="3"/>
      <c r="N3" s="3"/>
      <c r="O3" s="3"/>
      <c r="P3" s="3"/>
      <c r="Q3" s="3"/>
      <c r="R3" s="3"/>
      <c r="S3" s="3"/>
      <c r="T3" s="3"/>
      <c r="U3" s="3"/>
      <c r="V3" s="3"/>
      <c r="W3" s="3"/>
      <c r="X3" s="3"/>
      <c r="Y3" s="3"/>
      <c r="Z3" s="3"/>
    </row>
    <row r="4" spans="1:26" x14ac:dyDescent="0.25">
      <c r="B4" s="2"/>
      <c r="C4" s="2"/>
      <c r="D4" s="2"/>
      <c r="E4" s="2"/>
      <c r="F4" s="2"/>
      <c r="G4" s="2"/>
      <c r="H4" s="2"/>
      <c r="I4" s="2"/>
      <c r="J4" s="2"/>
      <c r="K4" s="2"/>
      <c r="L4" s="2"/>
      <c r="M4" s="2"/>
      <c r="N4" s="2"/>
      <c r="O4" s="2"/>
      <c r="P4" s="2"/>
      <c r="Q4" s="2"/>
      <c r="R4" s="2"/>
      <c r="S4" s="2"/>
      <c r="T4" s="2"/>
      <c r="U4" s="2"/>
      <c r="V4" s="2"/>
      <c r="W4" s="2"/>
      <c r="X4" s="2"/>
      <c r="Y4" s="2"/>
      <c r="Z4" s="2"/>
    </row>
    <row r="5" spans="1:26" x14ac:dyDescent="0.25">
      <c r="B5" s="270"/>
      <c r="C5" s="270"/>
      <c r="D5" s="270"/>
      <c r="E5" s="270"/>
      <c r="F5" s="270"/>
      <c r="G5" s="270"/>
      <c r="H5" s="270"/>
      <c r="I5" s="270"/>
      <c r="J5" s="270"/>
    </row>
    <row r="6" spans="1:26" x14ac:dyDescent="0.25">
      <c r="B6" s="87"/>
      <c r="C6" s="87"/>
      <c r="D6" s="87"/>
      <c r="E6" s="87"/>
      <c r="F6" s="87"/>
      <c r="G6" s="87"/>
      <c r="H6" s="87"/>
      <c r="I6" s="87"/>
      <c r="J6" s="87"/>
    </row>
    <row r="7" spans="1:26" ht="15.75" thickBot="1" x14ac:dyDescent="0.3">
      <c r="A7" s="88" t="s">
        <v>80</v>
      </c>
    </row>
    <row r="8" spans="1:26" s="3" customFormat="1" x14ac:dyDescent="0.25">
      <c r="A8" s="579" t="s">
        <v>63</v>
      </c>
      <c r="B8" s="431" t="s">
        <v>81</v>
      </c>
      <c r="C8" s="89" t="s">
        <v>82</v>
      </c>
      <c r="D8" s="90" t="s">
        <v>83</v>
      </c>
      <c r="E8" s="90" t="s">
        <v>84</v>
      </c>
      <c r="F8" s="90" t="s">
        <v>85</v>
      </c>
      <c r="G8" s="90" t="s">
        <v>86</v>
      </c>
      <c r="H8" s="90" t="s">
        <v>87</v>
      </c>
      <c r="I8" s="90" t="s">
        <v>88</v>
      </c>
      <c r="J8" s="90" t="s">
        <v>585</v>
      </c>
      <c r="K8" s="433" t="s">
        <v>824</v>
      </c>
    </row>
    <row r="9" spans="1:26" s="3" customFormat="1" x14ac:dyDescent="0.25">
      <c r="A9" s="580"/>
      <c r="B9" s="91" t="s">
        <v>64</v>
      </c>
      <c r="C9" s="92" t="s">
        <v>64</v>
      </c>
      <c r="D9" s="92" t="s">
        <v>64</v>
      </c>
      <c r="E9" s="92" t="s">
        <v>64</v>
      </c>
      <c r="F9" s="92" t="s">
        <v>64</v>
      </c>
      <c r="G9" s="92" t="s">
        <v>64</v>
      </c>
      <c r="H9" s="92" t="s">
        <v>64</v>
      </c>
      <c r="I9" s="92" t="s">
        <v>64</v>
      </c>
      <c r="J9" s="92" t="s">
        <v>64</v>
      </c>
      <c r="K9" s="434" t="s">
        <v>64</v>
      </c>
    </row>
    <row r="10" spans="1:26" x14ac:dyDescent="0.25">
      <c r="A10" s="60" t="s">
        <v>66</v>
      </c>
      <c r="B10" s="62">
        <v>4466034361.210001</v>
      </c>
      <c r="C10" s="435">
        <v>5324077335.3299999</v>
      </c>
      <c r="D10" s="435">
        <v>6568681703.5200005</v>
      </c>
      <c r="E10" s="435">
        <v>9265892697.4399986</v>
      </c>
      <c r="F10" s="435">
        <v>6014172600.4899988</v>
      </c>
      <c r="G10" s="435">
        <v>5759591760.54</v>
      </c>
      <c r="H10" s="93">
        <v>7912086501.079999</v>
      </c>
      <c r="I10" s="93">
        <v>6282012000</v>
      </c>
      <c r="J10" s="93">
        <v>6407371000</v>
      </c>
      <c r="K10" s="436">
        <v>8769735000</v>
      </c>
    </row>
    <row r="11" spans="1:26" x14ac:dyDescent="0.25">
      <c r="A11" s="60" t="s">
        <v>67</v>
      </c>
      <c r="B11" s="66">
        <v>1483207183.1300001</v>
      </c>
      <c r="C11" s="437">
        <v>1383583496.0000002</v>
      </c>
      <c r="D11" s="437">
        <v>1738118694.6407695</v>
      </c>
      <c r="E11" s="437">
        <v>3234659683.4799991</v>
      </c>
      <c r="F11" s="437" t="s">
        <v>77</v>
      </c>
      <c r="G11" s="437" t="s">
        <v>77</v>
      </c>
      <c r="H11" s="438" t="s">
        <v>77</v>
      </c>
      <c r="I11" s="438" t="s">
        <v>77</v>
      </c>
      <c r="J11" s="438" t="s">
        <v>77</v>
      </c>
      <c r="K11" s="439" t="s">
        <v>77</v>
      </c>
    </row>
    <row r="12" spans="1:26" x14ac:dyDescent="0.25">
      <c r="A12" s="68" t="s">
        <v>68</v>
      </c>
      <c r="B12" s="62">
        <v>16373219000</v>
      </c>
      <c r="C12" s="435">
        <v>17741122000</v>
      </c>
      <c r="D12" s="435">
        <v>17700149000</v>
      </c>
      <c r="E12" s="435">
        <v>16626054000</v>
      </c>
      <c r="F12" s="435">
        <v>21514804000</v>
      </c>
      <c r="G12" s="435">
        <v>22012884000</v>
      </c>
      <c r="H12" s="93">
        <v>18736895000</v>
      </c>
      <c r="I12" s="93">
        <v>20004416000</v>
      </c>
      <c r="J12" s="93">
        <v>24931450000</v>
      </c>
      <c r="K12" s="436">
        <v>30396223000</v>
      </c>
    </row>
    <row r="13" spans="1:26" x14ac:dyDescent="0.25">
      <c r="A13" s="60" t="s">
        <v>69</v>
      </c>
      <c r="B13" s="66">
        <v>48991250609.947304</v>
      </c>
      <c r="C13" s="437">
        <v>61910540000</v>
      </c>
      <c r="D13" s="437">
        <v>60702755000</v>
      </c>
      <c r="E13" s="437">
        <v>76201421000</v>
      </c>
      <c r="F13" s="437">
        <v>101820286000</v>
      </c>
      <c r="G13" s="437">
        <v>151155043000</v>
      </c>
      <c r="H13" s="438">
        <v>130967158000</v>
      </c>
      <c r="I13" s="438">
        <v>122529044000</v>
      </c>
      <c r="J13" s="438">
        <v>136057839000</v>
      </c>
      <c r="K13" s="439">
        <v>115045274000</v>
      </c>
    </row>
    <row r="14" spans="1:26" x14ac:dyDescent="0.25">
      <c r="A14" s="60" t="s">
        <v>70</v>
      </c>
      <c r="B14" s="62" t="s">
        <v>77</v>
      </c>
      <c r="C14" s="435" t="s">
        <v>77</v>
      </c>
      <c r="D14" s="435" t="s">
        <v>77</v>
      </c>
      <c r="E14" s="435" t="s">
        <v>77</v>
      </c>
      <c r="F14" s="435" t="s">
        <v>77</v>
      </c>
      <c r="G14" s="435" t="s">
        <v>77</v>
      </c>
      <c r="H14" s="93">
        <v>4914857218</v>
      </c>
      <c r="I14" s="93">
        <v>20042373602</v>
      </c>
      <c r="J14" s="93">
        <v>9248554569</v>
      </c>
      <c r="K14" s="436">
        <v>4304562340</v>
      </c>
    </row>
    <row r="15" spans="1:26" x14ac:dyDescent="0.25">
      <c r="A15" s="60" t="s">
        <v>71</v>
      </c>
      <c r="B15" s="66">
        <v>841133341</v>
      </c>
      <c r="C15" s="437">
        <v>806474228.03000009</v>
      </c>
      <c r="D15" s="437">
        <v>1008022355.9499999</v>
      </c>
      <c r="E15" s="437">
        <v>1496378533.6100001</v>
      </c>
      <c r="F15" s="437">
        <v>1197954590.4200003</v>
      </c>
      <c r="G15" s="437">
        <v>1469630089.22</v>
      </c>
      <c r="H15" s="438">
        <v>2123092734.3100002</v>
      </c>
      <c r="I15" s="438" t="s">
        <v>77</v>
      </c>
      <c r="J15" s="438" t="s">
        <v>77</v>
      </c>
      <c r="K15" s="439" t="s">
        <v>77</v>
      </c>
    </row>
    <row r="16" spans="1:26" x14ac:dyDescent="0.25">
      <c r="A16" s="60" t="s">
        <v>72</v>
      </c>
      <c r="B16" s="62">
        <v>1920448656</v>
      </c>
      <c r="C16" s="435">
        <v>1729825092.0759158</v>
      </c>
      <c r="D16" s="435">
        <v>1698535191.2291012</v>
      </c>
      <c r="E16" s="435">
        <v>2708091037.479547</v>
      </c>
      <c r="F16" s="435">
        <v>3937634801.4453535</v>
      </c>
      <c r="G16" s="435">
        <v>2750976562.9074678</v>
      </c>
      <c r="H16" s="93" t="s">
        <v>77</v>
      </c>
      <c r="I16" s="93" t="s">
        <v>77</v>
      </c>
      <c r="J16" s="93" t="s">
        <v>77</v>
      </c>
      <c r="K16" s="436" t="s">
        <v>77</v>
      </c>
    </row>
    <row r="17" spans="1:12" x14ac:dyDescent="0.25">
      <c r="A17" s="60" t="s">
        <v>73</v>
      </c>
      <c r="B17" s="66">
        <v>14245957004.279999</v>
      </c>
      <c r="C17" s="437">
        <v>16850927693.679989</v>
      </c>
      <c r="D17" s="437">
        <v>24731655897.799992</v>
      </c>
      <c r="E17" s="437">
        <v>36428766126.738007</v>
      </c>
      <c r="F17" s="437">
        <v>34729631856</v>
      </c>
      <c r="G17" s="437" t="s">
        <v>77</v>
      </c>
      <c r="H17" s="438" t="s">
        <v>77</v>
      </c>
      <c r="I17" s="438" t="s">
        <v>77</v>
      </c>
      <c r="J17" s="438" t="s">
        <v>77</v>
      </c>
      <c r="K17" s="439" t="s">
        <v>77</v>
      </c>
    </row>
    <row r="18" spans="1:12" x14ac:dyDescent="0.25">
      <c r="A18" s="60" t="s">
        <v>74</v>
      </c>
      <c r="B18" s="62">
        <v>1601787044</v>
      </c>
      <c r="C18" s="435">
        <v>1827111079</v>
      </c>
      <c r="D18" s="435">
        <v>3559295555.4510002</v>
      </c>
      <c r="E18" s="435">
        <v>3518364824.0458002</v>
      </c>
      <c r="F18" s="435">
        <v>4382927354.4287233</v>
      </c>
      <c r="G18" s="435">
        <v>26160621167.610451</v>
      </c>
      <c r="H18" s="93">
        <v>60802902786.457672</v>
      </c>
      <c r="I18" s="93">
        <v>83268361468.685959</v>
      </c>
      <c r="J18" s="93">
        <v>58922650893.423325</v>
      </c>
      <c r="K18" s="436">
        <v>55258677594.990448</v>
      </c>
    </row>
    <row r="19" spans="1:12" x14ac:dyDescent="0.25">
      <c r="A19" s="73" t="s">
        <v>75</v>
      </c>
      <c r="B19" s="95">
        <f t="shared" ref="B19:F19" si="2">SUM(B10:B18)</f>
        <v>89923037199.567307</v>
      </c>
      <c r="C19" s="96">
        <f t="shared" si="2"/>
        <v>107573660924.11591</v>
      </c>
      <c r="D19" s="96">
        <f t="shared" si="2"/>
        <v>117707213398.59085</v>
      </c>
      <c r="E19" s="96">
        <f t="shared" si="2"/>
        <v>149479627902.79337</v>
      </c>
      <c r="F19" s="96">
        <f t="shared" si="2"/>
        <v>173597411202.78406</v>
      </c>
      <c r="G19" s="96">
        <f>SUM(G10:G18)</f>
        <v>209308746580.27792</v>
      </c>
      <c r="H19" s="96">
        <f>SUM(H10:H18)</f>
        <v>225456992239.84766</v>
      </c>
      <c r="I19" s="96">
        <f>SUM(I10:I18)</f>
        <v>252126207070.68597</v>
      </c>
      <c r="J19" s="96">
        <f>SUM(J10:J18)</f>
        <v>235567865462.42334</v>
      </c>
      <c r="K19" s="440">
        <f>SUM(K10:K18)</f>
        <v>213774471934.99045</v>
      </c>
    </row>
    <row r="20" spans="1:12" x14ac:dyDescent="0.25">
      <c r="A20" s="60" t="s">
        <v>807</v>
      </c>
      <c r="B20" s="100">
        <v>99635000000</v>
      </c>
      <c r="C20" s="93">
        <v>120398000000</v>
      </c>
      <c r="D20" s="93">
        <v>129698000000</v>
      </c>
      <c r="E20" s="93">
        <v>162318000000</v>
      </c>
      <c r="F20" s="93">
        <v>184336144000</v>
      </c>
      <c r="G20" s="93">
        <v>223000995000</v>
      </c>
      <c r="H20" s="93">
        <v>240381262000</v>
      </c>
      <c r="I20" s="93">
        <v>268984005000</v>
      </c>
      <c r="J20" s="93">
        <v>250821924000</v>
      </c>
      <c r="K20" s="436">
        <v>231510383000</v>
      </c>
    </row>
    <row r="21" spans="1:12" x14ac:dyDescent="0.25">
      <c r="A21" s="60" t="s">
        <v>76</v>
      </c>
      <c r="B21" s="97">
        <f>B19/B20</f>
        <v>0.9025245867372641</v>
      </c>
      <c r="C21" s="98">
        <f t="shared" ref="C21:J21" si="3">C19/C20</f>
        <v>0.89348378647582105</v>
      </c>
      <c r="D21" s="98">
        <f t="shared" si="3"/>
        <v>0.90754840782888591</v>
      </c>
      <c r="E21" s="98">
        <f t="shared" si="3"/>
        <v>0.92090604802174347</v>
      </c>
      <c r="F21" s="98">
        <f t="shared" si="3"/>
        <v>0.94174374832742547</v>
      </c>
      <c r="G21" s="98">
        <f t="shared" si="3"/>
        <v>0.93860005683058911</v>
      </c>
      <c r="H21" s="99">
        <f t="shared" si="3"/>
        <v>0.93791417169549451</v>
      </c>
      <c r="I21" s="99">
        <f t="shared" si="3"/>
        <v>0.93732787966587816</v>
      </c>
      <c r="J21" s="99">
        <f t="shared" si="3"/>
        <v>0.93918371131872558</v>
      </c>
      <c r="K21" s="441">
        <f t="shared" ref="K21" si="4">K19/K20</f>
        <v>0.92339042925340609</v>
      </c>
    </row>
    <row r="22" spans="1:12" x14ac:dyDescent="0.25">
      <c r="A22" s="60" t="s">
        <v>78</v>
      </c>
      <c r="B22" s="100">
        <v>161557104103.61801</v>
      </c>
      <c r="C22" s="93">
        <v>205299798929.62</v>
      </c>
      <c r="D22" s="93">
        <v>228530111680.47101</v>
      </c>
      <c r="E22" s="93">
        <v>280071365982.40002</v>
      </c>
      <c r="F22" s="93">
        <v>289489051348.6109</v>
      </c>
      <c r="G22" s="93">
        <v>308493960123.31909</v>
      </c>
      <c r="H22" s="93">
        <v>421651052026.36481</v>
      </c>
      <c r="I22" s="93">
        <v>466200413612.68298</v>
      </c>
      <c r="J22" s="93">
        <v>414991084469.34064</v>
      </c>
      <c r="K22" s="436">
        <v>385393162087.31201</v>
      </c>
    </row>
    <row r="23" spans="1:12" ht="15.75" thickBot="1" x14ac:dyDescent="0.3">
      <c r="A23" s="442" t="s">
        <v>79</v>
      </c>
      <c r="B23" s="101">
        <f t="shared" ref="B23:K23" si="5">IFERROR(B19/B22, "n/a")</f>
        <v>0.55660218532942562</v>
      </c>
      <c r="C23" s="102">
        <f t="shared" si="5"/>
        <v>0.52398327463045324</v>
      </c>
      <c r="D23" s="102">
        <f t="shared" si="5"/>
        <v>0.51506216197525923</v>
      </c>
      <c r="E23" s="102">
        <f t="shared" si="5"/>
        <v>0.53371978023696587</v>
      </c>
      <c r="F23" s="102">
        <f t="shared" si="5"/>
        <v>0.5996683135132912</v>
      </c>
      <c r="G23" s="102">
        <f t="shared" si="5"/>
        <v>0.67848571977424676</v>
      </c>
      <c r="H23" s="102">
        <f t="shared" si="5"/>
        <v>0.53470041437427829</v>
      </c>
      <c r="I23" s="102">
        <f t="shared" si="5"/>
        <v>0.5408107751705068</v>
      </c>
      <c r="J23" s="102">
        <f t="shared" si="5"/>
        <v>0.56764560560053912</v>
      </c>
      <c r="K23" s="443">
        <f t="shared" si="5"/>
        <v>0.55469191715072308</v>
      </c>
    </row>
    <row r="24" spans="1:12" x14ac:dyDescent="0.25">
      <c r="A24" s="103"/>
      <c r="B24" s="104"/>
      <c r="C24" s="104"/>
      <c r="D24" s="104"/>
      <c r="E24" s="104"/>
      <c r="F24" s="104"/>
      <c r="G24" s="105"/>
      <c r="H24" s="105"/>
      <c r="I24" s="105"/>
      <c r="J24" s="104"/>
    </row>
    <row r="25" spans="1:12" ht="15.75" thickBot="1" x14ac:dyDescent="0.3">
      <c r="A25" s="4" t="s">
        <v>91</v>
      </c>
      <c r="B25" s="106"/>
      <c r="C25" s="106"/>
      <c r="D25" s="106"/>
      <c r="E25" s="106"/>
      <c r="F25" s="106"/>
      <c r="G25" s="106"/>
      <c r="H25" s="106"/>
      <c r="I25" s="106"/>
      <c r="J25" s="106"/>
    </row>
    <row r="26" spans="1:12" x14ac:dyDescent="0.25">
      <c r="A26" s="579" t="s">
        <v>63</v>
      </c>
      <c r="B26" s="431">
        <v>2015</v>
      </c>
      <c r="C26" s="89">
        <v>2016</v>
      </c>
      <c r="D26" s="89">
        <v>2017</v>
      </c>
      <c r="E26" s="89">
        <v>2018</v>
      </c>
      <c r="F26" s="89">
        <v>2019</v>
      </c>
      <c r="G26" s="89">
        <v>2020</v>
      </c>
      <c r="H26" s="89">
        <v>2021</v>
      </c>
      <c r="I26" s="89">
        <v>2022</v>
      </c>
      <c r="J26" s="89">
        <v>2023</v>
      </c>
      <c r="K26" s="89">
        <v>2024</v>
      </c>
      <c r="L26" s="432">
        <v>2025</v>
      </c>
    </row>
    <row r="27" spans="1:12" x14ac:dyDescent="0.25">
      <c r="A27" s="580"/>
      <c r="B27" s="91" t="s">
        <v>64</v>
      </c>
      <c r="C27" s="92" t="s">
        <v>64</v>
      </c>
      <c r="D27" s="92" t="s">
        <v>64</v>
      </c>
      <c r="E27" s="92" t="s">
        <v>64</v>
      </c>
      <c r="F27" s="92" t="s">
        <v>64</v>
      </c>
      <c r="G27" s="92" t="s">
        <v>64</v>
      </c>
      <c r="H27" s="92" t="s">
        <v>64</v>
      </c>
      <c r="I27" s="92" t="s">
        <v>64</v>
      </c>
      <c r="J27" s="92" t="s">
        <v>64</v>
      </c>
      <c r="K27" s="92" t="s">
        <v>64</v>
      </c>
      <c r="L27" s="434" t="s">
        <v>64</v>
      </c>
    </row>
    <row r="28" spans="1:12" x14ac:dyDescent="0.25">
      <c r="A28" s="60" t="s">
        <v>66</v>
      </c>
      <c r="B28" s="62">
        <v>4632530370</v>
      </c>
      <c r="C28" s="435">
        <v>4515825078.8600006</v>
      </c>
      <c r="D28" s="435">
        <v>6039800894.3700008</v>
      </c>
      <c r="E28" s="435">
        <v>8724648651.5200024</v>
      </c>
      <c r="F28" s="435">
        <v>6948705988.1899977</v>
      </c>
      <c r="G28" s="435">
        <v>6467912056.6200008</v>
      </c>
      <c r="H28" s="435">
        <v>6570015391.54</v>
      </c>
      <c r="I28" s="435">
        <v>8205711651.6899986</v>
      </c>
      <c r="J28" s="435">
        <v>6235939000</v>
      </c>
      <c r="K28" s="435">
        <v>7845796000</v>
      </c>
      <c r="L28" s="444">
        <v>7088050000</v>
      </c>
    </row>
    <row r="29" spans="1:12" x14ac:dyDescent="0.25">
      <c r="A29" s="60" t="s">
        <v>67</v>
      </c>
      <c r="B29" s="66">
        <v>1147524680.1099999</v>
      </c>
      <c r="C29" s="437">
        <v>1628967103</v>
      </c>
      <c r="D29" s="437">
        <v>1673012040.2409997</v>
      </c>
      <c r="E29" s="437">
        <v>1378736329.02</v>
      </c>
      <c r="F29" s="437">
        <v>2282407519.4599991</v>
      </c>
      <c r="G29" s="437" t="s">
        <v>77</v>
      </c>
      <c r="H29" s="437" t="s">
        <v>77</v>
      </c>
      <c r="I29" s="437" t="s">
        <v>77</v>
      </c>
      <c r="J29" s="437" t="s">
        <v>77</v>
      </c>
      <c r="K29" s="437" t="s">
        <v>77</v>
      </c>
      <c r="L29" s="445" t="s">
        <v>77</v>
      </c>
    </row>
    <row r="30" spans="1:12" x14ac:dyDescent="0.25">
      <c r="A30" s="68" t="s">
        <v>68</v>
      </c>
      <c r="B30" s="62">
        <v>13794615000</v>
      </c>
      <c r="C30" s="435">
        <v>17751200000</v>
      </c>
      <c r="D30" s="435">
        <v>16083518000</v>
      </c>
      <c r="E30" s="435">
        <v>17465895000</v>
      </c>
      <c r="F30" s="435">
        <v>20603774000</v>
      </c>
      <c r="G30" s="435">
        <v>21793960000</v>
      </c>
      <c r="H30" s="435">
        <v>19233013000</v>
      </c>
      <c r="I30" s="435">
        <v>18777658000</v>
      </c>
      <c r="J30" s="435">
        <v>22752630000</v>
      </c>
      <c r="K30" s="435">
        <v>26087844000</v>
      </c>
      <c r="L30" s="444">
        <v>33997406000</v>
      </c>
    </row>
    <row r="31" spans="1:12" x14ac:dyDescent="0.25">
      <c r="A31" s="60" t="s">
        <v>69</v>
      </c>
      <c r="B31" s="66">
        <v>49671862980.739998</v>
      </c>
      <c r="C31" s="437">
        <v>53882142375.011696</v>
      </c>
      <c r="D31" s="437">
        <v>62659171000</v>
      </c>
      <c r="E31" s="437">
        <v>62336376000</v>
      </c>
      <c r="F31" s="437">
        <v>95301367000</v>
      </c>
      <c r="G31" s="437">
        <v>115680597000</v>
      </c>
      <c r="H31" s="437">
        <v>152753153000</v>
      </c>
      <c r="I31" s="437">
        <v>122681541000</v>
      </c>
      <c r="J31" s="437">
        <v>134507095000</v>
      </c>
      <c r="K31" s="437">
        <v>122985428000</v>
      </c>
      <c r="L31" s="445">
        <v>119657689000</v>
      </c>
    </row>
    <row r="32" spans="1:12" x14ac:dyDescent="0.25">
      <c r="A32" s="60" t="s">
        <v>70</v>
      </c>
      <c r="B32" s="62" t="s">
        <v>77</v>
      </c>
      <c r="C32" s="435" t="s">
        <v>77</v>
      </c>
      <c r="D32" s="435" t="s">
        <v>77</v>
      </c>
      <c r="E32" s="435" t="s">
        <v>77</v>
      </c>
      <c r="F32" s="435" t="s">
        <v>77</v>
      </c>
      <c r="G32" s="435" t="s">
        <v>77</v>
      </c>
      <c r="H32" s="435">
        <v>1640564024</v>
      </c>
      <c r="I32" s="435">
        <v>12119998154</v>
      </c>
      <c r="J32" s="435">
        <v>18377033980</v>
      </c>
      <c r="K32" s="435">
        <v>4745865018</v>
      </c>
      <c r="L32" s="444">
        <v>4691001084</v>
      </c>
    </row>
    <row r="33" spans="1:12" x14ac:dyDescent="0.25">
      <c r="A33" s="60" t="s">
        <v>71</v>
      </c>
      <c r="B33" s="66">
        <v>825915506</v>
      </c>
      <c r="C33" s="437">
        <v>751103653.15999997</v>
      </c>
      <c r="D33" s="437">
        <v>917640490.24000013</v>
      </c>
      <c r="E33" s="437">
        <v>1433470432.5900009</v>
      </c>
      <c r="F33" s="437">
        <v>1178695116.01</v>
      </c>
      <c r="G33" s="437">
        <v>1379053730.4200006</v>
      </c>
      <c r="H33" s="437">
        <v>1888876202.3700004</v>
      </c>
      <c r="I33" s="437">
        <v>2188103396.3499994</v>
      </c>
      <c r="J33" s="437" t="s">
        <v>77</v>
      </c>
      <c r="K33" s="437" t="s">
        <v>77</v>
      </c>
      <c r="L33" s="445" t="s">
        <v>77</v>
      </c>
    </row>
    <row r="34" spans="1:12" x14ac:dyDescent="0.25">
      <c r="A34" s="60" t="s">
        <v>72</v>
      </c>
      <c r="B34" s="62">
        <v>2516514207.7200007</v>
      </c>
      <c r="C34" s="435">
        <v>2006080400.7203548</v>
      </c>
      <c r="D34" s="435">
        <v>1998513294.9123409</v>
      </c>
      <c r="E34" s="435">
        <v>2615435735.2463245</v>
      </c>
      <c r="F34" s="435">
        <v>4029555487.9216461</v>
      </c>
      <c r="G34" s="435">
        <v>3071449366.7790599</v>
      </c>
      <c r="H34" s="435" t="s">
        <v>77</v>
      </c>
      <c r="I34" s="435" t="s">
        <v>77</v>
      </c>
      <c r="J34" s="435" t="s">
        <v>77</v>
      </c>
      <c r="K34" s="435" t="s">
        <v>77</v>
      </c>
      <c r="L34" s="444" t="s">
        <v>77</v>
      </c>
    </row>
    <row r="35" spans="1:12" x14ac:dyDescent="0.25">
      <c r="A35" s="60" t="s">
        <v>73</v>
      </c>
      <c r="B35" s="66">
        <v>16441179572.130009</v>
      </c>
      <c r="C35" s="437">
        <v>14252654720</v>
      </c>
      <c r="D35" s="437">
        <v>19609726638.278793</v>
      </c>
      <c r="E35" s="437">
        <v>33785224381.402382</v>
      </c>
      <c r="F35" s="437">
        <v>36883059859.228416</v>
      </c>
      <c r="G35" s="437">
        <v>25057419520.939999</v>
      </c>
      <c r="H35" s="437" t="s">
        <v>77</v>
      </c>
      <c r="I35" s="437" t="s">
        <v>77</v>
      </c>
      <c r="J35" s="437" t="s">
        <v>77</v>
      </c>
      <c r="K35" s="437" t="s">
        <v>77</v>
      </c>
      <c r="L35" s="445" t="s">
        <v>77</v>
      </c>
    </row>
    <row r="36" spans="1:12" x14ac:dyDescent="0.25">
      <c r="A36" s="60" t="s">
        <v>74</v>
      </c>
      <c r="B36" s="62">
        <v>1670607188</v>
      </c>
      <c r="C36" s="435">
        <v>1490685625</v>
      </c>
      <c r="D36" s="435">
        <v>2674140707</v>
      </c>
      <c r="E36" s="435">
        <v>3910421841.4967999</v>
      </c>
      <c r="F36" s="435">
        <v>3130942159</v>
      </c>
      <c r="G36" s="435">
        <v>4063950589</v>
      </c>
      <c r="H36" s="435">
        <v>44923434079.716698</v>
      </c>
      <c r="I36" s="435">
        <v>78626351098.838699</v>
      </c>
      <c r="J36" s="435">
        <v>65657243165.707565</v>
      </c>
      <c r="K36" s="435">
        <v>57709943973.070862</v>
      </c>
      <c r="L36" s="444">
        <v>50169808592.457756</v>
      </c>
    </row>
    <row r="37" spans="1:12" x14ac:dyDescent="0.25">
      <c r="A37" s="73" t="s">
        <v>75</v>
      </c>
      <c r="B37" s="95">
        <f>SUM(B28:B36)</f>
        <v>90700749504.700012</v>
      </c>
      <c r="C37" s="96">
        <f t="shared" ref="C37:J37" si="6">SUM(C28:C36)</f>
        <v>96278658955.75206</v>
      </c>
      <c r="D37" s="96">
        <f t="shared" si="6"/>
        <v>111655523065.04213</v>
      </c>
      <c r="E37" s="96">
        <f t="shared" si="6"/>
        <v>131650208371.27551</v>
      </c>
      <c r="F37" s="96">
        <f t="shared" si="6"/>
        <v>170358507129.81006</v>
      </c>
      <c r="G37" s="96">
        <f t="shared" si="6"/>
        <v>177514342263.75906</v>
      </c>
      <c r="H37" s="96">
        <f t="shared" si="6"/>
        <v>227009055697.62671</v>
      </c>
      <c r="I37" s="96">
        <f t="shared" si="6"/>
        <v>242599363300.87872</v>
      </c>
      <c r="J37" s="96">
        <f t="shared" si="6"/>
        <v>247529941145.70758</v>
      </c>
      <c r="K37" s="96">
        <f t="shared" ref="K37:L37" si="7">SUM(K28:K36)</f>
        <v>219374876991.07086</v>
      </c>
      <c r="L37" s="440">
        <f t="shared" si="7"/>
        <v>215603954676.45776</v>
      </c>
    </row>
    <row r="38" spans="1:12" x14ac:dyDescent="0.25">
      <c r="A38" s="60" t="s">
        <v>807</v>
      </c>
      <c r="B38" s="100">
        <v>102728000000</v>
      </c>
      <c r="C38" s="93">
        <v>106493000000</v>
      </c>
      <c r="D38" s="93">
        <v>123093000000</v>
      </c>
      <c r="E38" s="93">
        <v>145191000000</v>
      </c>
      <c r="F38" s="93">
        <v>181228295000</v>
      </c>
      <c r="G38" s="93">
        <v>187308077000</v>
      </c>
      <c r="H38" s="93">
        <v>239817189000</v>
      </c>
      <c r="I38" s="93">
        <v>260575413000</v>
      </c>
      <c r="J38" s="93">
        <v>262994007000</v>
      </c>
      <c r="K38" s="93">
        <v>234546755000</v>
      </c>
      <c r="L38" s="436">
        <v>237419364000</v>
      </c>
    </row>
    <row r="39" spans="1:12" x14ac:dyDescent="0.25">
      <c r="A39" s="60" t="s">
        <v>76</v>
      </c>
      <c r="B39" s="97">
        <f t="shared" ref="B39:J39" si="8">B37/B38</f>
        <v>0.88292139927478397</v>
      </c>
      <c r="C39" s="98">
        <f t="shared" si="8"/>
        <v>0.90408439010781982</v>
      </c>
      <c r="D39" s="98">
        <f t="shared" si="8"/>
        <v>0.90708263723397864</v>
      </c>
      <c r="E39" s="98">
        <f t="shared" si="8"/>
        <v>0.90673807860869826</v>
      </c>
      <c r="F39" s="98">
        <f t="shared" si="8"/>
        <v>0.94002157405834474</v>
      </c>
      <c r="G39" s="99">
        <f t="shared" si="8"/>
        <v>0.94771322789117662</v>
      </c>
      <c r="H39" s="99">
        <f t="shared" si="8"/>
        <v>0.94659209643903675</v>
      </c>
      <c r="I39" s="99">
        <f t="shared" si="8"/>
        <v>0.93101402203621841</v>
      </c>
      <c r="J39" s="99">
        <f t="shared" si="8"/>
        <v>0.94119993063456986</v>
      </c>
      <c r="K39" s="99">
        <f t="shared" ref="K39:L39" si="9">K37/K38</f>
        <v>0.93531405706751669</v>
      </c>
      <c r="L39" s="441">
        <f t="shared" si="9"/>
        <v>0.90811444797088148</v>
      </c>
    </row>
    <row r="40" spans="1:12" x14ac:dyDescent="0.25">
      <c r="A40" s="60" t="s">
        <v>78</v>
      </c>
      <c r="B40" s="100">
        <v>166576507214</v>
      </c>
      <c r="C40" s="93">
        <v>176569739078</v>
      </c>
      <c r="D40" s="93">
        <v>214414259777</v>
      </c>
      <c r="E40" s="93">
        <v>256012642221</v>
      </c>
      <c r="F40" s="93">
        <v>295348808498.38318</v>
      </c>
      <c r="G40" s="93">
        <v>278232665525.10504</v>
      </c>
      <c r="H40" s="93">
        <v>359892222213.26642</v>
      </c>
      <c r="I40" s="93">
        <v>472946171639.53198</v>
      </c>
      <c r="J40" s="93">
        <v>436505094526.15204</v>
      </c>
      <c r="K40" s="93">
        <v>394856140452.73138</v>
      </c>
      <c r="L40" s="436" t="s">
        <v>77</v>
      </c>
    </row>
    <row r="41" spans="1:12" ht="15.75" thickBot="1" x14ac:dyDescent="0.3">
      <c r="A41" s="442" t="s">
        <v>79</v>
      </c>
      <c r="B41" s="108">
        <f t="shared" ref="B41:K41" si="10">IFERROR(B37/B40, "n/a")</f>
        <v>0.54449904744477096</v>
      </c>
      <c r="C41" s="109">
        <f t="shared" si="10"/>
        <v>0.54527270334369582</v>
      </c>
      <c r="D41" s="109">
        <f t="shared" si="10"/>
        <v>0.52074672263481281</v>
      </c>
      <c r="E41" s="109">
        <f t="shared" si="10"/>
        <v>0.51423323172310365</v>
      </c>
      <c r="F41" s="109">
        <f t="shared" si="10"/>
        <v>0.57680445029031713</v>
      </c>
      <c r="G41" s="109">
        <f t="shared" si="10"/>
        <v>0.63800683477886555</v>
      </c>
      <c r="H41" s="109">
        <f t="shared" si="10"/>
        <v>0.63076955178849281</v>
      </c>
      <c r="I41" s="109">
        <f t="shared" si="10"/>
        <v>0.51295343497522172</v>
      </c>
      <c r="J41" s="109">
        <f t="shared" si="10"/>
        <v>0.56707228449283875</v>
      </c>
      <c r="K41" s="109">
        <f t="shared" si="10"/>
        <v>0.55558177907412443</v>
      </c>
      <c r="L41" s="446" t="str">
        <f>IFERROR(L37/L40, "n/a")</f>
        <v>n/a</v>
      </c>
    </row>
  </sheetData>
  <mergeCells count="2">
    <mergeCell ref="A8:A9"/>
    <mergeCell ref="A26:A2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F56E9-B10E-40FA-9D79-4F146AF031DF}">
  <sheetPr codeName="Sheet8">
    <pageSetUpPr autoPageBreaks="0"/>
  </sheetPr>
  <dimension ref="A7:Y508"/>
  <sheetViews>
    <sheetView showGridLines="0" topLeftCell="B1" zoomScale="85" zoomScaleNormal="85" workbookViewId="0">
      <pane ySplit="8" topLeftCell="A9" activePane="bottomLeft" state="frozen"/>
      <selection activeCell="B1" sqref="B1"/>
      <selection pane="bottomLeft" activeCell="B1" sqref="B1"/>
    </sheetView>
  </sheetViews>
  <sheetFormatPr defaultColWidth="9.140625" defaultRowHeight="15" x14ac:dyDescent="0.25"/>
  <cols>
    <col min="1" max="1" width="5.85546875" hidden="1" customWidth="1"/>
    <col min="2" max="2" width="12.7109375" customWidth="1"/>
    <col min="3" max="6" width="15.7109375" customWidth="1"/>
    <col min="7" max="7" width="15.7109375" hidden="1" customWidth="1"/>
    <col min="8" max="8" width="15.7109375" customWidth="1"/>
    <col min="9" max="10" width="4.7109375" customWidth="1"/>
    <col min="11" max="11" width="12.7109375" customWidth="1"/>
    <col min="12" max="15" width="15.7109375" customWidth="1"/>
    <col min="16" max="16" width="15.7109375" hidden="1" customWidth="1"/>
    <col min="17" max="17" width="15.7109375" customWidth="1"/>
    <col min="18" max="18" width="8.7109375" customWidth="1"/>
    <col min="19" max="19" width="12.7109375" customWidth="1"/>
    <col min="20" max="23" width="15.7109375" customWidth="1"/>
    <col min="24" max="24" width="15.7109375" hidden="1" customWidth="1"/>
    <col min="25" max="25" width="15.7109375" customWidth="1"/>
  </cols>
  <sheetData>
    <row r="7" spans="1:25" ht="15.75" thickBot="1" x14ac:dyDescent="0.3">
      <c r="A7" s="574" t="s">
        <v>5</v>
      </c>
      <c r="B7" s="574"/>
      <c r="C7" s="574"/>
      <c r="D7" s="574"/>
      <c r="E7" s="574"/>
      <c r="F7" s="574"/>
      <c r="G7" s="574"/>
      <c r="H7" s="574"/>
      <c r="K7" s="575" t="s">
        <v>92</v>
      </c>
      <c r="L7" s="575"/>
      <c r="M7" s="575"/>
      <c r="N7" s="575"/>
      <c r="O7" s="575"/>
      <c r="P7" s="575"/>
      <c r="Q7" s="575"/>
      <c r="S7" s="575" t="s">
        <v>54</v>
      </c>
      <c r="T7" s="575"/>
      <c r="U7" s="575"/>
      <c r="V7" s="575"/>
      <c r="W7" s="575"/>
      <c r="X7" s="575"/>
      <c r="Y7" s="575"/>
    </row>
    <row r="8" spans="1:25" ht="60" customHeight="1" x14ac:dyDescent="0.25">
      <c r="B8" s="111" t="s">
        <v>93</v>
      </c>
      <c r="C8" s="8" t="s">
        <v>56</v>
      </c>
      <c r="D8" s="9" t="s">
        <v>59</v>
      </c>
      <c r="E8" s="9" t="s">
        <v>60</v>
      </c>
      <c r="F8" s="9" t="s">
        <v>79</v>
      </c>
      <c r="G8" s="9" t="s">
        <v>94</v>
      </c>
      <c r="H8" s="10" t="s">
        <v>95</v>
      </c>
      <c r="I8" s="11"/>
      <c r="J8" s="12"/>
      <c r="K8" s="13" t="s">
        <v>55</v>
      </c>
      <c r="L8" s="9" t="s">
        <v>565</v>
      </c>
      <c r="M8" s="9" t="s">
        <v>568</v>
      </c>
      <c r="N8" s="9" t="s">
        <v>57</v>
      </c>
      <c r="O8" s="9" t="s">
        <v>79</v>
      </c>
      <c r="P8" s="9" t="s">
        <v>94</v>
      </c>
      <c r="Q8" s="10" t="s">
        <v>95</v>
      </c>
      <c r="R8" s="112"/>
      <c r="S8" s="13" t="s">
        <v>55</v>
      </c>
      <c r="T8" s="9" t="s">
        <v>565</v>
      </c>
      <c r="U8" s="9" t="s">
        <v>568</v>
      </c>
      <c r="V8" s="9" t="s">
        <v>57</v>
      </c>
      <c r="W8" s="113" t="s">
        <v>79</v>
      </c>
      <c r="X8" s="9" t="s">
        <v>94</v>
      </c>
      <c r="Y8" s="10" t="s">
        <v>95</v>
      </c>
    </row>
    <row r="9" spans="1:25" x14ac:dyDescent="0.25">
      <c r="A9">
        <f>YEAR(B9)</f>
        <v>1989</v>
      </c>
      <c r="B9" s="25">
        <v>32660</v>
      </c>
      <c r="C9" s="15">
        <v>527</v>
      </c>
      <c r="D9" s="538">
        <f>E9-C9</f>
        <v>479</v>
      </c>
      <c r="E9" s="16">
        <v>1006</v>
      </c>
      <c r="F9" s="556">
        <f t="shared" ref="F9:F72" si="0">C9/E9</f>
        <v>0.52385685884691846</v>
      </c>
      <c r="G9" s="552">
        <v>1370</v>
      </c>
      <c r="H9" s="551">
        <f t="shared" ref="H9:H72" si="1">IFERROR(C9/G9,"n/a")</f>
        <v>0.38467153284671535</v>
      </c>
      <c r="I9" s="11"/>
      <c r="K9" s="19">
        <f t="shared" ref="K9:K17" si="2">K10-1</f>
        <v>2016</v>
      </c>
      <c r="L9" s="36">
        <f t="shared" ref="L9:L18" si="3">SUMIF($A$9:$A$508,$K9,C$9:C$511)</f>
        <v>26880</v>
      </c>
      <c r="M9" s="37">
        <f t="shared" ref="M9:M18" si="4">N9-L9</f>
        <v>16045</v>
      </c>
      <c r="N9" s="37">
        <f t="shared" ref="N9:N18" si="5">SUMIF($A$9:$A$508,$K9,E$9:E$511)</f>
        <v>42925</v>
      </c>
      <c r="O9" s="114">
        <f t="shared" ref="O9:O18" si="6">L9/N9</f>
        <v>0.62620850320326149</v>
      </c>
      <c r="P9" s="39">
        <f t="shared" ref="P9:P18" si="7">SUMIF($A$9:$A$508,$K9,G$9:G$511)</f>
        <v>34601</v>
      </c>
      <c r="Q9" s="23">
        <f>L9/P9</f>
        <v>0.77685616022658299</v>
      </c>
      <c r="R9" s="106"/>
      <c r="S9" s="19" t="str">
        <f>LEFT(S10, 4)-1 &amp; "-" &amp; RIGHT(LEFT(S10, 4), 2)</f>
        <v>2015-16</v>
      </c>
      <c r="T9" s="115">
        <f t="shared" ref="T9:T18" si="8">SUMIFS(C:C, $B:$B, "&gt;=" &amp; DATE(LEFT($S9, 4), 7, 1), $B:$B, "&lt;" &amp; DATE(LEFT($S9, 4)+1, 7, 1))</f>
        <v>35211</v>
      </c>
      <c r="U9" s="116">
        <f t="shared" ref="U9:U18" si="9">SUMIFS(D:D, $B:$B, "&gt;=" &amp; DATE(LEFT($S9, 4), 7, 1), $B:$B, "&lt;" &amp; DATE(LEFT($S9, 4)+1, 7, 1))</f>
        <v>18178</v>
      </c>
      <c r="V9" s="116">
        <f t="shared" ref="V9:V18" si="10">SUMIFS(E:E, $B:$B, "&gt;=" &amp; DATE(LEFT($S9, 4), 7, 1), $B:$B, "&lt;" &amp; DATE(LEFT($S9, 4)+1, 7, 1))</f>
        <v>53389</v>
      </c>
      <c r="W9" s="117">
        <f t="shared" ref="W9:W18" si="11">T9/V9</f>
        <v>0.6595178782146135</v>
      </c>
      <c r="X9" s="118">
        <f t="shared" ref="X9:X18" si="12">SUMIFS(G:G, $B:$B, "&gt;=" &amp; DATE(LEFT($S9, 4), 7, 1), $B:$B, "&lt;" &amp; DATE(LEFT($S9, 4)+1, 7, 1))</f>
        <v>44142</v>
      </c>
      <c r="Y9" s="119">
        <f t="shared" ref="Y9:Y18" si="13">T9/X9</f>
        <v>0.79767568302297132</v>
      </c>
    </row>
    <row r="10" spans="1:25" x14ac:dyDescent="0.25">
      <c r="A10">
        <f t="shared" ref="A10:A73" si="14">YEAR(B10)</f>
        <v>1989</v>
      </c>
      <c r="B10" s="25">
        <v>32752</v>
      </c>
      <c r="C10" s="26">
        <v>594</v>
      </c>
      <c r="D10" s="26">
        <f t="shared" ref="D10:D73" si="15">E10-C10</f>
        <v>452</v>
      </c>
      <c r="E10" s="27">
        <v>1046</v>
      </c>
      <c r="F10" s="557">
        <f t="shared" si="0"/>
        <v>0.56787762906309747</v>
      </c>
      <c r="G10" s="553">
        <v>1597</v>
      </c>
      <c r="H10" s="29">
        <f t="shared" si="1"/>
        <v>0.37194740137758298</v>
      </c>
      <c r="I10" s="11"/>
      <c r="K10" s="30">
        <f t="shared" si="2"/>
        <v>2017</v>
      </c>
      <c r="L10" s="31">
        <f t="shared" si="3"/>
        <v>20458</v>
      </c>
      <c r="M10" s="32">
        <f t="shared" si="4"/>
        <v>16879</v>
      </c>
      <c r="N10" s="32">
        <f t="shared" si="5"/>
        <v>37337</v>
      </c>
      <c r="O10" s="120">
        <f t="shared" si="6"/>
        <v>0.54792832846773976</v>
      </c>
      <c r="P10" s="34">
        <f t="shared" si="7"/>
        <v>28807</v>
      </c>
      <c r="Q10" s="35">
        <f t="shared" ref="Q10:Q18" si="16">L10/P10</f>
        <v>0.71017461033776508</v>
      </c>
      <c r="R10" s="106"/>
      <c r="S10" s="30" t="str">
        <f t="shared" ref="S10:S17" si="17">LEFT(S11, 4)-1 &amp; "-" &amp; RIGHT(LEFT(S11, 4), 2)</f>
        <v>2016-17</v>
      </c>
      <c r="T10" s="31">
        <f t="shared" si="8"/>
        <v>22230</v>
      </c>
      <c r="U10" s="32">
        <f t="shared" si="9"/>
        <v>16520</v>
      </c>
      <c r="V10" s="32">
        <f t="shared" si="10"/>
        <v>38750</v>
      </c>
      <c r="W10" s="33">
        <f t="shared" si="11"/>
        <v>0.57367741935483874</v>
      </c>
      <c r="X10" s="34">
        <f t="shared" si="12"/>
        <v>29836</v>
      </c>
      <c r="Y10" s="35">
        <f t="shared" si="13"/>
        <v>0.74507306609465074</v>
      </c>
    </row>
    <row r="11" spans="1:25" x14ac:dyDescent="0.25">
      <c r="A11">
        <f t="shared" si="14"/>
        <v>1989</v>
      </c>
      <c r="B11" s="25">
        <v>32843</v>
      </c>
      <c r="C11" s="15">
        <v>576</v>
      </c>
      <c r="D11" s="15">
        <f t="shared" si="15"/>
        <v>548</v>
      </c>
      <c r="E11" s="16">
        <v>1124</v>
      </c>
      <c r="F11" s="558">
        <f t="shared" si="0"/>
        <v>0.51245551601423489</v>
      </c>
      <c r="G11" s="552">
        <v>1257</v>
      </c>
      <c r="H11" s="18">
        <f t="shared" si="1"/>
        <v>0.45823389021479716</v>
      </c>
      <c r="I11" s="11"/>
      <c r="K11" s="19">
        <f t="shared" si="2"/>
        <v>2018</v>
      </c>
      <c r="L11" s="36">
        <f t="shared" si="3"/>
        <v>17793</v>
      </c>
      <c r="M11" s="37">
        <f t="shared" si="4"/>
        <v>16802</v>
      </c>
      <c r="N11" s="37">
        <f t="shared" si="5"/>
        <v>34595</v>
      </c>
      <c r="O11" s="114">
        <f t="shared" si="6"/>
        <v>0.51432287902876139</v>
      </c>
      <c r="P11" s="39">
        <f t="shared" si="7"/>
        <v>26406</v>
      </c>
      <c r="Q11" s="23">
        <f t="shared" si="16"/>
        <v>0.67382413087934556</v>
      </c>
      <c r="R11" s="106"/>
      <c r="S11" s="30" t="str">
        <f t="shared" si="17"/>
        <v>2017-18</v>
      </c>
      <c r="T11" s="115">
        <f t="shared" si="8"/>
        <v>19173</v>
      </c>
      <c r="U11" s="116">
        <f t="shared" si="9"/>
        <v>17215</v>
      </c>
      <c r="V11" s="116">
        <f t="shared" si="10"/>
        <v>36388</v>
      </c>
      <c r="W11" s="117">
        <f t="shared" si="11"/>
        <v>0.52690447400241835</v>
      </c>
      <c r="X11" s="118">
        <f t="shared" si="12"/>
        <v>27986</v>
      </c>
      <c r="Y11" s="119">
        <f t="shared" si="13"/>
        <v>0.68509254627313654</v>
      </c>
    </row>
    <row r="12" spans="1:25" x14ac:dyDescent="0.25">
      <c r="A12">
        <f t="shared" si="14"/>
        <v>1990</v>
      </c>
      <c r="B12" s="25">
        <v>32933</v>
      </c>
      <c r="C12" s="26">
        <v>465</v>
      </c>
      <c r="D12" s="26">
        <f t="shared" si="15"/>
        <v>431</v>
      </c>
      <c r="E12" s="27">
        <v>896</v>
      </c>
      <c r="F12" s="557">
        <f t="shared" si="0"/>
        <v>0.5189732142857143</v>
      </c>
      <c r="G12" s="553">
        <v>1101</v>
      </c>
      <c r="H12" s="29">
        <f t="shared" si="1"/>
        <v>0.42234332425068122</v>
      </c>
      <c r="I12" s="11"/>
      <c r="K12" s="30">
        <f t="shared" si="2"/>
        <v>2019</v>
      </c>
      <c r="L12" s="31">
        <f t="shared" si="3"/>
        <v>17236</v>
      </c>
      <c r="M12" s="32">
        <f t="shared" si="4"/>
        <v>16656</v>
      </c>
      <c r="N12" s="32">
        <f t="shared" si="5"/>
        <v>33892</v>
      </c>
      <c r="O12" s="120">
        <f t="shared" si="6"/>
        <v>0.50855659152602384</v>
      </c>
      <c r="P12" s="34">
        <f t="shared" si="7"/>
        <v>25302</v>
      </c>
      <c r="Q12" s="35">
        <f t="shared" si="16"/>
        <v>0.68121097146470633</v>
      </c>
      <c r="R12" s="106"/>
      <c r="S12" s="30" t="str">
        <f t="shared" si="17"/>
        <v>2018-19</v>
      </c>
      <c r="T12" s="31">
        <f t="shared" si="8"/>
        <v>16968</v>
      </c>
      <c r="U12" s="32">
        <f t="shared" si="9"/>
        <v>16386</v>
      </c>
      <c r="V12" s="32">
        <f t="shared" si="10"/>
        <v>33354</v>
      </c>
      <c r="W12" s="33">
        <f t="shared" si="11"/>
        <v>0.50872459075373266</v>
      </c>
      <c r="X12" s="34">
        <f t="shared" si="12"/>
        <v>25167</v>
      </c>
      <c r="Y12" s="35">
        <f t="shared" si="13"/>
        <v>0.67421623554654908</v>
      </c>
    </row>
    <row r="13" spans="1:25" x14ac:dyDescent="0.25">
      <c r="A13">
        <f t="shared" si="14"/>
        <v>1990</v>
      </c>
      <c r="B13" s="25">
        <v>33025</v>
      </c>
      <c r="C13" s="15">
        <v>469</v>
      </c>
      <c r="D13" s="15">
        <f t="shared" si="15"/>
        <v>570</v>
      </c>
      <c r="E13" s="16">
        <v>1039</v>
      </c>
      <c r="F13" s="558">
        <f t="shared" si="0"/>
        <v>0.45139557266602504</v>
      </c>
      <c r="G13" s="552">
        <v>1079</v>
      </c>
      <c r="H13" s="18">
        <f t="shared" si="1"/>
        <v>0.43466172381835033</v>
      </c>
      <c r="I13" s="11"/>
      <c r="K13" s="19">
        <f t="shared" si="2"/>
        <v>2020</v>
      </c>
      <c r="L13" s="36">
        <f t="shared" si="3"/>
        <v>19993</v>
      </c>
      <c r="M13" s="37">
        <f t="shared" si="4"/>
        <v>15165</v>
      </c>
      <c r="N13" s="37">
        <f t="shared" si="5"/>
        <v>35158</v>
      </c>
      <c r="O13" s="114">
        <f t="shared" si="6"/>
        <v>0.56866147107343989</v>
      </c>
      <c r="P13" s="39">
        <f t="shared" si="7"/>
        <v>27633</v>
      </c>
      <c r="Q13" s="23">
        <f t="shared" si="16"/>
        <v>0.7235189809285999</v>
      </c>
      <c r="R13" s="106"/>
      <c r="S13" s="30" t="str">
        <f t="shared" si="17"/>
        <v>2019-20</v>
      </c>
      <c r="T13" s="115">
        <f t="shared" si="8"/>
        <v>18961</v>
      </c>
      <c r="U13" s="116">
        <f t="shared" si="9"/>
        <v>16194</v>
      </c>
      <c r="V13" s="116">
        <f t="shared" si="10"/>
        <v>35155</v>
      </c>
      <c r="W13" s="117">
        <f t="shared" si="11"/>
        <v>0.53935428815246766</v>
      </c>
      <c r="X13" s="118">
        <f t="shared" si="12"/>
        <v>26864</v>
      </c>
      <c r="Y13" s="119">
        <f t="shared" si="13"/>
        <v>0.70581447290053601</v>
      </c>
    </row>
    <row r="14" spans="1:25" x14ac:dyDescent="0.25">
      <c r="A14">
        <f t="shared" si="14"/>
        <v>1990</v>
      </c>
      <c r="B14" s="25">
        <v>33117</v>
      </c>
      <c r="C14" s="26">
        <v>513</v>
      </c>
      <c r="D14" s="26">
        <f t="shared" si="15"/>
        <v>631</v>
      </c>
      <c r="E14" s="27">
        <v>1144</v>
      </c>
      <c r="F14" s="557">
        <f t="shared" si="0"/>
        <v>0.44842657342657344</v>
      </c>
      <c r="G14" s="553">
        <v>1280</v>
      </c>
      <c r="H14" s="29">
        <f t="shared" si="1"/>
        <v>0.40078124999999998</v>
      </c>
      <c r="I14" s="11"/>
      <c r="K14" s="30">
        <f t="shared" si="2"/>
        <v>2021</v>
      </c>
      <c r="L14" s="31">
        <f t="shared" si="3"/>
        <v>22258</v>
      </c>
      <c r="M14" s="32">
        <f t="shared" si="4"/>
        <v>15805</v>
      </c>
      <c r="N14" s="32">
        <f t="shared" si="5"/>
        <v>38063</v>
      </c>
      <c r="O14" s="120">
        <f t="shared" si="6"/>
        <v>0.5847673593778735</v>
      </c>
      <c r="P14" s="34">
        <f t="shared" si="7"/>
        <v>31900</v>
      </c>
      <c r="Q14" s="35">
        <f t="shared" si="16"/>
        <v>0.69774294670846393</v>
      </c>
      <c r="R14" s="106"/>
      <c r="S14" s="30" t="str">
        <f t="shared" si="17"/>
        <v>2020-21</v>
      </c>
      <c r="T14" s="31">
        <f t="shared" si="8"/>
        <v>20671</v>
      </c>
      <c r="U14" s="32">
        <f t="shared" si="9"/>
        <v>14789</v>
      </c>
      <c r="V14" s="32">
        <f t="shared" si="10"/>
        <v>35460</v>
      </c>
      <c r="W14" s="33">
        <f t="shared" si="11"/>
        <v>0.58293852227862375</v>
      </c>
      <c r="X14" s="34">
        <f t="shared" si="12"/>
        <v>29334</v>
      </c>
      <c r="Y14" s="35">
        <f t="shared" si="13"/>
        <v>0.70467716642803568</v>
      </c>
    </row>
    <row r="15" spans="1:25" x14ac:dyDescent="0.25">
      <c r="A15">
        <f t="shared" si="14"/>
        <v>1990</v>
      </c>
      <c r="B15" s="25">
        <v>33208</v>
      </c>
      <c r="C15" s="15">
        <v>490</v>
      </c>
      <c r="D15" s="15">
        <f t="shared" si="15"/>
        <v>770</v>
      </c>
      <c r="E15" s="16">
        <v>1260</v>
      </c>
      <c r="F15" s="558">
        <f t="shared" si="0"/>
        <v>0.3888888888888889</v>
      </c>
      <c r="G15" s="552">
        <v>1252</v>
      </c>
      <c r="H15" s="18">
        <f t="shared" si="1"/>
        <v>0.39137380191693288</v>
      </c>
      <c r="I15" s="11"/>
      <c r="K15" s="30">
        <f t="shared" si="2"/>
        <v>2022</v>
      </c>
      <c r="L15" s="36">
        <f t="shared" si="3"/>
        <v>25834</v>
      </c>
      <c r="M15" s="37">
        <f t="shared" si="4"/>
        <v>18398</v>
      </c>
      <c r="N15" s="37">
        <f t="shared" si="5"/>
        <v>44232</v>
      </c>
      <c r="O15" s="114">
        <f t="shared" si="6"/>
        <v>0.58405679146319411</v>
      </c>
      <c r="P15" s="39">
        <f t="shared" si="7"/>
        <v>35911</v>
      </c>
      <c r="Q15" s="23">
        <f t="shared" si="16"/>
        <v>0.71938960207178859</v>
      </c>
      <c r="R15" s="106"/>
      <c r="S15" s="30" t="str">
        <f t="shared" si="17"/>
        <v>2021-22</v>
      </c>
      <c r="T15" s="115">
        <f t="shared" si="8"/>
        <v>24459</v>
      </c>
      <c r="U15" s="116">
        <f t="shared" si="9"/>
        <v>17229</v>
      </c>
      <c r="V15" s="116">
        <f t="shared" si="10"/>
        <v>41688</v>
      </c>
      <c r="W15" s="117">
        <f t="shared" si="11"/>
        <v>0.58671560161197467</v>
      </c>
      <c r="X15" s="118">
        <f t="shared" si="12"/>
        <v>34286</v>
      </c>
      <c r="Y15" s="119">
        <f t="shared" si="13"/>
        <v>0.71338155515370705</v>
      </c>
    </row>
    <row r="16" spans="1:25" x14ac:dyDescent="0.25">
      <c r="A16">
        <f t="shared" si="14"/>
        <v>1991</v>
      </c>
      <c r="B16" s="25">
        <v>33298</v>
      </c>
      <c r="C16" s="26">
        <v>457</v>
      </c>
      <c r="D16" s="26">
        <f t="shared" si="15"/>
        <v>612</v>
      </c>
      <c r="E16" s="27">
        <v>1069</v>
      </c>
      <c r="F16" s="557">
        <f t="shared" si="0"/>
        <v>0.42750233863423759</v>
      </c>
      <c r="G16" s="553">
        <v>1068</v>
      </c>
      <c r="H16" s="29">
        <f t="shared" si="1"/>
        <v>0.42790262172284643</v>
      </c>
      <c r="I16" s="11"/>
      <c r="K16" s="30">
        <f t="shared" si="2"/>
        <v>2023</v>
      </c>
      <c r="L16" s="31">
        <f t="shared" si="3"/>
        <v>31052</v>
      </c>
      <c r="M16" s="32">
        <f t="shared" si="4"/>
        <v>20118</v>
      </c>
      <c r="N16" s="32">
        <f t="shared" si="5"/>
        <v>51170</v>
      </c>
      <c r="O16" s="120">
        <f t="shared" si="6"/>
        <v>0.60683994528043772</v>
      </c>
      <c r="P16" s="34">
        <f t="shared" si="7"/>
        <v>43334</v>
      </c>
      <c r="Q16" s="35">
        <f t="shared" si="16"/>
        <v>0.71657359117552033</v>
      </c>
      <c r="R16" s="106"/>
      <c r="S16" s="30" t="str">
        <f t="shared" si="17"/>
        <v>2022-23</v>
      </c>
      <c r="T16" s="31">
        <f t="shared" si="8"/>
        <v>27292</v>
      </c>
      <c r="U16" s="32">
        <f t="shared" si="9"/>
        <v>19464</v>
      </c>
      <c r="V16" s="32">
        <f t="shared" si="10"/>
        <v>46756</v>
      </c>
      <c r="W16" s="33">
        <f t="shared" si="11"/>
        <v>0.58371118145264778</v>
      </c>
      <c r="X16" s="34">
        <f t="shared" si="12"/>
        <v>38197</v>
      </c>
      <c r="Y16" s="35">
        <f t="shared" si="13"/>
        <v>0.71450637484619206</v>
      </c>
    </row>
    <row r="17" spans="1:25" x14ac:dyDescent="0.25">
      <c r="A17">
        <f t="shared" si="14"/>
        <v>1991</v>
      </c>
      <c r="B17" s="25">
        <v>33390</v>
      </c>
      <c r="C17" s="15">
        <v>473</v>
      </c>
      <c r="D17" s="15">
        <f t="shared" si="15"/>
        <v>677</v>
      </c>
      <c r="E17" s="16">
        <v>1150</v>
      </c>
      <c r="F17" s="558">
        <f t="shared" si="0"/>
        <v>0.41130434782608694</v>
      </c>
      <c r="G17" s="552">
        <v>1086</v>
      </c>
      <c r="H17" s="18">
        <f t="shared" si="1"/>
        <v>0.43554327808471455</v>
      </c>
      <c r="I17" s="11"/>
      <c r="K17" s="30">
        <f t="shared" si="2"/>
        <v>2024</v>
      </c>
      <c r="L17" s="36">
        <f t="shared" si="3"/>
        <v>31887</v>
      </c>
      <c r="M17" s="37">
        <f t="shared" si="4"/>
        <v>20221</v>
      </c>
      <c r="N17" s="37">
        <f t="shared" si="5"/>
        <v>52108</v>
      </c>
      <c r="O17" s="114">
        <f t="shared" si="6"/>
        <v>0.61194058493897285</v>
      </c>
      <c r="P17" s="39">
        <f t="shared" si="7"/>
        <v>44718</v>
      </c>
      <c r="Q17" s="23">
        <f t="shared" si="16"/>
        <v>0.71306856299476717</v>
      </c>
      <c r="R17" s="106"/>
      <c r="S17" s="30" t="str">
        <f t="shared" si="17"/>
        <v>2023-24</v>
      </c>
      <c r="T17" s="115">
        <f t="shared" si="8"/>
        <v>32196</v>
      </c>
      <c r="U17" s="116">
        <f t="shared" si="9"/>
        <v>20366</v>
      </c>
      <c r="V17" s="116">
        <f t="shared" si="10"/>
        <v>52562</v>
      </c>
      <c r="W17" s="117">
        <f t="shared" si="11"/>
        <v>0.61253376964346862</v>
      </c>
      <c r="X17" s="118">
        <f t="shared" si="12"/>
        <v>45019</v>
      </c>
      <c r="Y17" s="119">
        <f t="shared" si="13"/>
        <v>0.71516470823430112</v>
      </c>
    </row>
    <row r="18" spans="1:25" ht="15.75" thickBot="1" x14ac:dyDescent="0.3">
      <c r="A18">
        <f t="shared" si="14"/>
        <v>1991</v>
      </c>
      <c r="B18" s="25">
        <v>33482</v>
      </c>
      <c r="C18" s="26">
        <v>444</v>
      </c>
      <c r="D18" s="26">
        <f t="shared" si="15"/>
        <v>596</v>
      </c>
      <c r="E18" s="27">
        <v>1040</v>
      </c>
      <c r="F18" s="557">
        <f t="shared" si="0"/>
        <v>0.42692307692307691</v>
      </c>
      <c r="G18" s="553">
        <v>1181</v>
      </c>
      <c r="H18" s="29">
        <f t="shared" si="1"/>
        <v>0.37595258255715497</v>
      </c>
      <c r="I18" s="11"/>
      <c r="K18" s="121">
        <f>YEAR(LARGE(B:B, 4))</f>
        <v>2025</v>
      </c>
      <c r="L18" s="41">
        <f t="shared" si="3"/>
        <v>33809</v>
      </c>
      <c r="M18" s="42">
        <f t="shared" si="4"/>
        <v>20551</v>
      </c>
      <c r="N18" s="42">
        <f t="shared" si="5"/>
        <v>54360</v>
      </c>
      <c r="O18" s="122">
        <f t="shared" si="6"/>
        <v>0.62194628403237673</v>
      </c>
      <c r="P18" s="44">
        <f t="shared" si="7"/>
        <v>49299</v>
      </c>
      <c r="Q18" s="45">
        <f t="shared" si="16"/>
        <v>0.68579484370879729</v>
      </c>
      <c r="R18" s="106"/>
      <c r="S18" s="121" t="str">
        <f>YEAR(MAX(B:B))-1 &amp; "-" &amp; RIGHT(YEAR(MAX(B:B)), 2)</f>
        <v>2024-25</v>
      </c>
      <c r="T18" s="41">
        <f t="shared" si="8"/>
        <v>32988</v>
      </c>
      <c r="U18" s="42">
        <f t="shared" si="9"/>
        <v>20245</v>
      </c>
      <c r="V18" s="42">
        <f t="shared" si="10"/>
        <v>53233</v>
      </c>
      <c r="W18" s="43">
        <f t="shared" si="11"/>
        <v>0.61969079330490484</v>
      </c>
      <c r="X18" s="44">
        <f t="shared" si="12"/>
        <v>46612</v>
      </c>
      <c r="Y18" s="45">
        <f t="shared" si="13"/>
        <v>0.70771475156612029</v>
      </c>
    </row>
    <row r="19" spans="1:25" x14ac:dyDescent="0.25">
      <c r="A19">
        <f t="shared" si="14"/>
        <v>1991</v>
      </c>
      <c r="B19" s="25">
        <v>33573</v>
      </c>
      <c r="C19" s="15">
        <v>506</v>
      </c>
      <c r="D19" s="15">
        <f t="shared" si="15"/>
        <v>640</v>
      </c>
      <c r="E19" s="16">
        <v>1146</v>
      </c>
      <c r="F19" s="558">
        <f t="shared" si="0"/>
        <v>0.44153577661431065</v>
      </c>
      <c r="G19" s="552">
        <v>1250</v>
      </c>
      <c r="H19" s="18">
        <f t="shared" si="1"/>
        <v>0.40479999999999999</v>
      </c>
      <c r="I19" s="11"/>
      <c r="L19" s="123"/>
      <c r="M19" s="46"/>
      <c r="N19" s="123"/>
      <c r="O19" s="46"/>
      <c r="P19" s="46"/>
    </row>
    <row r="20" spans="1:25" x14ac:dyDescent="0.25">
      <c r="A20">
        <f t="shared" si="14"/>
        <v>1992</v>
      </c>
      <c r="B20" s="25">
        <v>33664</v>
      </c>
      <c r="C20" s="26">
        <v>428</v>
      </c>
      <c r="D20" s="26">
        <f t="shared" si="15"/>
        <v>465</v>
      </c>
      <c r="E20" s="27">
        <v>893</v>
      </c>
      <c r="F20" s="557">
        <f t="shared" si="0"/>
        <v>0.47928331466965285</v>
      </c>
      <c r="G20" s="553">
        <v>1063</v>
      </c>
      <c r="H20" s="29">
        <f t="shared" si="1"/>
        <v>0.4026340545625588</v>
      </c>
      <c r="I20" s="11"/>
    </row>
    <row r="21" spans="1:25" x14ac:dyDescent="0.25">
      <c r="A21">
        <f t="shared" si="14"/>
        <v>1992</v>
      </c>
      <c r="B21" s="25">
        <v>33756</v>
      </c>
      <c r="C21" s="15">
        <v>556</v>
      </c>
      <c r="D21" s="15">
        <f t="shared" si="15"/>
        <v>632</v>
      </c>
      <c r="E21" s="16">
        <v>1188</v>
      </c>
      <c r="F21" s="558">
        <f t="shared" si="0"/>
        <v>0.46801346801346799</v>
      </c>
      <c r="G21" s="552">
        <v>1113</v>
      </c>
      <c r="H21" s="18">
        <f t="shared" si="1"/>
        <v>0.49955076370170709</v>
      </c>
      <c r="I21" s="11"/>
    </row>
    <row r="22" spans="1:25" x14ac:dyDescent="0.25">
      <c r="A22">
        <f t="shared" si="14"/>
        <v>1992</v>
      </c>
      <c r="B22" s="25">
        <v>33848</v>
      </c>
      <c r="C22" s="26">
        <v>672</v>
      </c>
      <c r="D22" s="26">
        <f t="shared" si="15"/>
        <v>593</v>
      </c>
      <c r="E22" s="27">
        <v>1265</v>
      </c>
      <c r="F22" s="557">
        <f t="shared" si="0"/>
        <v>0.53122529644268779</v>
      </c>
      <c r="G22" s="553">
        <v>1316</v>
      </c>
      <c r="H22" s="29">
        <f t="shared" si="1"/>
        <v>0.51063829787234039</v>
      </c>
      <c r="I22" s="11"/>
    </row>
    <row r="23" spans="1:25" x14ac:dyDescent="0.25">
      <c r="A23">
        <f t="shared" si="14"/>
        <v>1992</v>
      </c>
      <c r="B23" s="25">
        <v>33939</v>
      </c>
      <c r="C23" s="15">
        <v>840</v>
      </c>
      <c r="D23" s="15">
        <f t="shared" si="15"/>
        <v>602</v>
      </c>
      <c r="E23" s="16">
        <v>1442</v>
      </c>
      <c r="F23" s="558">
        <f t="shared" si="0"/>
        <v>0.58252427184466016</v>
      </c>
      <c r="G23" s="552">
        <v>1571</v>
      </c>
      <c r="H23" s="18">
        <f t="shared" si="1"/>
        <v>0.53469127943984718</v>
      </c>
      <c r="I23" s="11"/>
    </row>
    <row r="24" spans="1:25" x14ac:dyDescent="0.25">
      <c r="A24">
        <f t="shared" si="14"/>
        <v>1993</v>
      </c>
      <c r="B24" s="25">
        <v>34029</v>
      </c>
      <c r="C24" s="26">
        <v>732</v>
      </c>
      <c r="D24" s="26">
        <f t="shared" si="15"/>
        <v>574</v>
      </c>
      <c r="E24" s="27">
        <v>1306</v>
      </c>
      <c r="F24" s="557">
        <f t="shared" si="0"/>
        <v>0.56049004594180707</v>
      </c>
      <c r="G24" s="553">
        <v>1629</v>
      </c>
      <c r="H24" s="29">
        <f t="shared" si="1"/>
        <v>0.44935543278084716</v>
      </c>
      <c r="I24" s="11"/>
    </row>
    <row r="25" spans="1:25" x14ac:dyDescent="0.25">
      <c r="A25">
        <f t="shared" si="14"/>
        <v>1993</v>
      </c>
      <c r="B25" s="25">
        <v>34121</v>
      </c>
      <c r="C25" s="15">
        <v>800</v>
      </c>
      <c r="D25" s="15">
        <f t="shared" si="15"/>
        <v>735</v>
      </c>
      <c r="E25" s="16">
        <v>1535</v>
      </c>
      <c r="F25" s="558">
        <f t="shared" si="0"/>
        <v>0.52117263843648209</v>
      </c>
      <c r="G25" s="552">
        <v>1458</v>
      </c>
      <c r="H25" s="18">
        <f t="shared" si="1"/>
        <v>0.54869684499314131</v>
      </c>
      <c r="I25" s="11"/>
    </row>
    <row r="26" spans="1:25" x14ac:dyDescent="0.25">
      <c r="A26">
        <f t="shared" si="14"/>
        <v>1993</v>
      </c>
      <c r="B26" s="25">
        <v>34213</v>
      </c>
      <c r="C26" s="26">
        <v>763</v>
      </c>
      <c r="D26" s="26">
        <f t="shared" si="15"/>
        <v>582</v>
      </c>
      <c r="E26" s="27">
        <v>1345</v>
      </c>
      <c r="F26" s="557">
        <f t="shared" si="0"/>
        <v>0.56728624535315986</v>
      </c>
      <c r="G26" s="553">
        <v>1416</v>
      </c>
      <c r="H26" s="29">
        <f t="shared" si="1"/>
        <v>0.53884180790960456</v>
      </c>
      <c r="I26" s="11"/>
    </row>
    <row r="27" spans="1:25" x14ac:dyDescent="0.25">
      <c r="A27">
        <f t="shared" si="14"/>
        <v>1993</v>
      </c>
      <c r="B27" s="25">
        <v>34304</v>
      </c>
      <c r="C27" s="15">
        <v>980</v>
      </c>
      <c r="D27" s="15">
        <f t="shared" si="15"/>
        <v>637</v>
      </c>
      <c r="E27" s="16">
        <v>1617</v>
      </c>
      <c r="F27" s="558">
        <f t="shared" si="0"/>
        <v>0.60606060606060608</v>
      </c>
      <c r="G27" s="552">
        <v>1866</v>
      </c>
      <c r="H27" s="18">
        <f t="shared" si="1"/>
        <v>0.52518756698821012</v>
      </c>
      <c r="I27" s="11"/>
    </row>
    <row r="28" spans="1:25" x14ac:dyDescent="0.25">
      <c r="A28">
        <f t="shared" si="14"/>
        <v>1994</v>
      </c>
      <c r="B28" s="25">
        <v>34394</v>
      </c>
      <c r="C28" s="26">
        <v>671</v>
      </c>
      <c r="D28" s="26">
        <f t="shared" si="15"/>
        <v>606</v>
      </c>
      <c r="E28" s="27">
        <v>1277</v>
      </c>
      <c r="F28" s="557">
        <f t="shared" si="0"/>
        <v>0.52545027407987466</v>
      </c>
      <c r="G28" s="553">
        <v>1288</v>
      </c>
      <c r="H28" s="29">
        <f t="shared" si="1"/>
        <v>0.52096273291925466</v>
      </c>
      <c r="I28" s="11"/>
    </row>
    <row r="29" spans="1:25" x14ac:dyDescent="0.25">
      <c r="A29">
        <f t="shared" si="14"/>
        <v>1994</v>
      </c>
      <c r="B29" s="25">
        <v>34486</v>
      </c>
      <c r="C29" s="15">
        <v>772</v>
      </c>
      <c r="D29" s="15">
        <f t="shared" si="15"/>
        <v>640</v>
      </c>
      <c r="E29" s="16">
        <v>1412</v>
      </c>
      <c r="F29" s="558">
        <f t="shared" si="0"/>
        <v>0.54674220963172804</v>
      </c>
      <c r="G29" s="552">
        <v>1686</v>
      </c>
      <c r="H29" s="18">
        <f t="shared" si="1"/>
        <v>0.45788849347568211</v>
      </c>
      <c r="I29" s="11"/>
    </row>
    <row r="30" spans="1:25" x14ac:dyDescent="0.25">
      <c r="A30">
        <f t="shared" si="14"/>
        <v>1994</v>
      </c>
      <c r="B30" s="25">
        <v>34578</v>
      </c>
      <c r="C30" s="26">
        <v>662</v>
      </c>
      <c r="D30" s="26">
        <f t="shared" si="15"/>
        <v>668</v>
      </c>
      <c r="E30" s="27">
        <v>1330</v>
      </c>
      <c r="F30" s="557">
        <f t="shared" si="0"/>
        <v>0.49774436090225566</v>
      </c>
      <c r="G30" s="553">
        <v>1302</v>
      </c>
      <c r="H30" s="29">
        <f t="shared" si="1"/>
        <v>0.50844854070660517</v>
      </c>
      <c r="I30" s="11"/>
    </row>
    <row r="31" spans="1:25" x14ac:dyDescent="0.25">
      <c r="A31">
        <f t="shared" si="14"/>
        <v>1994</v>
      </c>
      <c r="B31" s="25">
        <v>34669</v>
      </c>
      <c r="C31" s="15">
        <v>1152</v>
      </c>
      <c r="D31" s="15">
        <f t="shared" si="15"/>
        <v>719</v>
      </c>
      <c r="E31" s="16">
        <v>1871</v>
      </c>
      <c r="F31" s="558">
        <f t="shared" si="0"/>
        <v>0.61571352218065201</v>
      </c>
      <c r="G31" s="552">
        <v>2352</v>
      </c>
      <c r="H31" s="18">
        <f t="shared" si="1"/>
        <v>0.48979591836734693</v>
      </c>
      <c r="I31" s="11"/>
    </row>
    <row r="32" spans="1:25" x14ac:dyDescent="0.25">
      <c r="A32">
        <f t="shared" si="14"/>
        <v>1995</v>
      </c>
      <c r="B32" s="25">
        <v>34759</v>
      </c>
      <c r="C32" s="26">
        <v>989</v>
      </c>
      <c r="D32" s="26">
        <f t="shared" si="15"/>
        <v>558</v>
      </c>
      <c r="E32" s="27">
        <v>1547</v>
      </c>
      <c r="F32" s="557">
        <f t="shared" si="0"/>
        <v>0.63930187459599219</v>
      </c>
      <c r="G32" s="553">
        <v>1623</v>
      </c>
      <c r="H32" s="29">
        <f t="shared" si="1"/>
        <v>0.60936537276648184</v>
      </c>
      <c r="I32" s="11"/>
    </row>
    <row r="33" spans="1:9" x14ac:dyDescent="0.25">
      <c r="A33">
        <f t="shared" si="14"/>
        <v>1995</v>
      </c>
      <c r="B33" s="25">
        <v>34851</v>
      </c>
      <c r="C33" s="15">
        <v>859</v>
      </c>
      <c r="D33" s="15">
        <f t="shared" si="15"/>
        <v>831</v>
      </c>
      <c r="E33" s="16">
        <v>1690</v>
      </c>
      <c r="F33" s="558">
        <f t="shared" si="0"/>
        <v>0.50828402366863901</v>
      </c>
      <c r="G33" s="552">
        <v>1756</v>
      </c>
      <c r="H33" s="18">
        <f t="shared" si="1"/>
        <v>0.48917995444191342</v>
      </c>
      <c r="I33" s="11"/>
    </row>
    <row r="34" spans="1:9" x14ac:dyDescent="0.25">
      <c r="A34">
        <f t="shared" si="14"/>
        <v>1995</v>
      </c>
      <c r="B34" s="25">
        <v>34943</v>
      </c>
      <c r="C34" s="26">
        <v>976</v>
      </c>
      <c r="D34" s="26">
        <f t="shared" si="15"/>
        <v>695</v>
      </c>
      <c r="E34" s="27">
        <v>1671</v>
      </c>
      <c r="F34" s="557">
        <f t="shared" si="0"/>
        <v>0.58408138839018553</v>
      </c>
      <c r="G34" s="553">
        <v>1973</v>
      </c>
      <c r="H34" s="29">
        <f t="shared" si="1"/>
        <v>0.49467815509376584</v>
      </c>
    </row>
    <row r="35" spans="1:9" x14ac:dyDescent="0.25">
      <c r="A35">
        <f t="shared" si="14"/>
        <v>1995</v>
      </c>
      <c r="B35" s="25">
        <v>35034</v>
      </c>
      <c r="C35" s="15">
        <v>1205</v>
      </c>
      <c r="D35" s="15">
        <f t="shared" si="15"/>
        <v>806</v>
      </c>
      <c r="E35" s="16">
        <v>2011</v>
      </c>
      <c r="F35" s="558">
        <f t="shared" si="0"/>
        <v>0.59920437593237197</v>
      </c>
      <c r="G35" s="552">
        <v>2476</v>
      </c>
      <c r="H35" s="18">
        <f t="shared" si="1"/>
        <v>0.4866720516962843</v>
      </c>
    </row>
    <row r="36" spans="1:9" x14ac:dyDescent="0.25">
      <c r="A36">
        <f t="shared" si="14"/>
        <v>1996</v>
      </c>
      <c r="B36" s="25">
        <v>35125</v>
      </c>
      <c r="C36" s="26">
        <v>901</v>
      </c>
      <c r="D36" s="26">
        <f t="shared" si="15"/>
        <v>813</v>
      </c>
      <c r="E36" s="27">
        <v>1714</v>
      </c>
      <c r="F36" s="557">
        <f t="shared" si="0"/>
        <v>0.52567094515752621</v>
      </c>
      <c r="G36" s="553">
        <v>1837</v>
      </c>
      <c r="H36" s="29">
        <f t="shared" si="1"/>
        <v>0.49047359825802939</v>
      </c>
    </row>
    <row r="37" spans="1:9" x14ac:dyDescent="0.25">
      <c r="A37">
        <f t="shared" si="14"/>
        <v>1996</v>
      </c>
      <c r="B37" s="25">
        <v>35217</v>
      </c>
      <c r="C37" s="15">
        <v>1079</v>
      </c>
      <c r="D37" s="15">
        <f t="shared" si="15"/>
        <v>1191</v>
      </c>
      <c r="E37" s="16">
        <v>2270</v>
      </c>
      <c r="F37" s="558">
        <f t="shared" si="0"/>
        <v>0.47533039647577091</v>
      </c>
      <c r="G37" s="552">
        <v>2311</v>
      </c>
      <c r="H37" s="18">
        <f t="shared" si="1"/>
        <v>0.46689744699264385</v>
      </c>
    </row>
    <row r="38" spans="1:9" x14ac:dyDescent="0.25">
      <c r="A38">
        <f t="shared" si="14"/>
        <v>1996</v>
      </c>
      <c r="B38" s="25">
        <v>35309</v>
      </c>
      <c r="C38" s="26">
        <v>815</v>
      </c>
      <c r="D38" s="26">
        <f t="shared" si="15"/>
        <v>1194</v>
      </c>
      <c r="E38" s="27">
        <v>2009</v>
      </c>
      <c r="F38" s="557">
        <f t="shared" si="0"/>
        <v>0.40567446490791437</v>
      </c>
      <c r="G38" s="553">
        <v>1690</v>
      </c>
      <c r="H38" s="29">
        <f t="shared" si="1"/>
        <v>0.48224852071005919</v>
      </c>
    </row>
    <row r="39" spans="1:9" x14ac:dyDescent="0.25">
      <c r="A39">
        <f t="shared" si="14"/>
        <v>1996</v>
      </c>
      <c r="B39" s="25">
        <v>35400</v>
      </c>
      <c r="C39" s="15">
        <v>983</v>
      </c>
      <c r="D39" s="15">
        <f t="shared" si="15"/>
        <v>1375</v>
      </c>
      <c r="E39" s="16">
        <v>2358</v>
      </c>
      <c r="F39" s="558">
        <f t="shared" si="0"/>
        <v>0.41687871077184052</v>
      </c>
      <c r="G39" s="552">
        <v>2001</v>
      </c>
      <c r="H39" s="18">
        <f t="shared" si="1"/>
        <v>0.49125437281359319</v>
      </c>
    </row>
    <row r="40" spans="1:9" ht="15.75" customHeight="1" x14ac:dyDescent="0.25">
      <c r="A40">
        <f t="shared" si="14"/>
        <v>1997</v>
      </c>
      <c r="B40" s="25">
        <v>35490</v>
      </c>
      <c r="C40" s="26">
        <v>995</v>
      </c>
      <c r="D40" s="26">
        <f t="shared" si="15"/>
        <v>1241</v>
      </c>
      <c r="E40" s="27">
        <v>2236</v>
      </c>
      <c r="F40" s="557">
        <f t="shared" si="0"/>
        <v>0.44499105545617174</v>
      </c>
      <c r="G40" s="553">
        <v>1650</v>
      </c>
      <c r="H40" s="29">
        <f t="shared" si="1"/>
        <v>0.60303030303030303</v>
      </c>
    </row>
    <row r="41" spans="1:9" x14ac:dyDescent="0.25">
      <c r="A41">
        <f t="shared" si="14"/>
        <v>1997</v>
      </c>
      <c r="B41" s="25">
        <v>35582</v>
      </c>
      <c r="C41" s="15">
        <v>1107</v>
      </c>
      <c r="D41" s="15">
        <f t="shared" si="15"/>
        <v>1276</v>
      </c>
      <c r="E41" s="16">
        <v>2383</v>
      </c>
      <c r="F41" s="558">
        <f t="shared" si="0"/>
        <v>0.46454049517415025</v>
      </c>
      <c r="G41" s="552">
        <v>1868</v>
      </c>
      <c r="H41" s="18">
        <f t="shared" si="1"/>
        <v>0.59261241970021417</v>
      </c>
    </row>
    <row r="42" spans="1:9" x14ac:dyDescent="0.25">
      <c r="A42">
        <f t="shared" si="14"/>
        <v>1997</v>
      </c>
      <c r="B42" s="25">
        <v>35674</v>
      </c>
      <c r="C42" s="26">
        <v>1145</v>
      </c>
      <c r="D42" s="26">
        <f t="shared" si="15"/>
        <v>1417</v>
      </c>
      <c r="E42" s="27">
        <v>2562</v>
      </c>
      <c r="F42" s="557">
        <f t="shared" si="0"/>
        <v>0.44691647150663544</v>
      </c>
      <c r="G42" s="553">
        <v>1944</v>
      </c>
      <c r="H42" s="29">
        <f t="shared" si="1"/>
        <v>0.58899176954732513</v>
      </c>
    </row>
    <row r="43" spans="1:9" x14ac:dyDescent="0.25">
      <c r="A43">
        <f t="shared" si="14"/>
        <v>1997</v>
      </c>
      <c r="B43" s="25">
        <v>35765</v>
      </c>
      <c r="C43" s="15">
        <v>1455</v>
      </c>
      <c r="D43" s="15">
        <f t="shared" si="15"/>
        <v>1655</v>
      </c>
      <c r="E43" s="16">
        <v>3110</v>
      </c>
      <c r="F43" s="558">
        <f t="shared" si="0"/>
        <v>0.46784565916398713</v>
      </c>
      <c r="G43" s="552">
        <v>2566</v>
      </c>
      <c r="H43" s="18">
        <f t="shared" si="1"/>
        <v>0.56703039750584572</v>
      </c>
    </row>
    <row r="44" spans="1:9" x14ac:dyDescent="0.25">
      <c r="A44">
        <f t="shared" si="14"/>
        <v>1998</v>
      </c>
      <c r="B44" s="25">
        <v>35855</v>
      </c>
      <c r="C44" s="26">
        <v>1439</v>
      </c>
      <c r="D44" s="26">
        <f t="shared" si="15"/>
        <v>1207</v>
      </c>
      <c r="E44" s="27">
        <v>2646</v>
      </c>
      <c r="F44" s="557">
        <f t="shared" si="0"/>
        <v>0.54383975812547236</v>
      </c>
      <c r="G44" s="553">
        <v>2359</v>
      </c>
      <c r="H44" s="29">
        <f t="shared" si="1"/>
        <v>0.61000423908435775</v>
      </c>
    </row>
    <row r="45" spans="1:9" x14ac:dyDescent="0.25">
      <c r="A45">
        <f t="shared" si="14"/>
        <v>1998</v>
      </c>
      <c r="B45" s="25">
        <v>35947</v>
      </c>
      <c r="C45" s="15">
        <v>1539</v>
      </c>
      <c r="D45" s="15">
        <f t="shared" si="15"/>
        <v>1503</v>
      </c>
      <c r="E45" s="16">
        <v>3042</v>
      </c>
      <c r="F45" s="558">
        <f t="shared" si="0"/>
        <v>0.50591715976331364</v>
      </c>
      <c r="G45" s="552">
        <v>2599</v>
      </c>
      <c r="H45" s="18">
        <f t="shared" si="1"/>
        <v>0.59215082724124668</v>
      </c>
    </row>
    <row r="46" spans="1:9" x14ac:dyDescent="0.25">
      <c r="A46">
        <f t="shared" si="14"/>
        <v>1998</v>
      </c>
      <c r="B46" s="25">
        <v>36039</v>
      </c>
      <c r="C46" s="26">
        <v>1132</v>
      </c>
      <c r="D46" s="26">
        <f t="shared" si="15"/>
        <v>1510</v>
      </c>
      <c r="E46" s="27">
        <v>2642</v>
      </c>
      <c r="F46" s="557">
        <f t="shared" si="0"/>
        <v>0.42846328538985617</v>
      </c>
      <c r="G46" s="553">
        <v>2458</v>
      </c>
      <c r="H46" s="29">
        <f t="shared" si="1"/>
        <v>0.46053702196908053</v>
      </c>
    </row>
    <row r="47" spans="1:9" ht="15" customHeight="1" x14ac:dyDescent="0.25">
      <c r="A47">
        <f t="shared" si="14"/>
        <v>1998</v>
      </c>
      <c r="B47" s="25">
        <v>36130</v>
      </c>
      <c r="C47" s="15">
        <v>736</v>
      </c>
      <c r="D47" s="15">
        <f t="shared" si="15"/>
        <v>1760</v>
      </c>
      <c r="E47" s="16">
        <v>2496</v>
      </c>
      <c r="F47" s="558">
        <f t="shared" si="0"/>
        <v>0.29487179487179488</v>
      </c>
      <c r="G47" s="552">
        <v>1844</v>
      </c>
      <c r="H47" s="18">
        <f t="shared" si="1"/>
        <v>0.39913232104121477</v>
      </c>
    </row>
    <row r="48" spans="1:9" x14ac:dyDescent="0.25">
      <c r="A48">
        <f t="shared" si="14"/>
        <v>1999</v>
      </c>
      <c r="B48" s="25">
        <v>36220</v>
      </c>
      <c r="C48" s="26">
        <v>818</v>
      </c>
      <c r="D48" s="26">
        <f t="shared" si="15"/>
        <v>1177</v>
      </c>
      <c r="E48" s="27">
        <v>1995</v>
      </c>
      <c r="F48" s="557">
        <f t="shared" si="0"/>
        <v>0.41002506265664163</v>
      </c>
      <c r="G48" s="553">
        <v>1816</v>
      </c>
      <c r="H48" s="29">
        <f t="shared" si="1"/>
        <v>0.45044052863436124</v>
      </c>
    </row>
    <row r="49" spans="1:8" x14ac:dyDescent="0.25">
      <c r="A49">
        <f t="shared" si="14"/>
        <v>1999</v>
      </c>
      <c r="B49" s="25">
        <v>36312</v>
      </c>
      <c r="C49" s="15">
        <v>681</v>
      </c>
      <c r="D49" s="15">
        <f t="shared" si="15"/>
        <v>1251</v>
      </c>
      <c r="E49" s="16">
        <v>1932</v>
      </c>
      <c r="F49" s="558">
        <f t="shared" si="0"/>
        <v>0.35248447204968947</v>
      </c>
      <c r="G49" s="552">
        <v>1677</v>
      </c>
      <c r="H49" s="18">
        <f t="shared" si="1"/>
        <v>0.40608228980322003</v>
      </c>
    </row>
    <row r="50" spans="1:8" x14ac:dyDescent="0.25">
      <c r="A50">
        <f t="shared" si="14"/>
        <v>1999</v>
      </c>
      <c r="B50" s="25">
        <v>36404</v>
      </c>
      <c r="C50" s="26">
        <v>683</v>
      </c>
      <c r="D50" s="26">
        <f t="shared" si="15"/>
        <v>1238</v>
      </c>
      <c r="E50" s="27">
        <v>1921</v>
      </c>
      <c r="F50" s="557">
        <f t="shared" si="0"/>
        <v>0.35554398750650701</v>
      </c>
      <c r="G50" s="553">
        <v>1675</v>
      </c>
      <c r="H50" s="29">
        <f t="shared" si="1"/>
        <v>0.40776119402985073</v>
      </c>
    </row>
    <row r="51" spans="1:8" x14ac:dyDescent="0.25">
      <c r="A51">
        <f t="shared" si="14"/>
        <v>1999</v>
      </c>
      <c r="B51" s="25">
        <v>36495</v>
      </c>
      <c r="C51" s="15">
        <v>488</v>
      </c>
      <c r="D51" s="15">
        <f t="shared" si="15"/>
        <v>861</v>
      </c>
      <c r="E51" s="16">
        <v>1349</v>
      </c>
      <c r="F51" s="558">
        <f t="shared" si="0"/>
        <v>0.36174944403261677</v>
      </c>
      <c r="G51" s="552">
        <v>1564</v>
      </c>
      <c r="H51" s="18">
        <f t="shared" si="1"/>
        <v>0.31202046035805625</v>
      </c>
    </row>
    <row r="52" spans="1:8" x14ac:dyDescent="0.25">
      <c r="A52">
        <f t="shared" si="14"/>
        <v>2000</v>
      </c>
      <c r="B52" s="25">
        <v>36586</v>
      </c>
      <c r="C52" s="26">
        <v>356</v>
      </c>
      <c r="D52" s="26">
        <f t="shared" si="15"/>
        <v>699</v>
      </c>
      <c r="E52" s="27">
        <v>1055</v>
      </c>
      <c r="F52" s="557">
        <f t="shared" si="0"/>
        <v>0.33744075829383885</v>
      </c>
      <c r="G52" s="553">
        <v>1276</v>
      </c>
      <c r="H52" s="29">
        <f t="shared" si="1"/>
        <v>0.27899686520376177</v>
      </c>
    </row>
    <row r="53" spans="1:8" x14ac:dyDescent="0.25">
      <c r="A53">
        <f t="shared" si="14"/>
        <v>2000</v>
      </c>
      <c r="B53" s="25">
        <v>36678</v>
      </c>
      <c r="C53" s="15">
        <v>641</v>
      </c>
      <c r="D53" s="15">
        <f t="shared" si="15"/>
        <v>706</v>
      </c>
      <c r="E53" s="16">
        <v>1347</v>
      </c>
      <c r="F53" s="558">
        <f t="shared" si="0"/>
        <v>0.47587230883444692</v>
      </c>
      <c r="G53" s="552">
        <v>1648</v>
      </c>
      <c r="H53" s="18">
        <f t="shared" si="1"/>
        <v>0.38895631067961167</v>
      </c>
    </row>
    <row r="54" spans="1:8" x14ac:dyDescent="0.25">
      <c r="A54">
        <f t="shared" si="14"/>
        <v>2000</v>
      </c>
      <c r="B54" s="25">
        <v>36770</v>
      </c>
      <c r="C54" s="26">
        <v>405</v>
      </c>
      <c r="D54" s="26">
        <f t="shared" si="15"/>
        <v>715</v>
      </c>
      <c r="E54" s="27">
        <v>1120</v>
      </c>
      <c r="F54" s="557">
        <f t="shared" si="0"/>
        <v>0.36160714285714285</v>
      </c>
      <c r="G54" s="553">
        <v>1081</v>
      </c>
      <c r="H54" s="29">
        <f t="shared" si="1"/>
        <v>0.37465309898242366</v>
      </c>
    </row>
    <row r="55" spans="1:8" x14ac:dyDescent="0.25">
      <c r="A55">
        <f t="shared" si="14"/>
        <v>2000</v>
      </c>
      <c r="B55" s="25">
        <v>36861</v>
      </c>
      <c r="C55" s="15">
        <v>472</v>
      </c>
      <c r="D55" s="15">
        <f t="shared" si="15"/>
        <v>925</v>
      </c>
      <c r="E55" s="16">
        <v>1397</v>
      </c>
      <c r="F55" s="558">
        <f t="shared" si="0"/>
        <v>0.33786685755189694</v>
      </c>
      <c r="G55" s="552">
        <v>1591</v>
      </c>
      <c r="H55" s="18">
        <f t="shared" si="1"/>
        <v>0.29666876178504087</v>
      </c>
    </row>
    <row r="56" spans="1:8" x14ac:dyDescent="0.25">
      <c r="A56">
        <f t="shared" si="14"/>
        <v>2001</v>
      </c>
      <c r="B56" s="25">
        <v>36951</v>
      </c>
      <c r="C56" s="26">
        <v>690</v>
      </c>
      <c r="D56" s="26">
        <f t="shared" si="15"/>
        <v>757</v>
      </c>
      <c r="E56" s="27">
        <v>1447</v>
      </c>
      <c r="F56" s="557">
        <f t="shared" si="0"/>
        <v>0.47684865238424329</v>
      </c>
      <c r="G56" s="553">
        <v>1672</v>
      </c>
      <c r="H56" s="29">
        <f t="shared" si="1"/>
        <v>0.41267942583732059</v>
      </c>
    </row>
    <row r="57" spans="1:8" x14ac:dyDescent="0.25">
      <c r="A57">
        <f t="shared" si="14"/>
        <v>2001</v>
      </c>
      <c r="B57" s="25">
        <v>37043</v>
      </c>
      <c r="C57" s="15">
        <v>778</v>
      </c>
      <c r="D57" s="15">
        <f t="shared" si="15"/>
        <v>987</v>
      </c>
      <c r="E57" s="16">
        <v>1765</v>
      </c>
      <c r="F57" s="558">
        <f t="shared" si="0"/>
        <v>0.44079320113314446</v>
      </c>
      <c r="G57" s="552">
        <v>1640</v>
      </c>
      <c r="H57" s="18">
        <f t="shared" si="1"/>
        <v>0.474390243902439</v>
      </c>
    </row>
    <row r="58" spans="1:8" x14ac:dyDescent="0.25">
      <c r="A58">
        <f t="shared" si="14"/>
        <v>2001</v>
      </c>
      <c r="B58" s="25">
        <v>37135</v>
      </c>
      <c r="C58" s="26">
        <v>805</v>
      </c>
      <c r="D58" s="26">
        <f t="shared" si="15"/>
        <v>1010</v>
      </c>
      <c r="E58" s="27">
        <v>1815</v>
      </c>
      <c r="F58" s="557">
        <f t="shared" si="0"/>
        <v>0.44352617079889806</v>
      </c>
      <c r="G58" s="553">
        <v>1676</v>
      </c>
      <c r="H58" s="29">
        <f t="shared" si="1"/>
        <v>0.48031026252983294</v>
      </c>
    </row>
    <row r="59" spans="1:8" x14ac:dyDescent="0.25">
      <c r="A59">
        <f t="shared" si="14"/>
        <v>2001</v>
      </c>
      <c r="B59" s="25">
        <v>37226</v>
      </c>
      <c r="C59" s="15">
        <v>749</v>
      </c>
      <c r="D59" s="15">
        <f t="shared" si="15"/>
        <v>1234</v>
      </c>
      <c r="E59" s="16">
        <v>1983</v>
      </c>
      <c r="F59" s="558">
        <f t="shared" si="0"/>
        <v>0.37771053958648515</v>
      </c>
      <c r="G59" s="552">
        <v>1727</v>
      </c>
      <c r="H59" s="18">
        <f t="shared" si="1"/>
        <v>0.43370005790387955</v>
      </c>
    </row>
    <row r="60" spans="1:8" x14ac:dyDescent="0.25">
      <c r="A60">
        <f t="shared" si="14"/>
        <v>2002</v>
      </c>
      <c r="B60" s="25">
        <v>37316</v>
      </c>
      <c r="C60" s="26">
        <v>532</v>
      </c>
      <c r="D60" s="26">
        <f t="shared" si="15"/>
        <v>1165</v>
      </c>
      <c r="E60" s="27">
        <v>1697</v>
      </c>
      <c r="F60" s="557">
        <f t="shared" si="0"/>
        <v>0.31349440188568062</v>
      </c>
      <c r="G60" s="553">
        <v>1450</v>
      </c>
      <c r="H60" s="29">
        <f t="shared" si="1"/>
        <v>0.36689655172413793</v>
      </c>
    </row>
    <row r="61" spans="1:8" x14ac:dyDescent="0.25">
      <c r="A61">
        <f t="shared" si="14"/>
        <v>2002</v>
      </c>
      <c r="B61" s="25">
        <v>37408</v>
      </c>
      <c r="C61" s="15">
        <v>731</v>
      </c>
      <c r="D61" s="15">
        <f t="shared" si="15"/>
        <v>1370</v>
      </c>
      <c r="E61" s="16">
        <v>2101</v>
      </c>
      <c r="F61" s="558">
        <f t="shared" si="0"/>
        <v>0.34792955735364112</v>
      </c>
      <c r="G61" s="552">
        <v>1849</v>
      </c>
      <c r="H61" s="18">
        <f t="shared" si="1"/>
        <v>0.39534883720930231</v>
      </c>
    </row>
    <row r="62" spans="1:8" x14ac:dyDescent="0.25">
      <c r="A62">
        <f t="shared" si="14"/>
        <v>2002</v>
      </c>
      <c r="B62" s="25">
        <v>37500</v>
      </c>
      <c r="C62" s="26">
        <v>707</v>
      </c>
      <c r="D62" s="26">
        <f t="shared" si="15"/>
        <v>1368</v>
      </c>
      <c r="E62" s="27">
        <v>2075</v>
      </c>
      <c r="F62" s="557">
        <f t="shared" si="0"/>
        <v>0.34072289156626506</v>
      </c>
      <c r="G62" s="553">
        <v>1673</v>
      </c>
      <c r="H62" s="29">
        <f t="shared" si="1"/>
        <v>0.42259414225941422</v>
      </c>
    </row>
    <row r="63" spans="1:8" x14ac:dyDescent="0.25">
      <c r="A63">
        <f t="shared" si="14"/>
        <v>2002</v>
      </c>
      <c r="B63" s="25">
        <v>37591</v>
      </c>
      <c r="C63" s="15">
        <v>882</v>
      </c>
      <c r="D63" s="15">
        <f t="shared" si="15"/>
        <v>1632</v>
      </c>
      <c r="E63" s="16">
        <v>2514</v>
      </c>
      <c r="F63" s="558">
        <f t="shared" si="0"/>
        <v>0.35083532219570407</v>
      </c>
      <c r="G63" s="552">
        <v>2071</v>
      </c>
      <c r="H63" s="18">
        <f t="shared" si="1"/>
        <v>0.42588121680347657</v>
      </c>
    </row>
    <row r="64" spans="1:8" x14ac:dyDescent="0.25">
      <c r="A64">
        <f t="shared" si="14"/>
        <v>2003</v>
      </c>
      <c r="B64" s="25">
        <v>37681</v>
      </c>
      <c r="C64" s="26">
        <v>928</v>
      </c>
      <c r="D64" s="26">
        <f t="shared" si="15"/>
        <v>1131</v>
      </c>
      <c r="E64" s="27">
        <v>2059</v>
      </c>
      <c r="F64" s="557">
        <f t="shared" si="0"/>
        <v>0.45070422535211269</v>
      </c>
      <c r="G64" s="553">
        <v>1918</v>
      </c>
      <c r="H64" s="29">
        <f t="shared" si="1"/>
        <v>0.48383733055265904</v>
      </c>
    </row>
    <row r="65" spans="1:8" x14ac:dyDescent="0.25">
      <c r="A65">
        <f t="shared" si="14"/>
        <v>2003</v>
      </c>
      <c r="B65" s="25">
        <v>37773</v>
      </c>
      <c r="C65" s="15">
        <v>1093</v>
      </c>
      <c r="D65" s="15">
        <f t="shared" si="15"/>
        <v>1474</v>
      </c>
      <c r="E65" s="16">
        <v>2567</v>
      </c>
      <c r="F65" s="558">
        <f t="shared" si="0"/>
        <v>0.42578885858979354</v>
      </c>
      <c r="G65" s="552">
        <v>2320</v>
      </c>
      <c r="H65" s="18">
        <f t="shared" si="1"/>
        <v>0.4711206896551724</v>
      </c>
    </row>
    <row r="66" spans="1:8" x14ac:dyDescent="0.25">
      <c r="A66">
        <f t="shared" si="14"/>
        <v>2003</v>
      </c>
      <c r="B66" s="25">
        <v>37865</v>
      </c>
      <c r="C66" s="26">
        <v>1295</v>
      </c>
      <c r="D66" s="26">
        <f t="shared" si="15"/>
        <v>1169</v>
      </c>
      <c r="E66" s="27">
        <v>2464</v>
      </c>
      <c r="F66" s="557">
        <f t="shared" si="0"/>
        <v>0.52556818181818177</v>
      </c>
      <c r="G66" s="553">
        <v>2484</v>
      </c>
      <c r="H66" s="29">
        <f t="shared" si="1"/>
        <v>0.52133655394524958</v>
      </c>
    </row>
    <row r="67" spans="1:8" x14ac:dyDescent="0.25">
      <c r="A67">
        <f t="shared" si="14"/>
        <v>2003</v>
      </c>
      <c r="B67" s="25">
        <v>37956</v>
      </c>
      <c r="C67" s="15">
        <v>1364</v>
      </c>
      <c r="D67" s="15">
        <f t="shared" si="15"/>
        <v>1502</v>
      </c>
      <c r="E67" s="16">
        <v>2866</v>
      </c>
      <c r="F67" s="558">
        <f t="shared" si="0"/>
        <v>0.47592463363572923</v>
      </c>
      <c r="G67" s="552">
        <v>2875</v>
      </c>
      <c r="H67" s="18">
        <f t="shared" si="1"/>
        <v>0.47443478260869565</v>
      </c>
    </row>
    <row r="68" spans="1:8" x14ac:dyDescent="0.25">
      <c r="A68">
        <f t="shared" si="14"/>
        <v>2004</v>
      </c>
      <c r="B68" s="25">
        <v>38047</v>
      </c>
      <c r="C68" s="26">
        <v>992</v>
      </c>
      <c r="D68" s="26">
        <f t="shared" si="15"/>
        <v>1106</v>
      </c>
      <c r="E68" s="27">
        <v>2098</v>
      </c>
      <c r="F68" s="557">
        <f t="shared" si="0"/>
        <v>0.47283126787416585</v>
      </c>
      <c r="G68" s="553">
        <v>2113</v>
      </c>
      <c r="H68" s="29">
        <f t="shared" si="1"/>
        <v>0.4694746805489825</v>
      </c>
    </row>
    <row r="69" spans="1:8" x14ac:dyDescent="0.25">
      <c r="A69">
        <f t="shared" si="14"/>
        <v>2004</v>
      </c>
      <c r="B69" s="25">
        <v>38139</v>
      </c>
      <c r="C69" s="15">
        <v>1170</v>
      </c>
      <c r="D69" s="15">
        <f t="shared" si="15"/>
        <v>1197</v>
      </c>
      <c r="E69" s="16">
        <v>2367</v>
      </c>
      <c r="F69" s="558">
        <f t="shared" si="0"/>
        <v>0.49429657794676807</v>
      </c>
      <c r="G69" s="552">
        <v>2573</v>
      </c>
      <c r="H69" s="18">
        <f t="shared" si="1"/>
        <v>0.45472211426350562</v>
      </c>
    </row>
    <row r="70" spans="1:8" x14ac:dyDescent="0.25">
      <c r="A70">
        <f t="shared" si="14"/>
        <v>2004</v>
      </c>
      <c r="B70" s="25">
        <v>38231</v>
      </c>
      <c r="C70" s="26">
        <v>1282</v>
      </c>
      <c r="D70" s="26">
        <f t="shared" si="15"/>
        <v>1231</v>
      </c>
      <c r="E70" s="27">
        <v>2513</v>
      </c>
      <c r="F70" s="557">
        <f t="shared" si="0"/>
        <v>0.51014723438121767</v>
      </c>
      <c r="G70" s="553">
        <v>2570</v>
      </c>
      <c r="H70" s="29">
        <f t="shared" si="1"/>
        <v>0.49883268482490273</v>
      </c>
    </row>
    <row r="71" spans="1:8" x14ac:dyDescent="0.25">
      <c r="A71">
        <f t="shared" si="14"/>
        <v>2004</v>
      </c>
      <c r="B71" s="25">
        <v>38322</v>
      </c>
      <c r="C71" s="15">
        <v>1380</v>
      </c>
      <c r="D71" s="15">
        <f t="shared" si="15"/>
        <v>1375</v>
      </c>
      <c r="E71" s="16">
        <v>2755</v>
      </c>
      <c r="F71" s="558">
        <f t="shared" si="0"/>
        <v>0.50090744101633389</v>
      </c>
      <c r="G71" s="552">
        <v>3043</v>
      </c>
      <c r="H71" s="18">
        <f t="shared" si="1"/>
        <v>0.4534998356884653</v>
      </c>
    </row>
    <row r="72" spans="1:8" x14ac:dyDescent="0.25">
      <c r="A72">
        <f t="shared" si="14"/>
        <v>2005</v>
      </c>
      <c r="B72" s="25">
        <v>38412</v>
      </c>
      <c r="C72" s="26">
        <v>1174</v>
      </c>
      <c r="D72" s="26">
        <f t="shared" si="15"/>
        <v>1188</v>
      </c>
      <c r="E72" s="27">
        <v>2362</v>
      </c>
      <c r="F72" s="557">
        <f t="shared" si="0"/>
        <v>0.49703640982218461</v>
      </c>
      <c r="G72" s="553">
        <v>2681</v>
      </c>
      <c r="H72" s="29">
        <f t="shared" si="1"/>
        <v>0.4378963073480045</v>
      </c>
    </row>
    <row r="73" spans="1:8" x14ac:dyDescent="0.25">
      <c r="A73">
        <f t="shared" si="14"/>
        <v>2005</v>
      </c>
      <c r="B73" s="25">
        <v>38504</v>
      </c>
      <c r="C73" s="15">
        <v>1469</v>
      </c>
      <c r="D73" s="15">
        <f t="shared" si="15"/>
        <v>1744</v>
      </c>
      <c r="E73" s="16">
        <v>3213</v>
      </c>
      <c r="F73" s="558">
        <f t="shared" ref="F73:F136" si="18">C73/E73</f>
        <v>0.4572051042639278</v>
      </c>
      <c r="G73" s="552">
        <v>2949</v>
      </c>
      <c r="H73" s="18">
        <f t="shared" ref="H73:H136" si="19">IFERROR(C73/G73,"n/a")</f>
        <v>0.49813496100373006</v>
      </c>
    </row>
    <row r="74" spans="1:8" x14ac:dyDescent="0.25">
      <c r="A74">
        <f t="shared" ref="A74:A138" si="20">YEAR(B74)</f>
        <v>2005</v>
      </c>
      <c r="B74" s="25">
        <v>38596</v>
      </c>
      <c r="C74" s="26">
        <v>1865</v>
      </c>
      <c r="D74" s="26">
        <f t="shared" ref="D74:D137" si="21">E74-C74</f>
        <v>1837</v>
      </c>
      <c r="E74" s="27">
        <v>3702</v>
      </c>
      <c r="F74" s="557">
        <f t="shared" si="18"/>
        <v>0.50378173960021611</v>
      </c>
      <c r="G74" s="553">
        <v>3636</v>
      </c>
      <c r="H74" s="29">
        <f t="shared" si="19"/>
        <v>0.51292629262926293</v>
      </c>
    </row>
    <row r="75" spans="1:8" x14ac:dyDescent="0.25">
      <c r="A75">
        <f t="shared" si="20"/>
        <v>2005</v>
      </c>
      <c r="B75" s="25">
        <v>38687</v>
      </c>
      <c r="C75" s="15">
        <v>2573</v>
      </c>
      <c r="D75" s="15">
        <f t="shared" si="21"/>
        <v>2393</v>
      </c>
      <c r="E75" s="16">
        <v>4966</v>
      </c>
      <c r="F75" s="558">
        <f t="shared" si="18"/>
        <v>0.518123238018526</v>
      </c>
      <c r="G75" s="552">
        <v>4480</v>
      </c>
      <c r="H75" s="18">
        <f t="shared" si="19"/>
        <v>0.57433035714285718</v>
      </c>
    </row>
    <row r="76" spans="1:8" x14ac:dyDescent="0.25">
      <c r="A76">
        <f t="shared" si="20"/>
        <v>2006</v>
      </c>
      <c r="B76" s="25">
        <v>38777</v>
      </c>
      <c r="C76" s="26">
        <v>2601</v>
      </c>
      <c r="D76" s="26">
        <f t="shared" si="21"/>
        <v>2277</v>
      </c>
      <c r="E76" s="27">
        <v>4878</v>
      </c>
      <c r="F76" s="557">
        <f t="shared" si="18"/>
        <v>0.53321033210332103</v>
      </c>
      <c r="G76" s="553">
        <v>4308</v>
      </c>
      <c r="H76" s="29">
        <f t="shared" si="19"/>
        <v>0.60376044568245124</v>
      </c>
    </row>
    <row r="77" spans="1:8" x14ac:dyDescent="0.25">
      <c r="A77">
        <f t="shared" si="20"/>
        <v>2006</v>
      </c>
      <c r="B77" s="25">
        <v>38869</v>
      </c>
      <c r="C77" s="15">
        <v>3699</v>
      </c>
      <c r="D77" s="15">
        <f t="shared" si="21"/>
        <v>2414</v>
      </c>
      <c r="E77" s="16">
        <v>6113</v>
      </c>
      <c r="F77" s="558">
        <f t="shared" si="18"/>
        <v>0.60510387698347778</v>
      </c>
      <c r="G77" s="552">
        <v>5747</v>
      </c>
      <c r="H77" s="18">
        <f t="shared" si="19"/>
        <v>0.64364016008352187</v>
      </c>
    </row>
    <row r="78" spans="1:8" x14ac:dyDescent="0.25">
      <c r="A78">
        <f t="shared" si="20"/>
        <v>2006</v>
      </c>
      <c r="B78" s="25">
        <v>38961</v>
      </c>
      <c r="C78" s="26">
        <v>2876</v>
      </c>
      <c r="D78" s="26">
        <f t="shared" si="21"/>
        <v>2070</v>
      </c>
      <c r="E78" s="27">
        <v>4946</v>
      </c>
      <c r="F78" s="557">
        <f t="shared" si="18"/>
        <v>0.58147998382531341</v>
      </c>
      <c r="G78" s="553">
        <v>4567</v>
      </c>
      <c r="H78" s="29">
        <f t="shared" si="19"/>
        <v>0.62973505583534051</v>
      </c>
    </row>
    <row r="79" spans="1:8" x14ac:dyDescent="0.25">
      <c r="A79">
        <f t="shared" si="20"/>
        <v>2006</v>
      </c>
      <c r="B79" s="25">
        <v>39052</v>
      </c>
      <c r="C79" s="15">
        <v>3675</v>
      </c>
      <c r="D79" s="15">
        <f t="shared" si="21"/>
        <v>2564</v>
      </c>
      <c r="E79" s="16">
        <v>6239</v>
      </c>
      <c r="F79" s="558">
        <f t="shared" si="18"/>
        <v>0.58903670460009616</v>
      </c>
      <c r="G79" s="552">
        <v>5618</v>
      </c>
      <c r="H79" s="18">
        <f t="shared" si="19"/>
        <v>0.65414738341046641</v>
      </c>
    </row>
    <row r="80" spans="1:8" x14ac:dyDescent="0.25">
      <c r="A80">
        <f t="shared" si="20"/>
        <v>2007</v>
      </c>
      <c r="B80" s="25">
        <v>39142</v>
      </c>
      <c r="C80" s="26">
        <v>3307</v>
      </c>
      <c r="D80" s="26">
        <f t="shared" si="21"/>
        <v>2184</v>
      </c>
      <c r="E80" s="27">
        <v>5491</v>
      </c>
      <c r="F80" s="557">
        <f t="shared" si="18"/>
        <v>0.60225824075760337</v>
      </c>
      <c r="G80" s="553">
        <v>5301</v>
      </c>
      <c r="H80" s="29">
        <f t="shared" si="19"/>
        <v>0.62384455763063573</v>
      </c>
    </row>
    <row r="81" spans="1:8" x14ac:dyDescent="0.25">
      <c r="A81">
        <f t="shared" si="20"/>
        <v>2007</v>
      </c>
      <c r="B81" s="25">
        <v>39234</v>
      </c>
      <c r="C81" s="15">
        <v>3982</v>
      </c>
      <c r="D81" s="15">
        <f t="shared" si="21"/>
        <v>2963</v>
      </c>
      <c r="E81" s="16">
        <v>6945</v>
      </c>
      <c r="F81" s="558">
        <f t="shared" si="18"/>
        <v>0.57336213102951761</v>
      </c>
      <c r="G81" s="552">
        <v>6613</v>
      </c>
      <c r="H81" s="18">
        <f t="shared" si="19"/>
        <v>0.60214728564947828</v>
      </c>
    </row>
    <row r="82" spans="1:8" x14ac:dyDescent="0.25">
      <c r="A82">
        <f t="shared" si="20"/>
        <v>2007</v>
      </c>
      <c r="B82" s="25">
        <v>39326</v>
      </c>
      <c r="C82" s="26">
        <v>3666</v>
      </c>
      <c r="D82" s="26">
        <f t="shared" si="21"/>
        <v>2500</v>
      </c>
      <c r="E82" s="27">
        <v>6166</v>
      </c>
      <c r="F82" s="557">
        <f t="shared" si="18"/>
        <v>0.59455076224456693</v>
      </c>
      <c r="G82" s="553">
        <v>5661</v>
      </c>
      <c r="H82" s="29">
        <f t="shared" si="19"/>
        <v>0.64758876523582409</v>
      </c>
    </row>
    <row r="83" spans="1:8" x14ac:dyDescent="0.25">
      <c r="A83">
        <f t="shared" si="20"/>
        <v>2007</v>
      </c>
      <c r="B83" s="25">
        <v>39417</v>
      </c>
      <c r="C83" s="15">
        <v>4319</v>
      </c>
      <c r="D83" s="15">
        <f t="shared" si="21"/>
        <v>3215</v>
      </c>
      <c r="E83" s="16">
        <v>7534</v>
      </c>
      <c r="F83" s="558">
        <f t="shared" si="18"/>
        <v>0.57326785240244227</v>
      </c>
      <c r="G83" s="552">
        <v>6798</v>
      </c>
      <c r="H83" s="18">
        <f t="shared" si="19"/>
        <v>0.63533392174168868</v>
      </c>
    </row>
    <row r="84" spans="1:8" x14ac:dyDescent="0.25">
      <c r="A84">
        <f t="shared" si="20"/>
        <v>2008</v>
      </c>
      <c r="B84" s="25">
        <v>39508</v>
      </c>
      <c r="C84" s="26">
        <v>4318</v>
      </c>
      <c r="D84" s="26">
        <f t="shared" si="21"/>
        <v>2404</v>
      </c>
      <c r="E84" s="27">
        <v>6722</v>
      </c>
      <c r="F84" s="557">
        <f t="shared" si="18"/>
        <v>0.64236834275513244</v>
      </c>
      <c r="G84" s="553">
        <v>6178</v>
      </c>
      <c r="H84" s="29">
        <f t="shared" si="19"/>
        <v>0.6989316931045646</v>
      </c>
    </row>
    <row r="85" spans="1:8" x14ac:dyDescent="0.25">
      <c r="A85">
        <f t="shared" si="20"/>
        <v>2008</v>
      </c>
      <c r="B85" s="25">
        <v>39600</v>
      </c>
      <c r="C85" s="15">
        <v>5047</v>
      </c>
      <c r="D85" s="15">
        <f t="shared" si="21"/>
        <v>3732</v>
      </c>
      <c r="E85" s="16">
        <v>8779</v>
      </c>
      <c r="F85" s="558">
        <f t="shared" si="18"/>
        <v>0.57489463492425108</v>
      </c>
      <c r="G85" s="552">
        <v>7343</v>
      </c>
      <c r="H85" s="18">
        <f t="shared" si="19"/>
        <v>0.68732125834127744</v>
      </c>
    </row>
    <row r="86" spans="1:8" x14ac:dyDescent="0.25">
      <c r="A86">
        <f t="shared" si="20"/>
        <v>2008</v>
      </c>
      <c r="B86" s="25">
        <v>39692</v>
      </c>
      <c r="C86" s="26">
        <v>5463</v>
      </c>
      <c r="D86" s="26">
        <f t="shared" si="21"/>
        <v>3109</v>
      </c>
      <c r="E86" s="27">
        <v>8572</v>
      </c>
      <c r="F86" s="557">
        <f t="shared" si="18"/>
        <v>0.63730751283247788</v>
      </c>
      <c r="G86" s="553">
        <v>7629</v>
      </c>
      <c r="H86" s="29">
        <f t="shared" si="19"/>
        <v>0.71608336610302792</v>
      </c>
    </row>
    <row r="87" spans="1:8" x14ac:dyDescent="0.25">
      <c r="A87">
        <f t="shared" si="20"/>
        <v>2008</v>
      </c>
      <c r="B87" s="25">
        <v>39783</v>
      </c>
      <c r="C87" s="15">
        <v>6710</v>
      </c>
      <c r="D87" s="15">
        <f t="shared" si="21"/>
        <v>4332</v>
      </c>
      <c r="E87" s="16">
        <v>11042</v>
      </c>
      <c r="F87" s="558">
        <f t="shared" si="18"/>
        <v>0.60767976815794245</v>
      </c>
      <c r="G87" s="552">
        <v>9494</v>
      </c>
      <c r="H87" s="18">
        <f t="shared" si="19"/>
        <v>0.70676216557825999</v>
      </c>
    </row>
    <row r="88" spans="1:8" x14ac:dyDescent="0.25">
      <c r="A88">
        <f t="shared" si="20"/>
        <v>2009</v>
      </c>
      <c r="B88" s="25">
        <v>39873</v>
      </c>
      <c r="C88" s="26">
        <v>5354</v>
      </c>
      <c r="D88" s="26">
        <f t="shared" si="21"/>
        <v>3736</v>
      </c>
      <c r="E88" s="27">
        <v>9090</v>
      </c>
      <c r="F88" s="557">
        <f t="shared" si="18"/>
        <v>0.58899889988998899</v>
      </c>
      <c r="G88" s="553">
        <v>7379</v>
      </c>
      <c r="H88" s="29">
        <f t="shared" si="19"/>
        <v>0.72557257080905269</v>
      </c>
    </row>
    <row r="89" spans="1:8" x14ac:dyDescent="0.25">
      <c r="A89">
        <f t="shared" si="20"/>
        <v>2009</v>
      </c>
      <c r="B89" s="25">
        <v>39965</v>
      </c>
      <c r="C89" s="15">
        <v>5879</v>
      </c>
      <c r="D89" s="15">
        <f t="shared" si="21"/>
        <v>3394</v>
      </c>
      <c r="E89" s="16">
        <v>9273</v>
      </c>
      <c r="F89" s="558">
        <f t="shared" si="18"/>
        <v>0.63399115712282972</v>
      </c>
      <c r="G89" s="552">
        <v>9564</v>
      </c>
      <c r="H89" s="18">
        <f t="shared" si="19"/>
        <v>0.61470096194061064</v>
      </c>
    </row>
    <row r="90" spans="1:8" x14ac:dyDescent="0.25">
      <c r="A90">
        <f t="shared" si="20"/>
        <v>2009</v>
      </c>
      <c r="B90" s="25">
        <v>40057</v>
      </c>
      <c r="C90" s="26">
        <v>5100</v>
      </c>
      <c r="D90" s="26">
        <f t="shared" si="21"/>
        <v>2861</v>
      </c>
      <c r="E90" s="27">
        <v>7961</v>
      </c>
      <c r="F90" s="557">
        <f t="shared" si="18"/>
        <v>0.64062303730687098</v>
      </c>
      <c r="G90" s="553">
        <v>7254</v>
      </c>
      <c r="H90" s="29">
        <f t="shared" si="19"/>
        <v>0.70306038047973529</v>
      </c>
    </row>
    <row r="91" spans="1:8" x14ac:dyDescent="0.25">
      <c r="A91">
        <f t="shared" si="20"/>
        <v>2009</v>
      </c>
      <c r="B91" s="25">
        <v>40148</v>
      </c>
      <c r="C91" s="15">
        <v>5385</v>
      </c>
      <c r="D91" s="15">
        <f t="shared" si="21"/>
        <v>3941</v>
      </c>
      <c r="E91" s="16">
        <v>9326</v>
      </c>
      <c r="F91" s="558">
        <f t="shared" si="18"/>
        <v>0.57741797126313532</v>
      </c>
      <c r="G91" s="552">
        <v>8191</v>
      </c>
      <c r="H91" s="18">
        <f t="shared" si="19"/>
        <v>0.65742888536198263</v>
      </c>
    </row>
    <row r="92" spans="1:8" x14ac:dyDescent="0.25">
      <c r="A92">
        <f t="shared" si="20"/>
        <v>2010</v>
      </c>
      <c r="B92" s="25">
        <v>40238</v>
      </c>
      <c r="C92" s="26">
        <v>5335</v>
      </c>
      <c r="D92" s="26">
        <f t="shared" si="21"/>
        <v>2753</v>
      </c>
      <c r="E92" s="27">
        <v>8088</v>
      </c>
      <c r="F92" s="557">
        <f t="shared" si="18"/>
        <v>0.65961918892185956</v>
      </c>
      <c r="G92" s="553">
        <v>7368</v>
      </c>
      <c r="H92" s="29">
        <f t="shared" si="19"/>
        <v>0.72407709011943544</v>
      </c>
    </row>
    <row r="93" spans="1:8" x14ac:dyDescent="0.25">
      <c r="A93">
        <f t="shared" si="20"/>
        <v>2010</v>
      </c>
      <c r="B93" s="25">
        <v>40330</v>
      </c>
      <c r="C93" s="15">
        <v>6108</v>
      </c>
      <c r="D93" s="15">
        <f t="shared" si="21"/>
        <v>3702</v>
      </c>
      <c r="E93" s="16">
        <v>9810</v>
      </c>
      <c r="F93" s="558">
        <f t="shared" si="18"/>
        <v>0.62262996941896021</v>
      </c>
      <c r="G93" s="552">
        <v>8594</v>
      </c>
      <c r="H93" s="18">
        <f t="shared" si="19"/>
        <v>0.71072841517337682</v>
      </c>
    </row>
    <row r="94" spans="1:8" x14ac:dyDescent="0.25">
      <c r="A94">
        <f t="shared" si="20"/>
        <v>2010</v>
      </c>
      <c r="B94" s="25">
        <v>40422</v>
      </c>
      <c r="C94" s="26">
        <v>6452</v>
      </c>
      <c r="D94" s="26">
        <f t="shared" si="21"/>
        <v>3968</v>
      </c>
      <c r="E94" s="27">
        <v>10420</v>
      </c>
      <c r="F94" s="557">
        <f t="shared" si="18"/>
        <v>0.61919385796545101</v>
      </c>
      <c r="G94" s="553">
        <v>8532</v>
      </c>
      <c r="H94" s="29">
        <f t="shared" si="19"/>
        <v>0.75621190811064232</v>
      </c>
    </row>
    <row r="95" spans="1:8" x14ac:dyDescent="0.25">
      <c r="A95">
        <f t="shared" si="20"/>
        <v>2010</v>
      </c>
      <c r="B95" s="25">
        <v>40513</v>
      </c>
      <c r="C95" s="15">
        <v>6801</v>
      </c>
      <c r="D95" s="15">
        <f t="shared" si="21"/>
        <v>4742</v>
      </c>
      <c r="E95" s="16">
        <v>11543</v>
      </c>
      <c r="F95" s="558">
        <f t="shared" si="18"/>
        <v>0.5891882526206359</v>
      </c>
      <c r="G95" s="552">
        <v>9284</v>
      </c>
      <c r="H95" s="18">
        <f t="shared" si="19"/>
        <v>0.73255062473071952</v>
      </c>
    </row>
    <row r="96" spans="1:8" x14ac:dyDescent="0.25">
      <c r="A96">
        <f t="shared" si="20"/>
        <v>2011</v>
      </c>
      <c r="B96" s="25">
        <v>40603</v>
      </c>
      <c r="C96" s="26">
        <v>6577</v>
      </c>
      <c r="D96" s="26">
        <f t="shared" si="21"/>
        <v>3948</v>
      </c>
      <c r="E96" s="27">
        <v>10525</v>
      </c>
      <c r="F96" s="557">
        <f t="shared" si="18"/>
        <v>0.62489311163895489</v>
      </c>
      <c r="G96" s="553">
        <v>8785</v>
      </c>
      <c r="H96" s="29">
        <f t="shared" si="19"/>
        <v>0.74866249288560049</v>
      </c>
    </row>
    <row r="97" spans="1:8" x14ac:dyDescent="0.25">
      <c r="A97">
        <f t="shared" si="20"/>
        <v>2011</v>
      </c>
      <c r="B97" s="25">
        <v>40695</v>
      </c>
      <c r="C97" s="15">
        <v>8463</v>
      </c>
      <c r="D97" s="15">
        <f t="shared" si="21"/>
        <v>5896</v>
      </c>
      <c r="E97" s="16">
        <v>14359</v>
      </c>
      <c r="F97" s="558">
        <f t="shared" si="18"/>
        <v>0.58938644752420088</v>
      </c>
      <c r="G97" s="552">
        <v>11054</v>
      </c>
      <c r="H97" s="18">
        <f t="shared" si="19"/>
        <v>0.7656052107834268</v>
      </c>
    </row>
    <row r="98" spans="1:8" x14ac:dyDescent="0.25">
      <c r="A98">
        <f t="shared" si="20"/>
        <v>2011</v>
      </c>
      <c r="B98" s="25">
        <v>40787</v>
      </c>
      <c r="C98" s="26">
        <v>9539</v>
      </c>
      <c r="D98" s="26">
        <f t="shared" si="21"/>
        <v>7759</v>
      </c>
      <c r="E98" s="27">
        <v>17298</v>
      </c>
      <c r="F98" s="557">
        <f t="shared" si="18"/>
        <v>0.5514510348017112</v>
      </c>
      <c r="G98" s="553">
        <v>12246</v>
      </c>
      <c r="H98" s="29">
        <f t="shared" si="19"/>
        <v>0.77894822799281394</v>
      </c>
    </row>
    <row r="99" spans="1:8" x14ac:dyDescent="0.25">
      <c r="A99">
        <f t="shared" si="20"/>
        <v>2011</v>
      </c>
      <c r="B99" s="25">
        <v>40878</v>
      </c>
      <c r="C99" s="15">
        <v>10452</v>
      </c>
      <c r="D99" s="15">
        <f t="shared" si="21"/>
        <v>9488</v>
      </c>
      <c r="E99" s="16">
        <v>19940</v>
      </c>
      <c r="F99" s="558">
        <f t="shared" si="18"/>
        <v>0.52417251755265792</v>
      </c>
      <c r="G99" s="552">
        <v>13673</v>
      </c>
      <c r="H99" s="18">
        <f t="shared" si="19"/>
        <v>0.76442624149784244</v>
      </c>
    </row>
    <row r="100" spans="1:8" x14ac:dyDescent="0.25">
      <c r="A100">
        <f t="shared" si="20"/>
        <v>2012</v>
      </c>
      <c r="B100" s="25">
        <v>40969</v>
      </c>
      <c r="C100" s="26">
        <v>10922</v>
      </c>
      <c r="D100" s="26">
        <f t="shared" si="21"/>
        <v>8690</v>
      </c>
      <c r="E100" s="27">
        <v>19612</v>
      </c>
      <c r="F100" s="557">
        <f t="shared" si="18"/>
        <v>0.55690393636549052</v>
      </c>
      <c r="G100" s="553">
        <v>13781</v>
      </c>
      <c r="H100" s="29">
        <f t="shared" si="19"/>
        <v>0.7925404542486032</v>
      </c>
    </row>
    <row r="101" spans="1:8" x14ac:dyDescent="0.25">
      <c r="A101">
        <f t="shared" si="20"/>
        <v>2012</v>
      </c>
      <c r="B101" s="25">
        <v>41061</v>
      </c>
      <c r="C101" s="15">
        <v>14158</v>
      </c>
      <c r="D101" s="15">
        <f t="shared" si="21"/>
        <v>10989</v>
      </c>
      <c r="E101" s="16">
        <v>25147</v>
      </c>
      <c r="F101" s="558">
        <f t="shared" si="18"/>
        <v>0.56300950411579909</v>
      </c>
      <c r="G101" s="552">
        <v>17379</v>
      </c>
      <c r="H101" s="18">
        <f t="shared" si="19"/>
        <v>0.81466137292134189</v>
      </c>
    </row>
    <row r="102" spans="1:8" x14ac:dyDescent="0.25">
      <c r="A102">
        <f t="shared" si="20"/>
        <v>2012</v>
      </c>
      <c r="B102" s="25">
        <v>41153</v>
      </c>
      <c r="C102" s="26">
        <v>12757</v>
      </c>
      <c r="D102" s="26">
        <f t="shared" si="21"/>
        <v>10919</v>
      </c>
      <c r="E102" s="27">
        <v>23676</v>
      </c>
      <c r="F102" s="557">
        <f t="shared" si="18"/>
        <v>0.5388156783240412</v>
      </c>
      <c r="G102" s="553">
        <v>15594</v>
      </c>
      <c r="H102" s="29">
        <f t="shared" si="19"/>
        <v>0.81807105296909066</v>
      </c>
    </row>
    <row r="103" spans="1:8" x14ac:dyDescent="0.25">
      <c r="A103">
        <f t="shared" si="20"/>
        <v>2012</v>
      </c>
      <c r="B103" s="25">
        <v>41244</v>
      </c>
      <c r="C103" s="15">
        <v>13203</v>
      </c>
      <c r="D103" s="15">
        <f t="shared" si="21"/>
        <v>12842</v>
      </c>
      <c r="E103" s="16">
        <v>26045</v>
      </c>
      <c r="F103" s="558">
        <f t="shared" si="18"/>
        <v>0.50693031291994628</v>
      </c>
      <c r="G103" s="552">
        <v>16372</v>
      </c>
      <c r="H103" s="18">
        <f t="shared" si="19"/>
        <v>0.80643782066943559</v>
      </c>
    </row>
    <row r="104" spans="1:8" x14ac:dyDescent="0.25">
      <c r="A104">
        <f t="shared" si="20"/>
        <v>2013</v>
      </c>
      <c r="B104" s="25">
        <v>41334</v>
      </c>
      <c r="C104" s="26">
        <v>9733</v>
      </c>
      <c r="D104" s="26">
        <f t="shared" si="21"/>
        <v>10901</v>
      </c>
      <c r="E104" s="27">
        <v>20634</v>
      </c>
      <c r="F104" s="557">
        <f t="shared" si="18"/>
        <v>0.47169719879810024</v>
      </c>
      <c r="G104" s="553">
        <v>12082</v>
      </c>
      <c r="H104" s="29">
        <f t="shared" si="19"/>
        <v>0.80557854659824535</v>
      </c>
    </row>
    <row r="105" spans="1:8" x14ac:dyDescent="0.25">
      <c r="A105">
        <f t="shared" si="20"/>
        <v>2013</v>
      </c>
      <c r="B105" s="25">
        <v>41426</v>
      </c>
      <c r="C105" s="15">
        <v>12507</v>
      </c>
      <c r="D105" s="15">
        <f t="shared" si="21"/>
        <v>11847</v>
      </c>
      <c r="E105" s="16">
        <v>24354</v>
      </c>
      <c r="F105" s="558">
        <f t="shared" si="18"/>
        <v>0.51355013550135498</v>
      </c>
      <c r="G105" s="552">
        <v>15182</v>
      </c>
      <c r="H105" s="18">
        <f t="shared" si="19"/>
        <v>0.82380450533526539</v>
      </c>
    </row>
    <row r="106" spans="1:8" x14ac:dyDescent="0.25">
      <c r="A106">
        <f t="shared" si="20"/>
        <v>2013</v>
      </c>
      <c r="B106" s="25">
        <v>41518</v>
      </c>
      <c r="C106" s="26">
        <v>12245</v>
      </c>
      <c r="D106" s="26">
        <f t="shared" si="21"/>
        <v>11958</v>
      </c>
      <c r="E106" s="27">
        <v>24203</v>
      </c>
      <c r="F106" s="557">
        <f t="shared" si="18"/>
        <v>0.50592901706400029</v>
      </c>
      <c r="G106" s="553">
        <v>14810</v>
      </c>
      <c r="H106" s="29">
        <f t="shared" si="19"/>
        <v>0.82680621201890614</v>
      </c>
    </row>
    <row r="107" spans="1:8" x14ac:dyDescent="0.25">
      <c r="A107">
        <f t="shared" si="20"/>
        <v>2013</v>
      </c>
      <c r="B107" s="25">
        <v>41609</v>
      </c>
      <c r="C107" s="15">
        <v>12301</v>
      </c>
      <c r="D107" s="15">
        <f t="shared" si="21"/>
        <v>12406</v>
      </c>
      <c r="E107" s="16">
        <v>24707</v>
      </c>
      <c r="F107" s="558">
        <f t="shared" si="18"/>
        <v>0.4978750961266038</v>
      </c>
      <c r="G107" s="552">
        <v>14913</v>
      </c>
      <c r="H107" s="18">
        <f t="shared" si="19"/>
        <v>0.82485080131428956</v>
      </c>
    </row>
    <row r="108" spans="1:8" x14ac:dyDescent="0.25">
      <c r="A108">
        <f t="shared" si="20"/>
        <v>2014</v>
      </c>
      <c r="B108" s="25">
        <v>41699</v>
      </c>
      <c r="C108" s="26">
        <v>10246</v>
      </c>
      <c r="D108" s="26">
        <f t="shared" si="21"/>
        <v>8846</v>
      </c>
      <c r="E108" s="27">
        <v>19092</v>
      </c>
      <c r="F108" s="557">
        <f t="shared" si="18"/>
        <v>0.5366645715482925</v>
      </c>
      <c r="G108" s="553">
        <v>12609</v>
      </c>
      <c r="H108" s="29">
        <f t="shared" si="19"/>
        <v>0.81259417876120232</v>
      </c>
    </row>
    <row r="109" spans="1:8" x14ac:dyDescent="0.25">
      <c r="A109">
        <f t="shared" si="20"/>
        <v>2014</v>
      </c>
      <c r="B109" s="25">
        <v>41791</v>
      </c>
      <c r="C109" s="15">
        <v>11967</v>
      </c>
      <c r="D109" s="15">
        <f t="shared" si="21"/>
        <v>10423</v>
      </c>
      <c r="E109" s="16">
        <v>22390</v>
      </c>
      <c r="F109" s="558">
        <f t="shared" si="18"/>
        <v>0.53447967842786959</v>
      </c>
      <c r="G109" s="552">
        <v>14636</v>
      </c>
      <c r="H109" s="18">
        <f t="shared" si="19"/>
        <v>0.81764143208526918</v>
      </c>
    </row>
    <row r="110" spans="1:8" x14ac:dyDescent="0.25">
      <c r="A110">
        <f t="shared" si="20"/>
        <v>2014</v>
      </c>
      <c r="B110" s="25">
        <v>41883</v>
      </c>
      <c r="C110" s="26">
        <v>11785</v>
      </c>
      <c r="D110" s="26">
        <f t="shared" si="21"/>
        <v>9022</v>
      </c>
      <c r="E110" s="27">
        <v>20807</v>
      </c>
      <c r="F110" s="557">
        <f t="shared" si="18"/>
        <v>0.56639592444850295</v>
      </c>
      <c r="G110" s="553">
        <v>14505</v>
      </c>
      <c r="H110" s="29">
        <f t="shared" si="19"/>
        <v>0.81247845570492938</v>
      </c>
    </row>
    <row r="111" spans="1:8" x14ac:dyDescent="0.25">
      <c r="A111">
        <f t="shared" si="20"/>
        <v>2014</v>
      </c>
      <c r="B111" s="25">
        <v>41974</v>
      </c>
      <c r="C111" s="15">
        <v>12213</v>
      </c>
      <c r="D111" s="15">
        <f t="shared" si="21"/>
        <v>9044</v>
      </c>
      <c r="E111" s="16">
        <v>21257</v>
      </c>
      <c r="F111" s="558">
        <f t="shared" si="18"/>
        <v>0.57454015147951265</v>
      </c>
      <c r="G111" s="552">
        <v>15181</v>
      </c>
      <c r="H111" s="18">
        <f t="shared" si="19"/>
        <v>0.80449245767735988</v>
      </c>
    </row>
    <row r="112" spans="1:8" x14ac:dyDescent="0.25">
      <c r="A112">
        <f t="shared" si="20"/>
        <v>2015</v>
      </c>
      <c r="B112" s="25">
        <v>42064</v>
      </c>
      <c r="C112" s="26">
        <v>10737</v>
      </c>
      <c r="D112" s="26">
        <f t="shared" si="21"/>
        <v>6074</v>
      </c>
      <c r="E112" s="27">
        <v>16811</v>
      </c>
      <c r="F112" s="557">
        <f t="shared" si="18"/>
        <v>0.63868895366129319</v>
      </c>
      <c r="G112" s="553">
        <v>12835</v>
      </c>
      <c r="H112" s="29">
        <f t="shared" si="19"/>
        <v>0.83654070899883137</v>
      </c>
    </row>
    <row r="113" spans="1:9" x14ac:dyDescent="0.25">
      <c r="A113">
        <f t="shared" si="20"/>
        <v>2015</v>
      </c>
      <c r="B113" s="25">
        <v>42156</v>
      </c>
      <c r="C113" s="15">
        <v>11255</v>
      </c>
      <c r="D113" s="15">
        <f t="shared" si="21"/>
        <v>5987</v>
      </c>
      <c r="E113" s="16">
        <v>17242</v>
      </c>
      <c r="F113" s="558">
        <f t="shared" si="18"/>
        <v>0.65276650040598538</v>
      </c>
      <c r="G113" s="552">
        <v>13707</v>
      </c>
      <c r="H113" s="18">
        <f t="shared" si="19"/>
        <v>0.82111329977383818</v>
      </c>
    </row>
    <row r="114" spans="1:9" x14ac:dyDescent="0.25">
      <c r="A114">
        <f t="shared" si="20"/>
        <v>2015</v>
      </c>
      <c r="B114" s="25">
        <v>42248</v>
      </c>
      <c r="C114" s="26">
        <v>9813</v>
      </c>
      <c r="D114" s="26">
        <f t="shared" si="21"/>
        <v>5075</v>
      </c>
      <c r="E114" s="27">
        <v>14888</v>
      </c>
      <c r="F114" s="557">
        <f t="shared" si="18"/>
        <v>0.65912144008597529</v>
      </c>
      <c r="G114" s="553">
        <v>12165</v>
      </c>
      <c r="H114" s="29">
        <f t="shared" si="19"/>
        <v>0.80665844636251538</v>
      </c>
      <c r="I114" s="47"/>
    </row>
    <row r="115" spans="1:9" x14ac:dyDescent="0.25">
      <c r="A115">
        <f t="shared" si="20"/>
        <v>2015</v>
      </c>
      <c r="B115" s="25">
        <v>42339</v>
      </c>
      <c r="C115" s="15">
        <v>10579</v>
      </c>
      <c r="D115" s="15">
        <f t="shared" si="21"/>
        <v>5648</v>
      </c>
      <c r="E115" s="16">
        <v>16227</v>
      </c>
      <c r="F115" s="558">
        <f t="shared" si="18"/>
        <v>0.65193812781167193</v>
      </c>
      <c r="G115" s="552">
        <v>13162</v>
      </c>
      <c r="H115" s="18">
        <f t="shared" si="19"/>
        <v>0.8037532289925543</v>
      </c>
      <c r="I115" s="47"/>
    </row>
    <row r="116" spans="1:9" x14ac:dyDescent="0.25">
      <c r="A116">
        <f t="shared" si="20"/>
        <v>2016</v>
      </c>
      <c r="B116" s="25">
        <v>42430</v>
      </c>
      <c r="C116" s="26">
        <v>7824</v>
      </c>
      <c r="D116" s="26">
        <f t="shared" si="21"/>
        <v>3576</v>
      </c>
      <c r="E116" s="27">
        <v>11400</v>
      </c>
      <c r="F116" s="557">
        <f t="shared" si="18"/>
        <v>0.68631578947368421</v>
      </c>
      <c r="G116" s="553">
        <v>9666</v>
      </c>
      <c r="H116" s="29">
        <f t="shared" si="19"/>
        <v>0.80943513345747986</v>
      </c>
    </row>
    <row r="117" spans="1:9" x14ac:dyDescent="0.25">
      <c r="A117">
        <f t="shared" si="20"/>
        <v>2016</v>
      </c>
      <c r="B117" s="25">
        <v>42522</v>
      </c>
      <c r="C117" s="15">
        <v>6995</v>
      </c>
      <c r="D117" s="15">
        <f t="shared" si="21"/>
        <v>3879</v>
      </c>
      <c r="E117" s="16">
        <v>10874</v>
      </c>
      <c r="F117" s="558">
        <f t="shared" si="18"/>
        <v>0.64327754276255289</v>
      </c>
      <c r="G117" s="552">
        <v>9149</v>
      </c>
      <c r="H117" s="18">
        <f t="shared" si="19"/>
        <v>0.76456443327139578</v>
      </c>
    </row>
    <row r="118" spans="1:9" x14ac:dyDescent="0.25">
      <c r="A118">
        <f t="shared" si="20"/>
        <v>2016</v>
      </c>
      <c r="B118" s="25">
        <v>42614</v>
      </c>
      <c r="C118" s="26">
        <v>5869</v>
      </c>
      <c r="D118" s="26">
        <f t="shared" si="21"/>
        <v>4200</v>
      </c>
      <c r="E118" s="27">
        <v>10069</v>
      </c>
      <c r="F118" s="557">
        <f t="shared" si="18"/>
        <v>0.58287814082828482</v>
      </c>
      <c r="G118" s="553">
        <v>7593</v>
      </c>
      <c r="H118" s="29">
        <f t="shared" si="19"/>
        <v>0.77294876860266037</v>
      </c>
    </row>
    <row r="119" spans="1:9" x14ac:dyDescent="0.25">
      <c r="A119">
        <f t="shared" si="20"/>
        <v>2016</v>
      </c>
      <c r="B119" s="25">
        <v>42705</v>
      </c>
      <c r="C119" s="15">
        <v>6192</v>
      </c>
      <c r="D119" s="15">
        <f t="shared" si="21"/>
        <v>4390</v>
      </c>
      <c r="E119" s="16">
        <v>10582</v>
      </c>
      <c r="F119" s="558">
        <f t="shared" si="18"/>
        <v>0.58514458514458512</v>
      </c>
      <c r="G119" s="552">
        <v>8193</v>
      </c>
      <c r="H119" s="18">
        <f t="shared" si="19"/>
        <v>0.7557671182716954</v>
      </c>
    </row>
    <row r="120" spans="1:9" x14ac:dyDescent="0.25">
      <c r="A120">
        <f t="shared" si="20"/>
        <v>2017</v>
      </c>
      <c r="B120" s="25">
        <v>42795</v>
      </c>
      <c r="C120" s="26">
        <v>4820</v>
      </c>
      <c r="D120" s="26">
        <f t="shared" si="21"/>
        <v>3771</v>
      </c>
      <c r="E120" s="27">
        <v>8591</v>
      </c>
      <c r="F120" s="557">
        <f t="shared" si="18"/>
        <v>0.56105226399720642</v>
      </c>
      <c r="G120" s="553">
        <v>6616</v>
      </c>
      <c r="H120" s="29">
        <f t="shared" si="19"/>
        <v>0.72853688029020558</v>
      </c>
    </row>
    <row r="121" spans="1:9" x14ac:dyDescent="0.25">
      <c r="A121">
        <f t="shared" si="20"/>
        <v>2017</v>
      </c>
      <c r="B121" s="25">
        <v>42887</v>
      </c>
      <c r="C121" s="15">
        <v>5349</v>
      </c>
      <c r="D121" s="15">
        <f t="shared" si="21"/>
        <v>4159</v>
      </c>
      <c r="E121" s="16">
        <v>9508</v>
      </c>
      <c r="F121" s="558">
        <f t="shared" si="18"/>
        <v>0.5625788809423643</v>
      </c>
      <c r="G121" s="552">
        <v>7434</v>
      </c>
      <c r="H121" s="18">
        <f t="shared" si="19"/>
        <v>0.71953188054882966</v>
      </c>
    </row>
    <row r="122" spans="1:9" x14ac:dyDescent="0.25">
      <c r="A122">
        <f t="shared" si="20"/>
        <v>2017</v>
      </c>
      <c r="B122" s="25">
        <v>42979</v>
      </c>
      <c r="C122" s="26">
        <v>5055</v>
      </c>
      <c r="D122" s="26">
        <f t="shared" si="21"/>
        <v>4310</v>
      </c>
      <c r="E122" s="27">
        <v>9365</v>
      </c>
      <c r="F122" s="557">
        <f t="shared" si="18"/>
        <v>0.53977576081153233</v>
      </c>
      <c r="G122" s="553">
        <v>7211</v>
      </c>
      <c r="H122" s="29">
        <f t="shared" si="19"/>
        <v>0.7010123422548884</v>
      </c>
    </row>
    <row r="123" spans="1:9" x14ac:dyDescent="0.25">
      <c r="A123">
        <f t="shared" si="20"/>
        <v>2017</v>
      </c>
      <c r="B123" s="25">
        <v>43070</v>
      </c>
      <c r="C123" s="15">
        <v>5234</v>
      </c>
      <c r="D123" s="15">
        <f t="shared" si="21"/>
        <v>4639</v>
      </c>
      <c r="E123" s="16">
        <v>9873</v>
      </c>
      <c r="F123" s="558">
        <f t="shared" si="18"/>
        <v>0.53013268510077993</v>
      </c>
      <c r="G123" s="552">
        <v>7546</v>
      </c>
      <c r="H123" s="18">
        <f t="shared" si="19"/>
        <v>0.69361250993904056</v>
      </c>
    </row>
    <row r="124" spans="1:9" x14ac:dyDescent="0.25">
      <c r="A124">
        <f t="shared" si="20"/>
        <v>2018</v>
      </c>
      <c r="B124" s="25">
        <v>43160</v>
      </c>
      <c r="C124" s="26">
        <v>4268</v>
      </c>
      <c r="D124" s="26">
        <f t="shared" si="21"/>
        <v>3907</v>
      </c>
      <c r="E124" s="27">
        <v>8175</v>
      </c>
      <c r="F124" s="557">
        <f t="shared" si="18"/>
        <v>0.52207951070336389</v>
      </c>
      <c r="G124" s="553">
        <v>6436</v>
      </c>
      <c r="H124" s="29">
        <f t="shared" si="19"/>
        <v>0.66314481044126783</v>
      </c>
    </row>
    <row r="125" spans="1:9" x14ac:dyDescent="0.25">
      <c r="A125">
        <f t="shared" si="20"/>
        <v>2018</v>
      </c>
      <c r="B125" s="25">
        <v>43252</v>
      </c>
      <c r="C125" s="15">
        <v>4616</v>
      </c>
      <c r="D125" s="15">
        <f t="shared" si="21"/>
        <v>4359</v>
      </c>
      <c r="E125" s="16">
        <v>8975</v>
      </c>
      <c r="F125" s="558">
        <f t="shared" si="18"/>
        <v>0.51431754874651814</v>
      </c>
      <c r="G125" s="552">
        <v>6793</v>
      </c>
      <c r="H125" s="18">
        <f t="shared" si="19"/>
        <v>0.67952303842190487</v>
      </c>
    </row>
    <row r="126" spans="1:9" x14ac:dyDescent="0.25">
      <c r="A126">
        <f t="shared" si="20"/>
        <v>2018</v>
      </c>
      <c r="B126" s="25">
        <v>43344</v>
      </c>
      <c r="C126" s="26">
        <v>4249</v>
      </c>
      <c r="D126" s="26">
        <f t="shared" si="21"/>
        <v>4173</v>
      </c>
      <c r="E126" s="27">
        <v>8422</v>
      </c>
      <c r="F126" s="557">
        <f t="shared" si="18"/>
        <v>0.50451199240085487</v>
      </c>
      <c r="G126" s="553">
        <v>6312</v>
      </c>
      <c r="H126" s="29">
        <f t="shared" si="19"/>
        <v>0.67316223067173642</v>
      </c>
    </row>
    <row r="127" spans="1:9" x14ac:dyDescent="0.25">
      <c r="A127">
        <f t="shared" si="20"/>
        <v>2018</v>
      </c>
      <c r="B127" s="25">
        <v>43435</v>
      </c>
      <c r="C127" s="15">
        <v>4660</v>
      </c>
      <c r="D127" s="15">
        <f t="shared" si="21"/>
        <v>4363</v>
      </c>
      <c r="E127" s="16">
        <v>9023</v>
      </c>
      <c r="F127" s="558">
        <f t="shared" si="18"/>
        <v>0.51645794081790974</v>
      </c>
      <c r="G127" s="552">
        <v>6865</v>
      </c>
      <c r="H127" s="18">
        <f t="shared" si="19"/>
        <v>0.67880553532410781</v>
      </c>
    </row>
    <row r="128" spans="1:9" x14ac:dyDescent="0.25">
      <c r="A128">
        <f t="shared" si="20"/>
        <v>2019</v>
      </c>
      <c r="B128" s="25">
        <v>43525</v>
      </c>
      <c r="C128" s="26">
        <v>3730</v>
      </c>
      <c r="D128" s="26">
        <f t="shared" si="21"/>
        <v>3575</v>
      </c>
      <c r="E128" s="27">
        <v>7305</v>
      </c>
      <c r="F128" s="557">
        <f t="shared" si="18"/>
        <v>0.51060917180013687</v>
      </c>
      <c r="G128" s="553">
        <v>5378</v>
      </c>
      <c r="H128" s="29">
        <f t="shared" si="19"/>
        <v>0.69356638155448125</v>
      </c>
    </row>
    <row r="129" spans="1:12" x14ac:dyDescent="0.25">
      <c r="A129">
        <f t="shared" si="20"/>
        <v>2019</v>
      </c>
      <c r="B129" s="25">
        <v>43617</v>
      </c>
      <c r="C129" s="15">
        <v>4329</v>
      </c>
      <c r="D129" s="15">
        <f t="shared" si="21"/>
        <v>4275</v>
      </c>
      <c r="E129" s="16">
        <v>8604</v>
      </c>
      <c r="F129" s="558">
        <f t="shared" si="18"/>
        <v>0.5031380753138075</v>
      </c>
      <c r="G129" s="552">
        <v>6612</v>
      </c>
      <c r="H129" s="18">
        <f t="shared" si="19"/>
        <v>0.65471869328493648</v>
      </c>
      <c r="L129" t="s">
        <v>96</v>
      </c>
    </row>
    <row r="130" spans="1:12" x14ac:dyDescent="0.25">
      <c r="A130">
        <f t="shared" si="20"/>
        <v>2019</v>
      </c>
      <c r="B130" s="25">
        <v>43709</v>
      </c>
      <c r="C130" s="26">
        <v>4429</v>
      </c>
      <c r="D130" s="26">
        <f t="shared" si="21"/>
        <v>4208</v>
      </c>
      <c r="E130" s="27">
        <v>8637</v>
      </c>
      <c r="F130" s="557">
        <f t="shared" si="18"/>
        <v>0.51279379414148429</v>
      </c>
      <c r="G130" s="553">
        <v>6287</v>
      </c>
      <c r="H130" s="29">
        <f t="shared" si="19"/>
        <v>0.70446954032129794</v>
      </c>
    </row>
    <row r="131" spans="1:12" x14ac:dyDescent="0.25">
      <c r="A131">
        <f t="shared" si="20"/>
        <v>2019</v>
      </c>
      <c r="B131" s="25">
        <v>43800</v>
      </c>
      <c r="C131" s="15">
        <v>4748</v>
      </c>
      <c r="D131" s="15">
        <f t="shared" si="21"/>
        <v>4598</v>
      </c>
      <c r="E131" s="16">
        <v>9346</v>
      </c>
      <c r="F131" s="558">
        <f t="shared" si="18"/>
        <v>0.508024823453884</v>
      </c>
      <c r="G131" s="552">
        <v>7025</v>
      </c>
      <c r="H131" s="18">
        <f t="shared" si="19"/>
        <v>0.67587188612099647</v>
      </c>
    </row>
    <row r="132" spans="1:12" x14ac:dyDescent="0.25">
      <c r="A132">
        <f t="shared" si="20"/>
        <v>2020</v>
      </c>
      <c r="B132" s="25">
        <v>43891</v>
      </c>
      <c r="C132" s="26">
        <v>4592</v>
      </c>
      <c r="D132" s="26">
        <f t="shared" si="21"/>
        <v>3399</v>
      </c>
      <c r="E132" s="27">
        <v>7991</v>
      </c>
      <c r="F132" s="557">
        <f t="shared" si="18"/>
        <v>0.57464647728694784</v>
      </c>
      <c r="G132" s="553">
        <v>6304</v>
      </c>
      <c r="H132" s="29">
        <f t="shared" si="19"/>
        <v>0.72842639593908631</v>
      </c>
    </row>
    <row r="133" spans="1:12" x14ac:dyDescent="0.25">
      <c r="A133">
        <f t="shared" si="20"/>
        <v>2020</v>
      </c>
      <c r="B133" s="25">
        <v>43983</v>
      </c>
      <c r="C133" s="15">
        <v>5192</v>
      </c>
      <c r="D133" s="15">
        <f t="shared" si="21"/>
        <v>3989</v>
      </c>
      <c r="E133" s="16">
        <v>9181</v>
      </c>
      <c r="F133" s="558">
        <f t="shared" si="18"/>
        <v>0.56551573902624985</v>
      </c>
      <c r="G133" s="552">
        <v>7248</v>
      </c>
      <c r="H133" s="18">
        <f t="shared" si="19"/>
        <v>0.71633554083885209</v>
      </c>
    </row>
    <row r="134" spans="1:12" x14ac:dyDescent="0.25">
      <c r="A134">
        <f t="shared" si="20"/>
        <v>2020</v>
      </c>
      <c r="B134" s="25">
        <v>44075</v>
      </c>
      <c r="C134" s="26">
        <v>4954</v>
      </c>
      <c r="D134" s="26">
        <f t="shared" si="21"/>
        <v>3653</v>
      </c>
      <c r="E134" s="27">
        <v>8607</v>
      </c>
      <c r="F134" s="557">
        <f t="shared" si="18"/>
        <v>0.57557801789241314</v>
      </c>
      <c r="G134" s="553">
        <v>6720</v>
      </c>
      <c r="H134" s="29">
        <f t="shared" si="19"/>
        <v>0.737202380952381</v>
      </c>
    </row>
    <row r="135" spans="1:12" x14ac:dyDescent="0.25">
      <c r="A135">
        <f t="shared" si="20"/>
        <v>2020</v>
      </c>
      <c r="B135" s="25">
        <v>44166</v>
      </c>
      <c r="C135" s="15">
        <v>5255</v>
      </c>
      <c r="D135" s="15">
        <f t="shared" si="21"/>
        <v>4124</v>
      </c>
      <c r="E135" s="16">
        <v>9379</v>
      </c>
      <c r="F135" s="558">
        <f t="shared" si="18"/>
        <v>0.56029427444290436</v>
      </c>
      <c r="G135" s="552">
        <v>7361</v>
      </c>
      <c r="H135" s="18">
        <f t="shared" si="19"/>
        <v>0.71389756826518136</v>
      </c>
    </row>
    <row r="136" spans="1:12" x14ac:dyDescent="0.25">
      <c r="A136">
        <f t="shared" si="20"/>
        <v>2021</v>
      </c>
      <c r="B136" s="25">
        <v>44256</v>
      </c>
      <c r="C136" s="26">
        <v>4949</v>
      </c>
      <c r="D136" s="26">
        <f t="shared" si="21"/>
        <v>3111</v>
      </c>
      <c r="E136" s="27">
        <v>8060</v>
      </c>
      <c r="F136" s="557">
        <f t="shared" si="18"/>
        <v>0.61401985111662527</v>
      </c>
      <c r="G136" s="553">
        <v>6991</v>
      </c>
      <c r="H136" s="29">
        <f t="shared" si="19"/>
        <v>0.70791017021885283</v>
      </c>
    </row>
    <row r="137" spans="1:12" x14ac:dyDescent="0.25">
      <c r="A137">
        <f t="shared" si="20"/>
        <v>2021</v>
      </c>
      <c r="B137" s="25">
        <v>44348</v>
      </c>
      <c r="C137" s="15">
        <v>5513</v>
      </c>
      <c r="D137" s="15">
        <f t="shared" si="21"/>
        <v>3901</v>
      </c>
      <c r="E137" s="16">
        <v>9414</v>
      </c>
      <c r="F137" s="558">
        <f t="shared" ref="F137:F155" si="22">C137/E137</f>
        <v>0.58561716592309332</v>
      </c>
      <c r="G137" s="552">
        <v>8262</v>
      </c>
      <c r="H137" s="18">
        <f t="shared" ref="H137:H155" si="23">IFERROR(C137/G137,"n/a")</f>
        <v>0.66727184701040909</v>
      </c>
    </row>
    <row r="138" spans="1:12" x14ac:dyDescent="0.25">
      <c r="A138">
        <f t="shared" si="20"/>
        <v>2021</v>
      </c>
      <c r="B138" s="25">
        <v>44440</v>
      </c>
      <c r="C138" s="26">
        <v>5538</v>
      </c>
      <c r="D138" s="26">
        <f t="shared" ref="D138:D155" si="24">E138-C138</f>
        <v>3860</v>
      </c>
      <c r="E138" s="27">
        <v>9398</v>
      </c>
      <c r="F138" s="557">
        <f t="shared" si="22"/>
        <v>0.58927431368376249</v>
      </c>
      <c r="G138" s="553">
        <v>7997</v>
      </c>
      <c r="H138" s="29">
        <f t="shared" si="23"/>
        <v>0.69250969113417526</v>
      </c>
    </row>
    <row r="139" spans="1:12" ht="16.5" customHeight="1" x14ac:dyDescent="0.25">
      <c r="A139">
        <f t="shared" ref="A139:A202" si="25">YEAR(B139)</f>
        <v>2021</v>
      </c>
      <c r="B139" s="25">
        <v>44531</v>
      </c>
      <c r="C139" s="37">
        <v>6258</v>
      </c>
      <c r="D139" s="37">
        <f t="shared" si="24"/>
        <v>4933</v>
      </c>
      <c r="E139" s="36">
        <v>11191</v>
      </c>
      <c r="F139" s="558">
        <f t="shared" si="22"/>
        <v>0.55919935662586007</v>
      </c>
      <c r="G139" s="552">
        <v>8650</v>
      </c>
      <c r="H139" s="18">
        <f t="shared" si="23"/>
        <v>0.72346820809248558</v>
      </c>
    </row>
    <row r="140" spans="1:12" x14ac:dyDescent="0.25">
      <c r="A140">
        <f t="shared" si="25"/>
        <v>2022</v>
      </c>
      <c r="B140" s="25">
        <v>44621</v>
      </c>
      <c r="C140" s="26">
        <v>5876</v>
      </c>
      <c r="D140" s="26">
        <f t="shared" si="24"/>
        <v>3746</v>
      </c>
      <c r="E140" s="27">
        <v>9622</v>
      </c>
      <c r="F140" s="557">
        <f t="shared" si="22"/>
        <v>0.61068384951153609</v>
      </c>
      <c r="G140" s="553">
        <v>7971</v>
      </c>
      <c r="H140" s="29">
        <f t="shared" si="23"/>
        <v>0.73717224940408987</v>
      </c>
    </row>
    <row r="141" spans="1:12" x14ac:dyDescent="0.25">
      <c r="A141">
        <f t="shared" si="25"/>
        <v>2022</v>
      </c>
      <c r="B141" s="25">
        <v>44713</v>
      </c>
      <c r="C141" s="15">
        <v>6787</v>
      </c>
      <c r="D141" s="15">
        <f t="shared" si="24"/>
        <v>4690</v>
      </c>
      <c r="E141" s="16">
        <v>11477</v>
      </c>
      <c r="F141" s="558">
        <f t="shared" si="22"/>
        <v>0.59135662629607044</v>
      </c>
      <c r="G141" s="552">
        <v>9668</v>
      </c>
      <c r="H141" s="18">
        <f t="shared" si="23"/>
        <v>0.70200661977658252</v>
      </c>
    </row>
    <row r="142" spans="1:12" x14ac:dyDescent="0.25">
      <c r="A142">
        <f t="shared" si="25"/>
        <v>2022</v>
      </c>
      <c r="B142" s="25">
        <v>44805</v>
      </c>
      <c r="C142" s="26">
        <v>6199</v>
      </c>
      <c r="D142" s="26">
        <f t="shared" si="24"/>
        <v>4386</v>
      </c>
      <c r="E142" s="27">
        <v>10585</v>
      </c>
      <c r="F142" s="557">
        <f t="shared" si="22"/>
        <v>0.58564005668398678</v>
      </c>
      <c r="G142" s="553">
        <v>8476</v>
      </c>
      <c r="H142" s="29">
        <f t="shared" si="23"/>
        <v>0.73135913166588018</v>
      </c>
    </row>
    <row r="143" spans="1:12" x14ac:dyDescent="0.25">
      <c r="A143">
        <f t="shared" si="25"/>
        <v>2022</v>
      </c>
      <c r="B143" s="25">
        <v>44896</v>
      </c>
      <c r="C143" s="15">
        <v>6972</v>
      </c>
      <c r="D143" s="15">
        <f t="shared" si="24"/>
        <v>5576</v>
      </c>
      <c r="E143" s="16">
        <v>12548</v>
      </c>
      <c r="F143" s="558">
        <f t="shared" si="22"/>
        <v>0.55562639464456487</v>
      </c>
      <c r="G143" s="552">
        <v>9796</v>
      </c>
      <c r="H143" s="18">
        <f t="shared" si="23"/>
        <v>0.71171906900775828</v>
      </c>
    </row>
    <row r="144" spans="1:12" x14ac:dyDescent="0.25">
      <c r="A144">
        <f t="shared" si="25"/>
        <v>2023</v>
      </c>
      <c r="B144" s="25">
        <v>44986</v>
      </c>
      <c r="C144" s="26">
        <v>6592</v>
      </c>
      <c r="D144" s="26">
        <f t="shared" si="24"/>
        <v>4198</v>
      </c>
      <c r="E144" s="27">
        <v>10790</v>
      </c>
      <c r="F144" s="557">
        <f t="shared" si="22"/>
        <v>0.6109360518999073</v>
      </c>
      <c r="G144" s="553">
        <v>8817</v>
      </c>
      <c r="H144" s="29">
        <f t="shared" si="23"/>
        <v>0.74764659181127369</v>
      </c>
    </row>
    <row r="145" spans="1:8" x14ac:dyDescent="0.25">
      <c r="A145">
        <f t="shared" si="25"/>
        <v>2023</v>
      </c>
      <c r="B145" s="25">
        <v>45078</v>
      </c>
      <c r="C145" s="37">
        <v>7529</v>
      </c>
      <c r="D145" s="37">
        <f t="shared" si="24"/>
        <v>5304</v>
      </c>
      <c r="E145" s="36">
        <v>12833</v>
      </c>
      <c r="F145" s="558">
        <f t="shared" si="22"/>
        <v>0.58669056339125691</v>
      </c>
      <c r="G145" s="552">
        <v>11108</v>
      </c>
      <c r="H145" s="18">
        <f t="shared" si="23"/>
        <v>0.67779978393950302</v>
      </c>
    </row>
    <row r="146" spans="1:8" x14ac:dyDescent="0.25">
      <c r="A146">
        <f t="shared" si="25"/>
        <v>2023</v>
      </c>
      <c r="B146" s="25">
        <v>45170</v>
      </c>
      <c r="C146" s="26">
        <v>7970</v>
      </c>
      <c r="D146" s="26">
        <f t="shared" si="24"/>
        <v>4931</v>
      </c>
      <c r="E146" s="27">
        <v>12901</v>
      </c>
      <c r="F146" s="557">
        <f t="shared" si="22"/>
        <v>0.61778156732036271</v>
      </c>
      <c r="G146" s="553">
        <v>11071</v>
      </c>
      <c r="H146" s="29">
        <f t="shared" si="23"/>
        <v>0.71989883479360495</v>
      </c>
    </row>
    <row r="147" spans="1:8" x14ac:dyDescent="0.25">
      <c r="A147">
        <f t="shared" si="25"/>
        <v>2023</v>
      </c>
      <c r="B147" s="25">
        <v>45261</v>
      </c>
      <c r="C147" s="37">
        <v>8961</v>
      </c>
      <c r="D147" s="37">
        <f t="shared" si="24"/>
        <v>5685</v>
      </c>
      <c r="E147" s="36">
        <v>14646</v>
      </c>
      <c r="F147" s="558">
        <f t="shared" si="22"/>
        <v>0.61183941007783693</v>
      </c>
      <c r="G147" s="552">
        <v>12338</v>
      </c>
      <c r="H147" s="18">
        <f t="shared" si="23"/>
        <v>0.72629275409304583</v>
      </c>
    </row>
    <row r="148" spans="1:8" x14ac:dyDescent="0.25">
      <c r="A148">
        <f t="shared" si="25"/>
        <v>2024</v>
      </c>
      <c r="B148" s="25">
        <v>45352</v>
      </c>
      <c r="C148" s="26">
        <v>7084</v>
      </c>
      <c r="D148" s="26">
        <f t="shared" si="24"/>
        <v>4409</v>
      </c>
      <c r="E148" s="27">
        <v>11493</v>
      </c>
      <c r="F148" s="557">
        <f t="shared" si="22"/>
        <v>0.61637518489515353</v>
      </c>
      <c r="G148" s="553">
        <v>9916</v>
      </c>
      <c r="H148" s="29">
        <f t="shared" si="23"/>
        <v>0.71440096813231146</v>
      </c>
    </row>
    <row r="149" spans="1:8" x14ac:dyDescent="0.25">
      <c r="A149">
        <f t="shared" si="25"/>
        <v>2024</v>
      </c>
      <c r="B149" s="25">
        <v>45444</v>
      </c>
      <c r="C149" s="37">
        <v>8181</v>
      </c>
      <c r="D149" s="37">
        <f t="shared" si="24"/>
        <v>5341</v>
      </c>
      <c r="E149" s="36">
        <v>13522</v>
      </c>
      <c r="F149" s="558">
        <f t="shared" si="22"/>
        <v>0.6050140511758616</v>
      </c>
      <c r="G149" s="552">
        <v>11694</v>
      </c>
      <c r="H149" s="18">
        <f t="shared" si="23"/>
        <v>0.69958953309389427</v>
      </c>
    </row>
    <row r="150" spans="1:8" x14ac:dyDescent="0.25">
      <c r="A150">
        <f t="shared" si="25"/>
        <v>2024</v>
      </c>
      <c r="B150" s="25">
        <v>45536</v>
      </c>
      <c r="C150" s="26">
        <v>7738</v>
      </c>
      <c r="D150" s="26">
        <f t="shared" si="24"/>
        <v>4909</v>
      </c>
      <c r="E150" s="27">
        <v>12647</v>
      </c>
      <c r="F150" s="557">
        <f t="shared" si="22"/>
        <v>0.61184470625444765</v>
      </c>
      <c r="G150" s="553">
        <v>10759</v>
      </c>
      <c r="H150" s="29">
        <f t="shared" si="23"/>
        <v>0.71921182266009853</v>
      </c>
    </row>
    <row r="151" spans="1:8" x14ac:dyDescent="0.25">
      <c r="A151">
        <f t="shared" si="25"/>
        <v>2024</v>
      </c>
      <c r="B151" s="25">
        <v>45627</v>
      </c>
      <c r="C151" s="37">
        <v>8884</v>
      </c>
      <c r="D151" s="37">
        <f t="shared" si="24"/>
        <v>5562</v>
      </c>
      <c r="E151" s="36">
        <v>14446</v>
      </c>
      <c r="F151" s="558">
        <f t="shared" si="22"/>
        <v>0.61497992523882039</v>
      </c>
      <c r="G151" s="552">
        <v>12349</v>
      </c>
      <c r="H151" s="18">
        <f t="shared" si="23"/>
        <v>0.71941047858126161</v>
      </c>
    </row>
    <row r="152" spans="1:8" x14ac:dyDescent="0.25">
      <c r="A152">
        <f t="shared" si="25"/>
        <v>2025</v>
      </c>
      <c r="B152" s="25">
        <v>45717</v>
      </c>
      <c r="C152" s="124">
        <v>7614</v>
      </c>
      <c r="D152" s="124">
        <f t="shared" si="24"/>
        <v>4570</v>
      </c>
      <c r="E152" s="125">
        <v>12184</v>
      </c>
      <c r="F152" s="559">
        <f t="shared" si="22"/>
        <v>0.6249179251477347</v>
      </c>
      <c r="G152" s="554">
        <v>10770</v>
      </c>
      <c r="H152" s="126">
        <f t="shared" si="23"/>
        <v>0.70696378830083562</v>
      </c>
    </row>
    <row r="153" spans="1:8" x14ac:dyDescent="0.25">
      <c r="A153">
        <f t="shared" si="25"/>
        <v>2025</v>
      </c>
      <c r="B153" s="25">
        <v>45809</v>
      </c>
      <c r="C153" s="37">
        <v>8752</v>
      </c>
      <c r="D153" s="37">
        <f t="shared" si="24"/>
        <v>5204</v>
      </c>
      <c r="E153" s="36">
        <v>13956</v>
      </c>
      <c r="F153" s="558">
        <f t="shared" si="22"/>
        <v>0.62711378618515334</v>
      </c>
      <c r="G153" s="552">
        <v>12734</v>
      </c>
      <c r="H153" s="18">
        <f t="shared" si="23"/>
        <v>0.68729385896026385</v>
      </c>
    </row>
    <row r="154" spans="1:8" x14ac:dyDescent="0.25">
      <c r="A154">
        <f t="shared" si="25"/>
        <v>2025</v>
      </c>
      <c r="B154" s="25">
        <v>45901</v>
      </c>
      <c r="C154" s="124">
        <v>8241</v>
      </c>
      <c r="D154" s="124">
        <f t="shared" si="24"/>
        <v>5077</v>
      </c>
      <c r="E154" s="536">
        <v>13318</v>
      </c>
      <c r="F154" s="559">
        <f t="shared" si="22"/>
        <v>0.61878660459528456</v>
      </c>
      <c r="G154" s="554">
        <v>11942</v>
      </c>
      <c r="H154" s="126">
        <f t="shared" si="23"/>
        <v>0.69008541282867186</v>
      </c>
    </row>
    <row r="155" spans="1:8" ht="15.75" thickBot="1" x14ac:dyDescent="0.3">
      <c r="A155">
        <f t="shared" si="25"/>
        <v>2025</v>
      </c>
      <c r="B155" s="48">
        <v>45992</v>
      </c>
      <c r="C155" s="127">
        <v>9202</v>
      </c>
      <c r="D155" s="127">
        <f t="shared" si="24"/>
        <v>5700</v>
      </c>
      <c r="E155" s="537">
        <v>14902</v>
      </c>
      <c r="F155" s="560">
        <f t="shared" si="22"/>
        <v>0.61750100657629847</v>
      </c>
      <c r="G155" s="555">
        <v>13853</v>
      </c>
      <c r="H155" s="128">
        <f t="shared" si="23"/>
        <v>0.66426044900021652</v>
      </c>
    </row>
    <row r="156" spans="1:8" x14ac:dyDescent="0.25">
      <c r="A156">
        <f t="shared" si="25"/>
        <v>1900</v>
      </c>
      <c r="E156" s="50"/>
    </row>
    <row r="157" spans="1:8" x14ac:dyDescent="0.25">
      <c r="A157">
        <f t="shared" si="25"/>
        <v>1900</v>
      </c>
      <c r="E157" s="50"/>
    </row>
    <row r="158" spans="1:8" x14ac:dyDescent="0.25">
      <c r="A158">
        <f t="shared" si="25"/>
        <v>1900</v>
      </c>
      <c r="E158" s="50"/>
    </row>
    <row r="159" spans="1:8" x14ac:dyDescent="0.25">
      <c r="A159">
        <f t="shared" si="25"/>
        <v>1900</v>
      </c>
      <c r="E159" s="50"/>
    </row>
    <row r="160" spans="1:8" x14ac:dyDescent="0.25">
      <c r="A160">
        <f t="shared" si="25"/>
        <v>1900</v>
      </c>
      <c r="E160" s="50"/>
    </row>
    <row r="161" spans="1:5" x14ac:dyDescent="0.25">
      <c r="A161">
        <f t="shared" si="25"/>
        <v>1900</v>
      </c>
      <c r="E161" s="50"/>
    </row>
    <row r="162" spans="1:5" x14ac:dyDescent="0.25">
      <c r="A162">
        <f t="shared" si="25"/>
        <v>1900</v>
      </c>
      <c r="E162" s="50"/>
    </row>
    <row r="163" spans="1:5" x14ac:dyDescent="0.25">
      <c r="A163">
        <f t="shared" si="25"/>
        <v>1900</v>
      </c>
      <c r="E163" s="50"/>
    </row>
    <row r="164" spans="1:5" x14ac:dyDescent="0.25">
      <c r="A164">
        <f t="shared" si="25"/>
        <v>1900</v>
      </c>
      <c r="E164" s="50"/>
    </row>
    <row r="165" spans="1:5" x14ac:dyDescent="0.25">
      <c r="A165">
        <f t="shared" si="25"/>
        <v>1900</v>
      </c>
      <c r="E165" s="50"/>
    </row>
    <row r="166" spans="1:5" x14ac:dyDescent="0.25">
      <c r="A166">
        <f t="shared" si="25"/>
        <v>1900</v>
      </c>
      <c r="E166" s="50"/>
    </row>
    <row r="167" spans="1:5" x14ac:dyDescent="0.25">
      <c r="A167">
        <f t="shared" si="25"/>
        <v>1900</v>
      </c>
      <c r="E167" s="50"/>
    </row>
    <row r="168" spans="1:5" x14ac:dyDescent="0.25">
      <c r="A168">
        <f t="shared" si="25"/>
        <v>1900</v>
      </c>
      <c r="E168" s="50"/>
    </row>
    <row r="169" spans="1:5" x14ac:dyDescent="0.25">
      <c r="A169">
        <f t="shared" si="25"/>
        <v>1900</v>
      </c>
      <c r="E169" s="50"/>
    </row>
    <row r="170" spans="1:5" x14ac:dyDescent="0.25">
      <c r="A170">
        <f t="shared" si="25"/>
        <v>1900</v>
      </c>
      <c r="E170" s="50"/>
    </row>
    <row r="171" spans="1:5" x14ac:dyDescent="0.25">
      <c r="A171">
        <f t="shared" si="25"/>
        <v>1900</v>
      </c>
      <c r="E171" s="50"/>
    </row>
    <row r="172" spans="1:5" x14ac:dyDescent="0.25">
      <c r="A172">
        <f t="shared" si="25"/>
        <v>1900</v>
      </c>
      <c r="E172" s="50"/>
    </row>
    <row r="173" spans="1:5" x14ac:dyDescent="0.25">
      <c r="A173">
        <f t="shared" si="25"/>
        <v>1900</v>
      </c>
      <c r="E173" s="50"/>
    </row>
    <row r="174" spans="1:5" x14ac:dyDescent="0.25">
      <c r="A174">
        <f t="shared" si="25"/>
        <v>1900</v>
      </c>
      <c r="E174" s="50"/>
    </row>
    <row r="175" spans="1:5" x14ac:dyDescent="0.25">
      <c r="A175">
        <f t="shared" si="25"/>
        <v>1900</v>
      </c>
      <c r="E175" s="50"/>
    </row>
    <row r="176" spans="1:5" x14ac:dyDescent="0.25">
      <c r="A176">
        <f t="shared" si="25"/>
        <v>1900</v>
      </c>
      <c r="E176" s="50"/>
    </row>
    <row r="177" spans="1:5" x14ac:dyDescent="0.25">
      <c r="A177">
        <f t="shared" si="25"/>
        <v>1900</v>
      </c>
      <c r="E177" s="50"/>
    </row>
    <row r="178" spans="1:5" x14ac:dyDescent="0.25">
      <c r="A178">
        <f t="shared" si="25"/>
        <v>1900</v>
      </c>
      <c r="E178" s="50"/>
    </row>
    <row r="179" spans="1:5" x14ac:dyDescent="0.25">
      <c r="A179">
        <f t="shared" si="25"/>
        <v>1900</v>
      </c>
      <c r="E179" s="50"/>
    </row>
    <row r="180" spans="1:5" x14ac:dyDescent="0.25">
      <c r="A180">
        <f t="shared" si="25"/>
        <v>1900</v>
      </c>
      <c r="E180" s="50"/>
    </row>
    <row r="181" spans="1:5" x14ac:dyDescent="0.25">
      <c r="A181">
        <f t="shared" si="25"/>
        <v>1900</v>
      </c>
      <c r="E181" s="50"/>
    </row>
    <row r="182" spans="1:5" x14ac:dyDescent="0.25">
      <c r="A182">
        <f t="shared" si="25"/>
        <v>1900</v>
      </c>
      <c r="E182" s="50"/>
    </row>
    <row r="183" spans="1:5" x14ac:dyDescent="0.25">
      <c r="A183">
        <f t="shared" si="25"/>
        <v>1900</v>
      </c>
      <c r="E183" s="50"/>
    </row>
    <row r="184" spans="1:5" x14ac:dyDescent="0.25">
      <c r="A184">
        <f t="shared" si="25"/>
        <v>1900</v>
      </c>
      <c r="E184" s="50"/>
    </row>
    <row r="185" spans="1:5" x14ac:dyDescent="0.25">
      <c r="A185">
        <f t="shared" si="25"/>
        <v>1900</v>
      </c>
      <c r="E185" s="50"/>
    </row>
    <row r="186" spans="1:5" x14ac:dyDescent="0.25">
      <c r="A186">
        <f t="shared" si="25"/>
        <v>1900</v>
      </c>
    </row>
    <row r="187" spans="1:5" x14ac:dyDescent="0.25">
      <c r="A187">
        <f t="shared" si="25"/>
        <v>1900</v>
      </c>
    </row>
    <row r="188" spans="1:5" x14ac:dyDescent="0.25">
      <c r="A188">
        <f t="shared" si="25"/>
        <v>1900</v>
      </c>
    </row>
    <row r="189" spans="1:5" x14ac:dyDescent="0.25">
      <c r="A189">
        <f t="shared" si="25"/>
        <v>1900</v>
      </c>
    </row>
    <row r="190" spans="1:5" x14ac:dyDescent="0.25">
      <c r="A190">
        <f t="shared" si="25"/>
        <v>1900</v>
      </c>
    </row>
    <row r="191" spans="1:5" x14ac:dyDescent="0.25">
      <c r="A191">
        <f t="shared" si="25"/>
        <v>1900</v>
      </c>
    </row>
    <row r="192" spans="1:5" x14ac:dyDescent="0.25">
      <c r="A192">
        <f t="shared" si="25"/>
        <v>1900</v>
      </c>
    </row>
    <row r="193" spans="1:1" x14ac:dyDescent="0.25">
      <c r="A193">
        <f t="shared" si="25"/>
        <v>1900</v>
      </c>
    </row>
    <row r="194" spans="1:1" x14ac:dyDescent="0.25">
      <c r="A194">
        <f t="shared" si="25"/>
        <v>1900</v>
      </c>
    </row>
    <row r="195" spans="1:1" x14ac:dyDescent="0.25">
      <c r="A195">
        <f t="shared" si="25"/>
        <v>1900</v>
      </c>
    </row>
    <row r="196" spans="1:1" x14ac:dyDescent="0.25">
      <c r="A196">
        <f t="shared" si="25"/>
        <v>1900</v>
      </c>
    </row>
    <row r="197" spans="1:1" x14ac:dyDescent="0.25">
      <c r="A197">
        <f t="shared" si="25"/>
        <v>1900</v>
      </c>
    </row>
    <row r="198" spans="1:1" x14ac:dyDescent="0.25">
      <c r="A198">
        <f t="shared" si="25"/>
        <v>1900</v>
      </c>
    </row>
    <row r="199" spans="1:1" x14ac:dyDescent="0.25">
      <c r="A199">
        <f t="shared" si="25"/>
        <v>1900</v>
      </c>
    </row>
    <row r="200" spans="1:1" x14ac:dyDescent="0.25">
      <c r="A200">
        <f t="shared" si="25"/>
        <v>1900</v>
      </c>
    </row>
    <row r="201" spans="1:1" x14ac:dyDescent="0.25">
      <c r="A201">
        <f t="shared" si="25"/>
        <v>1900</v>
      </c>
    </row>
    <row r="202" spans="1:1" x14ac:dyDescent="0.25">
      <c r="A202">
        <f t="shared" si="25"/>
        <v>1900</v>
      </c>
    </row>
    <row r="203" spans="1:1" x14ac:dyDescent="0.25">
      <c r="A203">
        <f t="shared" ref="A203:A266" si="26">YEAR(B203)</f>
        <v>1900</v>
      </c>
    </row>
    <row r="204" spans="1:1" x14ac:dyDescent="0.25">
      <c r="A204">
        <f t="shared" si="26"/>
        <v>1900</v>
      </c>
    </row>
    <row r="205" spans="1:1" x14ac:dyDescent="0.25">
      <c r="A205">
        <f t="shared" si="26"/>
        <v>1900</v>
      </c>
    </row>
    <row r="206" spans="1:1" x14ac:dyDescent="0.25">
      <c r="A206">
        <f t="shared" si="26"/>
        <v>1900</v>
      </c>
    </row>
    <row r="207" spans="1:1" x14ac:dyDescent="0.25">
      <c r="A207">
        <f t="shared" si="26"/>
        <v>1900</v>
      </c>
    </row>
    <row r="208" spans="1:1" x14ac:dyDescent="0.25">
      <c r="A208">
        <f t="shared" si="26"/>
        <v>1900</v>
      </c>
    </row>
    <row r="209" spans="1:1" x14ac:dyDescent="0.25">
      <c r="A209">
        <f t="shared" si="26"/>
        <v>1900</v>
      </c>
    </row>
    <row r="210" spans="1:1" x14ac:dyDescent="0.25">
      <c r="A210">
        <f t="shared" si="26"/>
        <v>1900</v>
      </c>
    </row>
    <row r="211" spans="1:1" x14ac:dyDescent="0.25">
      <c r="A211">
        <f t="shared" si="26"/>
        <v>1900</v>
      </c>
    </row>
    <row r="212" spans="1:1" x14ac:dyDescent="0.25">
      <c r="A212">
        <f t="shared" si="26"/>
        <v>1900</v>
      </c>
    </row>
    <row r="213" spans="1:1" x14ac:dyDescent="0.25">
      <c r="A213">
        <f t="shared" si="26"/>
        <v>1900</v>
      </c>
    </row>
    <row r="214" spans="1:1" x14ac:dyDescent="0.25">
      <c r="A214">
        <f t="shared" si="26"/>
        <v>1900</v>
      </c>
    </row>
    <row r="215" spans="1:1" x14ac:dyDescent="0.25">
      <c r="A215">
        <f t="shared" si="26"/>
        <v>1900</v>
      </c>
    </row>
    <row r="216" spans="1:1" x14ac:dyDescent="0.25">
      <c r="A216">
        <f t="shared" si="26"/>
        <v>1900</v>
      </c>
    </row>
    <row r="217" spans="1:1" x14ac:dyDescent="0.25">
      <c r="A217">
        <f t="shared" si="26"/>
        <v>1900</v>
      </c>
    </row>
    <row r="218" spans="1:1" x14ac:dyDescent="0.25">
      <c r="A218">
        <f t="shared" si="26"/>
        <v>1900</v>
      </c>
    </row>
    <row r="219" spans="1:1" x14ac:dyDescent="0.25">
      <c r="A219">
        <f t="shared" si="26"/>
        <v>1900</v>
      </c>
    </row>
    <row r="220" spans="1:1" x14ac:dyDescent="0.25">
      <c r="A220">
        <f t="shared" si="26"/>
        <v>1900</v>
      </c>
    </row>
    <row r="221" spans="1:1" x14ac:dyDescent="0.25">
      <c r="A221">
        <f t="shared" si="26"/>
        <v>1900</v>
      </c>
    </row>
    <row r="222" spans="1:1" x14ac:dyDescent="0.25">
      <c r="A222">
        <f t="shared" si="26"/>
        <v>1900</v>
      </c>
    </row>
    <row r="223" spans="1:1" x14ac:dyDescent="0.25">
      <c r="A223">
        <f t="shared" si="26"/>
        <v>1900</v>
      </c>
    </row>
    <row r="224" spans="1:1" x14ac:dyDescent="0.25">
      <c r="A224">
        <f t="shared" si="26"/>
        <v>1900</v>
      </c>
    </row>
    <row r="225" spans="1:1" x14ac:dyDescent="0.25">
      <c r="A225">
        <f t="shared" si="26"/>
        <v>1900</v>
      </c>
    </row>
    <row r="226" spans="1:1" x14ac:dyDescent="0.25">
      <c r="A226">
        <f t="shared" si="26"/>
        <v>1900</v>
      </c>
    </row>
    <row r="227" spans="1:1" x14ac:dyDescent="0.25">
      <c r="A227">
        <f t="shared" si="26"/>
        <v>1900</v>
      </c>
    </row>
    <row r="228" spans="1:1" x14ac:dyDescent="0.25">
      <c r="A228">
        <f t="shared" si="26"/>
        <v>1900</v>
      </c>
    </row>
    <row r="229" spans="1:1" x14ac:dyDescent="0.25">
      <c r="A229">
        <f t="shared" si="26"/>
        <v>1900</v>
      </c>
    </row>
    <row r="230" spans="1:1" x14ac:dyDescent="0.25">
      <c r="A230">
        <f t="shared" si="26"/>
        <v>1900</v>
      </c>
    </row>
    <row r="231" spans="1:1" x14ac:dyDescent="0.25">
      <c r="A231">
        <f t="shared" si="26"/>
        <v>1900</v>
      </c>
    </row>
    <row r="232" spans="1:1" x14ac:dyDescent="0.25">
      <c r="A232">
        <f t="shared" si="26"/>
        <v>1900</v>
      </c>
    </row>
    <row r="233" spans="1:1" x14ac:dyDescent="0.25">
      <c r="A233">
        <f t="shared" si="26"/>
        <v>1900</v>
      </c>
    </row>
    <row r="234" spans="1:1" x14ac:dyDescent="0.25">
      <c r="A234">
        <f t="shared" si="26"/>
        <v>1900</v>
      </c>
    </row>
    <row r="235" spans="1:1" x14ac:dyDescent="0.25">
      <c r="A235">
        <f t="shared" si="26"/>
        <v>1900</v>
      </c>
    </row>
    <row r="236" spans="1:1" x14ac:dyDescent="0.25">
      <c r="A236">
        <f t="shared" si="26"/>
        <v>1900</v>
      </c>
    </row>
    <row r="237" spans="1:1" x14ac:dyDescent="0.25">
      <c r="A237">
        <f t="shared" si="26"/>
        <v>1900</v>
      </c>
    </row>
    <row r="238" spans="1:1" x14ac:dyDescent="0.25">
      <c r="A238">
        <f t="shared" si="26"/>
        <v>1900</v>
      </c>
    </row>
    <row r="239" spans="1:1" x14ac:dyDescent="0.25">
      <c r="A239">
        <f t="shared" si="26"/>
        <v>1900</v>
      </c>
    </row>
    <row r="240" spans="1:1" x14ac:dyDescent="0.25">
      <c r="A240">
        <f t="shared" si="26"/>
        <v>1900</v>
      </c>
    </row>
    <row r="241" spans="1:1" x14ac:dyDescent="0.25">
      <c r="A241">
        <f t="shared" si="26"/>
        <v>1900</v>
      </c>
    </row>
    <row r="242" spans="1:1" x14ac:dyDescent="0.25">
      <c r="A242">
        <f t="shared" si="26"/>
        <v>1900</v>
      </c>
    </row>
    <row r="243" spans="1:1" x14ac:dyDescent="0.25">
      <c r="A243">
        <f t="shared" si="26"/>
        <v>1900</v>
      </c>
    </row>
    <row r="244" spans="1:1" x14ac:dyDescent="0.25">
      <c r="A244">
        <f t="shared" si="26"/>
        <v>1900</v>
      </c>
    </row>
    <row r="245" spans="1:1" x14ac:dyDescent="0.25">
      <c r="A245">
        <f t="shared" si="26"/>
        <v>1900</v>
      </c>
    </row>
    <row r="246" spans="1:1" x14ac:dyDescent="0.25">
      <c r="A246">
        <f t="shared" si="26"/>
        <v>1900</v>
      </c>
    </row>
    <row r="247" spans="1:1" x14ac:dyDescent="0.25">
      <c r="A247">
        <f t="shared" si="26"/>
        <v>1900</v>
      </c>
    </row>
    <row r="248" spans="1:1" x14ac:dyDescent="0.25">
      <c r="A248">
        <f t="shared" si="26"/>
        <v>1900</v>
      </c>
    </row>
    <row r="249" spans="1:1" x14ac:dyDescent="0.25">
      <c r="A249">
        <f t="shared" si="26"/>
        <v>1900</v>
      </c>
    </row>
    <row r="250" spans="1:1" x14ac:dyDescent="0.25">
      <c r="A250">
        <f t="shared" si="26"/>
        <v>1900</v>
      </c>
    </row>
    <row r="251" spans="1:1" x14ac:dyDescent="0.25">
      <c r="A251">
        <f t="shared" si="26"/>
        <v>1900</v>
      </c>
    </row>
    <row r="252" spans="1:1" x14ac:dyDescent="0.25">
      <c r="A252">
        <f t="shared" si="26"/>
        <v>1900</v>
      </c>
    </row>
    <row r="253" spans="1:1" x14ac:dyDescent="0.25">
      <c r="A253">
        <f t="shared" si="26"/>
        <v>1900</v>
      </c>
    </row>
    <row r="254" spans="1:1" x14ac:dyDescent="0.25">
      <c r="A254">
        <f t="shared" si="26"/>
        <v>1900</v>
      </c>
    </row>
    <row r="255" spans="1:1" x14ac:dyDescent="0.25">
      <c r="A255">
        <f t="shared" si="26"/>
        <v>1900</v>
      </c>
    </row>
    <row r="256" spans="1:1" x14ac:dyDescent="0.25">
      <c r="A256">
        <f t="shared" si="26"/>
        <v>1900</v>
      </c>
    </row>
    <row r="257" spans="1:1" x14ac:dyDescent="0.25">
      <c r="A257">
        <f t="shared" si="26"/>
        <v>1900</v>
      </c>
    </row>
    <row r="258" spans="1:1" x14ac:dyDescent="0.25">
      <c r="A258">
        <f t="shared" si="26"/>
        <v>1900</v>
      </c>
    </row>
    <row r="259" spans="1:1" x14ac:dyDescent="0.25">
      <c r="A259">
        <f t="shared" si="26"/>
        <v>1900</v>
      </c>
    </row>
    <row r="260" spans="1:1" x14ac:dyDescent="0.25">
      <c r="A260">
        <f t="shared" si="26"/>
        <v>1900</v>
      </c>
    </row>
    <row r="261" spans="1:1" x14ac:dyDescent="0.25">
      <c r="A261">
        <f t="shared" si="26"/>
        <v>1900</v>
      </c>
    </row>
    <row r="262" spans="1:1" x14ac:dyDescent="0.25">
      <c r="A262">
        <f t="shared" si="26"/>
        <v>1900</v>
      </c>
    </row>
    <row r="263" spans="1:1" x14ac:dyDescent="0.25">
      <c r="A263">
        <f t="shared" si="26"/>
        <v>1900</v>
      </c>
    </row>
    <row r="264" spans="1:1" x14ac:dyDescent="0.25">
      <c r="A264">
        <f t="shared" si="26"/>
        <v>1900</v>
      </c>
    </row>
    <row r="265" spans="1:1" x14ac:dyDescent="0.25">
      <c r="A265">
        <f t="shared" si="26"/>
        <v>1900</v>
      </c>
    </row>
    <row r="266" spans="1:1" x14ac:dyDescent="0.25">
      <c r="A266">
        <f t="shared" si="26"/>
        <v>1900</v>
      </c>
    </row>
    <row r="267" spans="1:1" x14ac:dyDescent="0.25">
      <c r="A267">
        <f t="shared" ref="A267:A330" si="27">YEAR(B267)</f>
        <v>1900</v>
      </c>
    </row>
    <row r="268" spans="1:1" x14ac:dyDescent="0.25">
      <c r="A268">
        <f t="shared" si="27"/>
        <v>1900</v>
      </c>
    </row>
    <row r="269" spans="1:1" x14ac:dyDescent="0.25">
      <c r="A269">
        <f t="shared" si="27"/>
        <v>1900</v>
      </c>
    </row>
    <row r="270" spans="1:1" x14ac:dyDescent="0.25">
      <c r="A270">
        <f t="shared" si="27"/>
        <v>1900</v>
      </c>
    </row>
    <row r="271" spans="1:1" x14ac:dyDescent="0.25">
      <c r="A271">
        <f t="shared" si="27"/>
        <v>1900</v>
      </c>
    </row>
    <row r="272" spans="1:1" x14ac:dyDescent="0.25">
      <c r="A272">
        <f t="shared" si="27"/>
        <v>1900</v>
      </c>
    </row>
    <row r="273" spans="1:1" x14ac:dyDescent="0.25">
      <c r="A273">
        <f t="shared" si="27"/>
        <v>1900</v>
      </c>
    </row>
    <row r="274" spans="1:1" x14ac:dyDescent="0.25">
      <c r="A274">
        <f t="shared" si="27"/>
        <v>1900</v>
      </c>
    </row>
    <row r="275" spans="1:1" x14ac:dyDescent="0.25">
      <c r="A275">
        <f t="shared" si="27"/>
        <v>1900</v>
      </c>
    </row>
    <row r="276" spans="1:1" x14ac:dyDescent="0.25">
      <c r="A276">
        <f t="shared" si="27"/>
        <v>1900</v>
      </c>
    </row>
    <row r="277" spans="1:1" x14ac:dyDescent="0.25">
      <c r="A277">
        <f t="shared" si="27"/>
        <v>1900</v>
      </c>
    </row>
    <row r="278" spans="1:1" x14ac:dyDescent="0.25">
      <c r="A278">
        <f t="shared" si="27"/>
        <v>1900</v>
      </c>
    </row>
    <row r="279" spans="1:1" x14ac:dyDescent="0.25">
      <c r="A279">
        <f t="shared" si="27"/>
        <v>1900</v>
      </c>
    </row>
    <row r="280" spans="1:1" x14ac:dyDescent="0.25">
      <c r="A280">
        <f t="shared" si="27"/>
        <v>1900</v>
      </c>
    </row>
    <row r="281" spans="1:1" x14ac:dyDescent="0.25">
      <c r="A281">
        <f t="shared" si="27"/>
        <v>1900</v>
      </c>
    </row>
    <row r="282" spans="1:1" x14ac:dyDescent="0.25">
      <c r="A282">
        <f t="shared" si="27"/>
        <v>1900</v>
      </c>
    </row>
    <row r="283" spans="1:1" x14ac:dyDescent="0.25">
      <c r="A283">
        <f t="shared" si="27"/>
        <v>1900</v>
      </c>
    </row>
    <row r="284" spans="1:1" x14ac:dyDescent="0.25">
      <c r="A284">
        <f t="shared" si="27"/>
        <v>1900</v>
      </c>
    </row>
    <row r="285" spans="1:1" x14ac:dyDescent="0.25">
      <c r="A285">
        <f t="shared" si="27"/>
        <v>1900</v>
      </c>
    </row>
    <row r="286" spans="1:1" x14ac:dyDescent="0.25">
      <c r="A286">
        <f t="shared" si="27"/>
        <v>1900</v>
      </c>
    </row>
    <row r="287" spans="1:1" x14ac:dyDescent="0.25">
      <c r="A287">
        <f t="shared" si="27"/>
        <v>1900</v>
      </c>
    </row>
    <row r="288" spans="1:1" x14ac:dyDescent="0.25">
      <c r="A288">
        <f t="shared" si="27"/>
        <v>1900</v>
      </c>
    </row>
    <row r="289" spans="1:1" x14ac:dyDescent="0.25">
      <c r="A289">
        <f t="shared" si="27"/>
        <v>1900</v>
      </c>
    </row>
    <row r="290" spans="1:1" x14ac:dyDescent="0.25">
      <c r="A290">
        <f t="shared" si="27"/>
        <v>1900</v>
      </c>
    </row>
    <row r="291" spans="1:1" x14ac:dyDescent="0.25">
      <c r="A291">
        <f t="shared" si="27"/>
        <v>1900</v>
      </c>
    </row>
    <row r="292" spans="1:1" x14ac:dyDescent="0.25">
      <c r="A292">
        <f t="shared" si="27"/>
        <v>1900</v>
      </c>
    </row>
    <row r="293" spans="1:1" x14ac:dyDescent="0.25">
      <c r="A293">
        <f t="shared" si="27"/>
        <v>1900</v>
      </c>
    </row>
    <row r="294" spans="1:1" x14ac:dyDescent="0.25">
      <c r="A294">
        <f t="shared" si="27"/>
        <v>1900</v>
      </c>
    </row>
    <row r="295" spans="1:1" x14ac:dyDescent="0.25">
      <c r="A295">
        <f t="shared" si="27"/>
        <v>1900</v>
      </c>
    </row>
    <row r="296" spans="1:1" x14ac:dyDescent="0.25">
      <c r="A296">
        <f t="shared" si="27"/>
        <v>1900</v>
      </c>
    </row>
    <row r="297" spans="1:1" x14ac:dyDescent="0.25">
      <c r="A297">
        <f t="shared" si="27"/>
        <v>1900</v>
      </c>
    </row>
    <row r="298" spans="1:1" x14ac:dyDescent="0.25">
      <c r="A298">
        <f t="shared" si="27"/>
        <v>1900</v>
      </c>
    </row>
    <row r="299" spans="1:1" x14ac:dyDescent="0.25">
      <c r="A299">
        <f t="shared" si="27"/>
        <v>1900</v>
      </c>
    </row>
    <row r="300" spans="1:1" x14ac:dyDescent="0.25">
      <c r="A300">
        <f t="shared" si="27"/>
        <v>1900</v>
      </c>
    </row>
    <row r="301" spans="1:1" x14ac:dyDescent="0.25">
      <c r="A301">
        <f t="shared" si="27"/>
        <v>1900</v>
      </c>
    </row>
    <row r="302" spans="1:1" x14ac:dyDescent="0.25">
      <c r="A302">
        <f t="shared" si="27"/>
        <v>1900</v>
      </c>
    </row>
    <row r="303" spans="1:1" x14ac:dyDescent="0.25">
      <c r="A303">
        <f t="shared" si="27"/>
        <v>1900</v>
      </c>
    </row>
    <row r="304" spans="1:1" x14ac:dyDescent="0.25">
      <c r="A304">
        <f t="shared" si="27"/>
        <v>1900</v>
      </c>
    </row>
    <row r="305" spans="1:1" x14ac:dyDescent="0.25">
      <c r="A305">
        <f t="shared" si="27"/>
        <v>1900</v>
      </c>
    </row>
    <row r="306" spans="1:1" x14ac:dyDescent="0.25">
      <c r="A306">
        <f t="shared" si="27"/>
        <v>1900</v>
      </c>
    </row>
    <row r="307" spans="1:1" x14ac:dyDescent="0.25">
      <c r="A307">
        <f t="shared" si="27"/>
        <v>1900</v>
      </c>
    </row>
    <row r="308" spans="1:1" x14ac:dyDescent="0.25">
      <c r="A308">
        <f t="shared" si="27"/>
        <v>1900</v>
      </c>
    </row>
    <row r="309" spans="1:1" x14ac:dyDescent="0.25">
      <c r="A309">
        <f t="shared" si="27"/>
        <v>1900</v>
      </c>
    </row>
    <row r="310" spans="1:1" x14ac:dyDescent="0.25">
      <c r="A310">
        <f t="shared" si="27"/>
        <v>1900</v>
      </c>
    </row>
    <row r="311" spans="1:1" x14ac:dyDescent="0.25">
      <c r="A311">
        <f t="shared" si="27"/>
        <v>1900</v>
      </c>
    </row>
    <row r="312" spans="1:1" x14ac:dyDescent="0.25">
      <c r="A312">
        <f t="shared" si="27"/>
        <v>1900</v>
      </c>
    </row>
    <row r="313" spans="1:1" x14ac:dyDescent="0.25">
      <c r="A313">
        <f t="shared" si="27"/>
        <v>1900</v>
      </c>
    </row>
    <row r="314" spans="1:1" x14ac:dyDescent="0.25">
      <c r="A314">
        <f t="shared" si="27"/>
        <v>1900</v>
      </c>
    </row>
    <row r="315" spans="1:1" x14ac:dyDescent="0.25">
      <c r="A315">
        <f t="shared" si="27"/>
        <v>1900</v>
      </c>
    </row>
    <row r="316" spans="1:1" x14ac:dyDescent="0.25">
      <c r="A316">
        <f t="shared" si="27"/>
        <v>1900</v>
      </c>
    </row>
    <row r="317" spans="1:1" x14ac:dyDescent="0.25">
      <c r="A317">
        <f t="shared" si="27"/>
        <v>1900</v>
      </c>
    </row>
    <row r="318" spans="1:1" x14ac:dyDescent="0.25">
      <c r="A318">
        <f t="shared" si="27"/>
        <v>1900</v>
      </c>
    </row>
    <row r="319" spans="1:1" x14ac:dyDescent="0.25">
      <c r="A319">
        <f t="shared" si="27"/>
        <v>1900</v>
      </c>
    </row>
    <row r="320" spans="1:1" x14ac:dyDescent="0.25">
      <c r="A320">
        <f t="shared" si="27"/>
        <v>1900</v>
      </c>
    </row>
    <row r="321" spans="1:1" x14ac:dyDescent="0.25">
      <c r="A321">
        <f t="shared" si="27"/>
        <v>1900</v>
      </c>
    </row>
    <row r="322" spans="1:1" x14ac:dyDescent="0.25">
      <c r="A322">
        <f t="shared" si="27"/>
        <v>1900</v>
      </c>
    </row>
    <row r="323" spans="1:1" x14ac:dyDescent="0.25">
      <c r="A323">
        <f t="shared" si="27"/>
        <v>1900</v>
      </c>
    </row>
    <row r="324" spans="1:1" x14ac:dyDescent="0.25">
      <c r="A324">
        <f t="shared" si="27"/>
        <v>1900</v>
      </c>
    </row>
    <row r="325" spans="1:1" x14ac:dyDescent="0.25">
      <c r="A325">
        <f t="shared" si="27"/>
        <v>1900</v>
      </c>
    </row>
    <row r="326" spans="1:1" x14ac:dyDescent="0.25">
      <c r="A326">
        <f t="shared" si="27"/>
        <v>1900</v>
      </c>
    </row>
    <row r="327" spans="1:1" x14ac:dyDescent="0.25">
      <c r="A327">
        <f t="shared" si="27"/>
        <v>1900</v>
      </c>
    </row>
    <row r="328" spans="1:1" x14ac:dyDescent="0.25">
      <c r="A328">
        <f t="shared" si="27"/>
        <v>1900</v>
      </c>
    </row>
    <row r="329" spans="1:1" x14ac:dyDescent="0.25">
      <c r="A329">
        <f t="shared" si="27"/>
        <v>1900</v>
      </c>
    </row>
    <row r="330" spans="1:1" x14ac:dyDescent="0.25">
      <c r="A330">
        <f t="shared" si="27"/>
        <v>1900</v>
      </c>
    </row>
    <row r="331" spans="1:1" x14ac:dyDescent="0.25">
      <c r="A331">
        <f t="shared" ref="A331:A394" si="28">YEAR(B331)</f>
        <v>1900</v>
      </c>
    </row>
    <row r="332" spans="1:1" x14ac:dyDescent="0.25">
      <c r="A332">
        <f t="shared" si="28"/>
        <v>1900</v>
      </c>
    </row>
    <row r="333" spans="1:1" x14ac:dyDescent="0.25">
      <c r="A333">
        <f t="shared" si="28"/>
        <v>1900</v>
      </c>
    </row>
    <row r="334" spans="1:1" x14ac:dyDescent="0.25">
      <c r="A334">
        <f t="shared" si="28"/>
        <v>1900</v>
      </c>
    </row>
    <row r="335" spans="1:1" x14ac:dyDescent="0.25">
      <c r="A335">
        <f t="shared" si="28"/>
        <v>1900</v>
      </c>
    </row>
    <row r="336" spans="1:1" x14ac:dyDescent="0.25">
      <c r="A336">
        <f t="shared" si="28"/>
        <v>1900</v>
      </c>
    </row>
    <row r="337" spans="1:1" x14ac:dyDescent="0.25">
      <c r="A337">
        <f t="shared" si="28"/>
        <v>1900</v>
      </c>
    </row>
    <row r="338" spans="1:1" x14ac:dyDescent="0.25">
      <c r="A338">
        <f t="shared" si="28"/>
        <v>1900</v>
      </c>
    </row>
    <row r="339" spans="1:1" x14ac:dyDescent="0.25">
      <c r="A339">
        <f t="shared" si="28"/>
        <v>1900</v>
      </c>
    </row>
    <row r="340" spans="1:1" x14ac:dyDescent="0.25">
      <c r="A340">
        <f t="shared" si="28"/>
        <v>1900</v>
      </c>
    </row>
    <row r="341" spans="1:1" x14ac:dyDescent="0.25">
      <c r="A341">
        <f t="shared" si="28"/>
        <v>1900</v>
      </c>
    </row>
    <row r="342" spans="1:1" x14ac:dyDescent="0.25">
      <c r="A342">
        <f t="shared" si="28"/>
        <v>1900</v>
      </c>
    </row>
    <row r="343" spans="1:1" x14ac:dyDescent="0.25">
      <c r="A343">
        <f t="shared" si="28"/>
        <v>1900</v>
      </c>
    </row>
    <row r="344" spans="1:1" x14ac:dyDescent="0.25">
      <c r="A344">
        <f t="shared" si="28"/>
        <v>1900</v>
      </c>
    </row>
    <row r="345" spans="1:1" x14ac:dyDescent="0.25">
      <c r="A345">
        <f t="shared" si="28"/>
        <v>1900</v>
      </c>
    </row>
    <row r="346" spans="1:1" x14ac:dyDescent="0.25">
      <c r="A346">
        <f t="shared" si="28"/>
        <v>1900</v>
      </c>
    </row>
    <row r="347" spans="1:1" x14ac:dyDescent="0.25">
      <c r="A347">
        <f t="shared" si="28"/>
        <v>1900</v>
      </c>
    </row>
    <row r="348" spans="1:1" x14ac:dyDescent="0.25">
      <c r="A348">
        <f t="shared" si="28"/>
        <v>1900</v>
      </c>
    </row>
    <row r="349" spans="1:1" x14ac:dyDescent="0.25">
      <c r="A349">
        <f t="shared" si="28"/>
        <v>1900</v>
      </c>
    </row>
    <row r="350" spans="1:1" x14ac:dyDescent="0.25">
      <c r="A350">
        <f t="shared" si="28"/>
        <v>1900</v>
      </c>
    </row>
    <row r="351" spans="1:1" x14ac:dyDescent="0.25">
      <c r="A351">
        <f t="shared" si="28"/>
        <v>1900</v>
      </c>
    </row>
    <row r="352" spans="1:1" x14ac:dyDescent="0.25">
      <c r="A352">
        <f t="shared" si="28"/>
        <v>1900</v>
      </c>
    </row>
    <row r="353" spans="1:1" x14ac:dyDescent="0.25">
      <c r="A353">
        <f t="shared" si="28"/>
        <v>1900</v>
      </c>
    </row>
    <row r="354" spans="1:1" x14ac:dyDescent="0.25">
      <c r="A354">
        <f t="shared" si="28"/>
        <v>1900</v>
      </c>
    </row>
    <row r="355" spans="1:1" x14ac:dyDescent="0.25">
      <c r="A355">
        <f t="shared" si="28"/>
        <v>1900</v>
      </c>
    </row>
    <row r="356" spans="1:1" x14ac:dyDescent="0.25">
      <c r="A356">
        <f t="shared" si="28"/>
        <v>1900</v>
      </c>
    </row>
    <row r="357" spans="1:1" x14ac:dyDescent="0.25">
      <c r="A357">
        <f t="shared" si="28"/>
        <v>1900</v>
      </c>
    </row>
    <row r="358" spans="1:1" x14ac:dyDescent="0.25">
      <c r="A358">
        <f t="shared" si="28"/>
        <v>1900</v>
      </c>
    </row>
    <row r="359" spans="1:1" x14ac:dyDescent="0.25">
      <c r="A359">
        <f t="shared" si="28"/>
        <v>1900</v>
      </c>
    </row>
    <row r="360" spans="1:1" x14ac:dyDescent="0.25">
      <c r="A360">
        <f t="shared" si="28"/>
        <v>1900</v>
      </c>
    </row>
    <row r="361" spans="1:1" x14ac:dyDescent="0.25">
      <c r="A361">
        <f t="shared" si="28"/>
        <v>1900</v>
      </c>
    </row>
    <row r="362" spans="1:1" x14ac:dyDescent="0.25">
      <c r="A362">
        <f t="shared" si="28"/>
        <v>1900</v>
      </c>
    </row>
    <row r="363" spans="1:1" x14ac:dyDescent="0.25">
      <c r="A363">
        <f t="shared" si="28"/>
        <v>1900</v>
      </c>
    </row>
    <row r="364" spans="1:1" x14ac:dyDescent="0.25">
      <c r="A364">
        <f t="shared" si="28"/>
        <v>1900</v>
      </c>
    </row>
    <row r="365" spans="1:1" x14ac:dyDescent="0.25">
      <c r="A365">
        <f t="shared" si="28"/>
        <v>1900</v>
      </c>
    </row>
    <row r="366" spans="1:1" x14ac:dyDescent="0.25">
      <c r="A366">
        <f t="shared" si="28"/>
        <v>1900</v>
      </c>
    </row>
    <row r="367" spans="1:1" x14ac:dyDescent="0.25">
      <c r="A367">
        <f t="shared" si="28"/>
        <v>1900</v>
      </c>
    </row>
    <row r="368" spans="1:1" x14ac:dyDescent="0.25">
      <c r="A368">
        <f t="shared" si="28"/>
        <v>1900</v>
      </c>
    </row>
    <row r="369" spans="1:1" x14ac:dyDescent="0.25">
      <c r="A369">
        <f t="shared" si="28"/>
        <v>1900</v>
      </c>
    </row>
    <row r="370" spans="1:1" x14ac:dyDescent="0.25">
      <c r="A370">
        <f t="shared" si="28"/>
        <v>1900</v>
      </c>
    </row>
    <row r="371" spans="1:1" x14ac:dyDescent="0.25">
      <c r="A371">
        <f t="shared" si="28"/>
        <v>1900</v>
      </c>
    </row>
    <row r="372" spans="1:1" x14ac:dyDescent="0.25">
      <c r="A372">
        <f t="shared" si="28"/>
        <v>1900</v>
      </c>
    </row>
    <row r="373" spans="1:1" x14ac:dyDescent="0.25">
      <c r="A373">
        <f t="shared" si="28"/>
        <v>1900</v>
      </c>
    </row>
    <row r="374" spans="1:1" x14ac:dyDescent="0.25">
      <c r="A374">
        <f t="shared" si="28"/>
        <v>1900</v>
      </c>
    </row>
    <row r="375" spans="1:1" x14ac:dyDescent="0.25">
      <c r="A375">
        <f t="shared" si="28"/>
        <v>1900</v>
      </c>
    </row>
    <row r="376" spans="1:1" x14ac:dyDescent="0.25">
      <c r="A376">
        <f t="shared" si="28"/>
        <v>1900</v>
      </c>
    </row>
    <row r="377" spans="1:1" x14ac:dyDescent="0.25">
      <c r="A377">
        <f t="shared" si="28"/>
        <v>1900</v>
      </c>
    </row>
    <row r="378" spans="1:1" x14ac:dyDescent="0.25">
      <c r="A378">
        <f t="shared" si="28"/>
        <v>1900</v>
      </c>
    </row>
    <row r="379" spans="1:1" x14ac:dyDescent="0.25">
      <c r="A379">
        <f t="shared" si="28"/>
        <v>1900</v>
      </c>
    </row>
    <row r="380" spans="1:1" x14ac:dyDescent="0.25">
      <c r="A380">
        <f t="shared" si="28"/>
        <v>1900</v>
      </c>
    </row>
    <row r="381" spans="1:1" x14ac:dyDescent="0.25">
      <c r="A381">
        <f t="shared" si="28"/>
        <v>1900</v>
      </c>
    </row>
    <row r="382" spans="1:1" x14ac:dyDescent="0.25">
      <c r="A382">
        <f t="shared" si="28"/>
        <v>1900</v>
      </c>
    </row>
    <row r="383" spans="1:1" x14ac:dyDescent="0.25">
      <c r="A383">
        <f t="shared" si="28"/>
        <v>1900</v>
      </c>
    </row>
    <row r="384" spans="1:1" x14ac:dyDescent="0.25">
      <c r="A384">
        <f t="shared" si="28"/>
        <v>1900</v>
      </c>
    </row>
    <row r="385" spans="1:1" x14ac:dyDescent="0.25">
      <c r="A385">
        <f t="shared" si="28"/>
        <v>1900</v>
      </c>
    </row>
    <row r="386" spans="1:1" x14ac:dyDescent="0.25">
      <c r="A386">
        <f t="shared" si="28"/>
        <v>1900</v>
      </c>
    </row>
    <row r="387" spans="1:1" x14ac:dyDescent="0.25">
      <c r="A387">
        <f t="shared" si="28"/>
        <v>1900</v>
      </c>
    </row>
    <row r="388" spans="1:1" x14ac:dyDescent="0.25">
      <c r="A388">
        <f t="shared" si="28"/>
        <v>1900</v>
      </c>
    </row>
    <row r="389" spans="1:1" x14ac:dyDescent="0.25">
      <c r="A389">
        <f t="shared" si="28"/>
        <v>1900</v>
      </c>
    </row>
    <row r="390" spans="1:1" x14ac:dyDescent="0.25">
      <c r="A390">
        <f t="shared" si="28"/>
        <v>1900</v>
      </c>
    </row>
    <row r="391" spans="1:1" x14ac:dyDescent="0.25">
      <c r="A391">
        <f t="shared" si="28"/>
        <v>1900</v>
      </c>
    </row>
    <row r="392" spans="1:1" x14ac:dyDescent="0.25">
      <c r="A392">
        <f t="shared" si="28"/>
        <v>1900</v>
      </c>
    </row>
    <row r="393" spans="1:1" x14ac:dyDescent="0.25">
      <c r="A393">
        <f t="shared" si="28"/>
        <v>1900</v>
      </c>
    </row>
    <row r="394" spans="1:1" x14ac:dyDescent="0.25">
      <c r="A394">
        <f t="shared" si="28"/>
        <v>1900</v>
      </c>
    </row>
    <row r="395" spans="1:1" x14ac:dyDescent="0.25">
      <c r="A395">
        <f t="shared" ref="A395:A458" si="29">YEAR(B395)</f>
        <v>1900</v>
      </c>
    </row>
    <row r="396" spans="1:1" x14ac:dyDescent="0.25">
      <c r="A396">
        <f t="shared" si="29"/>
        <v>1900</v>
      </c>
    </row>
    <row r="397" spans="1:1" x14ac:dyDescent="0.25">
      <c r="A397">
        <f t="shared" si="29"/>
        <v>1900</v>
      </c>
    </row>
    <row r="398" spans="1:1" x14ac:dyDescent="0.25">
      <c r="A398">
        <f t="shared" si="29"/>
        <v>1900</v>
      </c>
    </row>
    <row r="399" spans="1:1" x14ac:dyDescent="0.25">
      <c r="A399">
        <f t="shared" si="29"/>
        <v>1900</v>
      </c>
    </row>
    <row r="400" spans="1:1" x14ac:dyDescent="0.25">
      <c r="A400">
        <f t="shared" si="29"/>
        <v>1900</v>
      </c>
    </row>
    <row r="401" spans="1:1" x14ac:dyDescent="0.25">
      <c r="A401">
        <f t="shared" si="29"/>
        <v>1900</v>
      </c>
    </row>
    <row r="402" spans="1:1" x14ac:dyDescent="0.25">
      <c r="A402">
        <f t="shared" si="29"/>
        <v>1900</v>
      </c>
    </row>
    <row r="403" spans="1:1" x14ac:dyDescent="0.25">
      <c r="A403">
        <f t="shared" si="29"/>
        <v>1900</v>
      </c>
    </row>
    <row r="404" spans="1:1" x14ac:dyDescent="0.25">
      <c r="A404">
        <f t="shared" si="29"/>
        <v>1900</v>
      </c>
    </row>
    <row r="405" spans="1:1" x14ac:dyDescent="0.25">
      <c r="A405">
        <f t="shared" si="29"/>
        <v>1900</v>
      </c>
    </row>
    <row r="406" spans="1:1" x14ac:dyDescent="0.25">
      <c r="A406">
        <f t="shared" si="29"/>
        <v>1900</v>
      </c>
    </row>
    <row r="407" spans="1:1" x14ac:dyDescent="0.25">
      <c r="A407">
        <f t="shared" si="29"/>
        <v>1900</v>
      </c>
    </row>
    <row r="408" spans="1:1" x14ac:dyDescent="0.25">
      <c r="A408">
        <f t="shared" si="29"/>
        <v>1900</v>
      </c>
    </row>
    <row r="409" spans="1:1" x14ac:dyDescent="0.25">
      <c r="A409">
        <f t="shared" si="29"/>
        <v>1900</v>
      </c>
    </row>
    <row r="410" spans="1:1" x14ac:dyDescent="0.25">
      <c r="A410">
        <f t="shared" si="29"/>
        <v>1900</v>
      </c>
    </row>
    <row r="411" spans="1:1" x14ac:dyDescent="0.25">
      <c r="A411">
        <f t="shared" si="29"/>
        <v>1900</v>
      </c>
    </row>
    <row r="412" spans="1:1" x14ac:dyDescent="0.25">
      <c r="A412">
        <f t="shared" si="29"/>
        <v>1900</v>
      </c>
    </row>
    <row r="413" spans="1:1" x14ac:dyDescent="0.25">
      <c r="A413">
        <f t="shared" si="29"/>
        <v>1900</v>
      </c>
    </row>
    <row r="414" spans="1:1" x14ac:dyDescent="0.25">
      <c r="A414">
        <f t="shared" si="29"/>
        <v>1900</v>
      </c>
    </row>
    <row r="415" spans="1:1" x14ac:dyDescent="0.25">
      <c r="A415">
        <f t="shared" si="29"/>
        <v>1900</v>
      </c>
    </row>
    <row r="416" spans="1:1" x14ac:dyDescent="0.25">
      <c r="A416">
        <f t="shared" si="29"/>
        <v>1900</v>
      </c>
    </row>
    <row r="417" spans="1:1" x14ac:dyDescent="0.25">
      <c r="A417">
        <f t="shared" si="29"/>
        <v>1900</v>
      </c>
    </row>
    <row r="418" spans="1:1" x14ac:dyDescent="0.25">
      <c r="A418">
        <f t="shared" si="29"/>
        <v>1900</v>
      </c>
    </row>
    <row r="419" spans="1:1" x14ac:dyDescent="0.25">
      <c r="A419">
        <f t="shared" si="29"/>
        <v>1900</v>
      </c>
    </row>
    <row r="420" spans="1:1" x14ac:dyDescent="0.25">
      <c r="A420">
        <f t="shared" si="29"/>
        <v>1900</v>
      </c>
    </row>
    <row r="421" spans="1:1" x14ac:dyDescent="0.25">
      <c r="A421">
        <f t="shared" si="29"/>
        <v>1900</v>
      </c>
    </row>
    <row r="422" spans="1:1" x14ac:dyDescent="0.25">
      <c r="A422">
        <f t="shared" si="29"/>
        <v>1900</v>
      </c>
    </row>
    <row r="423" spans="1:1" x14ac:dyDescent="0.25">
      <c r="A423">
        <f t="shared" si="29"/>
        <v>1900</v>
      </c>
    </row>
    <row r="424" spans="1:1" x14ac:dyDescent="0.25">
      <c r="A424">
        <f t="shared" si="29"/>
        <v>1900</v>
      </c>
    </row>
    <row r="425" spans="1:1" x14ac:dyDescent="0.25">
      <c r="A425">
        <f t="shared" si="29"/>
        <v>1900</v>
      </c>
    </row>
    <row r="426" spans="1:1" x14ac:dyDescent="0.25">
      <c r="A426">
        <f t="shared" si="29"/>
        <v>1900</v>
      </c>
    </row>
    <row r="427" spans="1:1" x14ac:dyDescent="0.25">
      <c r="A427">
        <f t="shared" si="29"/>
        <v>1900</v>
      </c>
    </row>
    <row r="428" spans="1:1" x14ac:dyDescent="0.25">
      <c r="A428">
        <f t="shared" si="29"/>
        <v>1900</v>
      </c>
    </row>
    <row r="429" spans="1:1" x14ac:dyDescent="0.25">
      <c r="A429">
        <f t="shared" si="29"/>
        <v>1900</v>
      </c>
    </row>
    <row r="430" spans="1:1" x14ac:dyDescent="0.25">
      <c r="A430">
        <f t="shared" si="29"/>
        <v>1900</v>
      </c>
    </row>
    <row r="431" spans="1:1" x14ac:dyDescent="0.25">
      <c r="A431">
        <f t="shared" si="29"/>
        <v>1900</v>
      </c>
    </row>
    <row r="432" spans="1:1" x14ac:dyDescent="0.25">
      <c r="A432">
        <f t="shared" si="29"/>
        <v>1900</v>
      </c>
    </row>
    <row r="433" spans="1:1" x14ac:dyDescent="0.25">
      <c r="A433">
        <f t="shared" si="29"/>
        <v>1900</v>
      </c>
    </row>
    <row r="434" spans="1:1" x14ac:dyDescent="0.25">
      <c r="A434">
        <f t="shared" si="29"/>
        <v>1900</v>
      </c>
    </row>
    <row r="435" spans="1:1" x14ac:dyDescent="0.25">
      <c r="A435">
        <f t="shared" si="29"/>
        <v>1900</v>
      </c>
    </row>
    <row r="436" spans="1:1" x14ac:dyDescent="0.25">
      <c r="A436">
        <f t="shared" si="29"/>
        <v>1900</v>
      </c>
    </row>
    <row r="437" spans="1:1" x14ac:dyDescent="0.25">
      <c r="A437">
        <f t="shared" si="29"/>
        <v>1900</v>
      </c>
    </row>
    <row r="438" spans="1:1" x14ac:dyDescent="0.25">
      <c r="A438">
        <f t="shared" si="29"/>
        <v>1900</v>
      </c>
    </row>
    <row r="439" spans="1:1" x14ac:dyDescent="0.25">
      <c r="A439">
        <f t="shared" si="29"/>
        <v>1900</v>
      </c>
    </row>
    <row r="440" spans="1:1" x14ac:dyDescent="0.25">
      <c r="A440">
        <f t="shared" si="29"/>
        <v>1900</v>
      </c>
    </row>
    <row r="441" spans="1:1" x14ac:dyDescent="0.25">
      <c r="A441">
        <f t="shared" si="29"/>
        <v>1900</v>
      </c>
    </row>
    <row r="442" spans="1:1" x14ac:dyDescent="0.25">
      <c r="A442">
        <f t="shared" si="29"/>
        <v>1900</v>
      </c>
    </row>
    <row r="443" spans="1:1" x14ac:dyDescent="0.25">
      <c r="A443">
        <f t="shared" si="29"/>
        <v>1900</v>
      </c>
    </row>
    <row r="444" spans="1:1" x14ac:dyDescent="0.25">
      <c r="A444">
        <f t="shared" si="29"/>
        <v>1900</v>
      </c>
    </row>
    <row r="445" spans="1:1" x14ac:dyDescent="0.25">
      <c r="A445">
        <f t="shared" si="29"/>
        <v>1900</v>
      </c>
    </row>
    <row r="446" spans="1:1" x14ac:dyDescent="0.25">
      <c r="A446">
        <f t="shared" si="29"/>
        <v>1900</v>
      </c>
    </row>
    <row r="447" spans="1:1" x14ac:dyDescent="0.25">
      <c r="A447">
        <f t="shared" si="29"/>
        <v>1900</v>
      </c>
    </row>
    <row r="448" spans="1:1" x14ac:dyDescent="0.25">
      <c r="A448">
        <f t="shared" si="29"/>
        <v>1900</v>
      </c>
    </row>
    <row r="449" spans="1:1" x14ac:dyDescent="0.25">
      <c r="A449">
        <f t="shared" si="29"/>
        <v>1900</v>
      </c>
    </row>
    <row r="450" spans="1:1" x14ac:dyDescent="0.25">
      <c r="A450">
        <f t="shared" si="29"/>
        <v>1900</v>
      </c>
    </row>
    <row r="451" spans="1:1" x14ac:dyDescent="0.25">
      <c r="A451">
        <f t="shared" si="29"/>
        <v>1900</v>
      </c>
    </row>
    <row r="452" spans="1:1" x14ac:dyDescent="0.25">
      <c r="A452">
        <f t="shared" si="29"/>
        <v>1900</v>
      </c>
    </row>
    <row r="453" spans="1:1" x14ac:dyDescent="0.25">
      <c r="A453">
        <f t="shared" si="29"/>
        <v>1900</v>
      </c>
    </row>
    <row r="454" spans="1:1" x14ac:dyDescent="0.25">
      <c r="A454">
        <f t="shared" si="29"/>
        <v>1900</v>
      </c>
    </row>
    <row r="455" spans="1:1" x14ac:dyDescent="0.25">
      <c r="A455">
        <f t="shared" si="29"/>
        <v>1900</v>
      </c>
    </row>
    <row r="456" spans="1:1" x14ac:dyDescent="0.25">
      <c r="A456">
        <f t="shared" si="29"/>
        <v>1900</v>
      </c>
    </row>
    <row r="457" spans="1:1" x14ac:dyDescent="0.25">
      <c r="A457">
        <f t="shared" si="29"/>
        <v>1900</v>
      </c>
    </row>
    <row r="458" spans="1:1" x14ac:dyDescent="0.25">
      <c r="A458">
        <f t="shared" si="29"/>
        <v>1900</v>
      </c>
    </row>
    <row r="459" spans="1:1" x14ac:dyDescent="0.25">
      <c r="A459">
        <f t="shared" ref="A459:A508" si="30">YEAR(B459)</f>
        <v>1900</v>
      </c>
    </row>
    <row r="460" spans="1:1" x14ac:dyDescent="0.25">
      <c r="A460">
        <f t="shared" si="30"/>
        <v>1900</v>
      </c>
    </row>
    <row r="461" spans="1:1" x14ac:dyDescent="0.25">
      <c r="A461">
        <f t="shared" si="30"/>
        <v>1900</v>
      </c>
    </row>
    <row r="462" spans="1:1" x14ac:dyDescent="0.25">
      <c r="A462">
        <f t="shared" si="30"/>
        <v>1900</v>
      </c>
    </row>
    <row r="463" spans="1:1" x14ac:dyDescent="0.25">
      <c r="A463">
        <f t="shared" si="30"/>
        <v>1900</v>
      </c>
    </row>
    <row r="464" spans="1:1" x14ac:dyDescent="0.25">
      <c r="A464">
        <f t="shared" si="30"/>
        <v>1900</v>
      </c>
    </row>
    <row r="465" spans="1:1" x14ac:dyDescent="0.25">
      <c r="A465">
        <f t="shared" si="30"/>
        <v>1900</v>
      </c>
    </row>
    <row r="466" spans="1:1" x14ac:dyDescent="0.25">
      <c r="A466">
        <f t="shared" si="30"/>
        <v>1900</v>
      </c>
    </row>
    <row r="467" spans="1:1" x14ac:dyDescent="0.25">
      <c r="A467">
        <f t="shared" si="30"/>
        <v>1900</v>
      </c>
    </row>
    <row r="468" spans="1:1" x14ac:dyDescent="0.25">
      <c r="A468">
        <f t="shared" si="30"/>
        <v>1900</v>
      </c>
    </row>
    <row r="469" spans="1:1" x14ac:dyDescent="0.25">
      <c r="A469">
        <f t="shared" si="30"/>
        <v>1900</v>
      </c>
    </row>
    <row r="470" spans="1:1" x14ac:dyDescent="0.25">
      <c r="A470">
        <f t="shared" si="30"/>
        <v>1900</v>
      </c>
    </row>
    <row r="471" spans="1:1" x14ac:dyDescent="0.25">
      <c r="A471">
        <f t="shared" si="30"/>
        <v>1900</v>
      </c>
    </row>
    <row r="472" spans="1:1" x14ac:dyDescent="0.25">
      <c r="A472">
        <f t="shared" si="30"/>
        <v>1900</v>
      </c>
    </row>
    <row r="473" spans="1:1" x14ac:dyDescent="0.25">
      <c r="A473">
        <f t="shared" si="30"/>
        <v>1900</v>
      </c>
    </row>
    <row r="474" spans="1:1" x14ac:dyDescent="0.25">
      <c r="A474">
        <f t="shared" si="30"/>
        <v>1900</v>
      </c>
    </row>
    <row r="475" spans="1:1" x14ac:dyDescent="0.25">
      <c r="A475">
        <f t="shared" si="30"/>
        <v>1900</v>
      </c>
    </row>
    <row r="476" spans="1:1" x14ac:dyDescent="0.25">
      <c r="A476">
        <f t="shared" si="30"/>
        <v>1900</v>
      </c>
    </row>
    <row r="477" spans="1:1" x14ac:dyDescent="0.25">
      <c r="A477">
        <f t="shared" si="30"/>
        <v>1900</v>
      </c>
    </row>
    <row r="478" spans="1:1" x14ac:dyDescent="0.25">
      <c r="A478">
        <f t="shared" si="30"/>
        <v>1900</v>
      </c>
    </row>
    <row r="479" spans="1:1" x14ac:dyDescent="0.25">
      <c r="A479">
        <f t="shared" si="30"/>
        <v>1900</v>
      </c>
    </row>
    <row r="480" spans="1:1" x14ac:dyDescent="0.25">
      <c r="A480">
        <f t="shared" si="30"/>
        <v>1900</v>
      </c>
    </row>
    <row r="481" spans="1:1" x14ac:dyDescent="0.25">
      <c r="A481">
        <f t="shared" si="30"/>
        <v>1900</v>
      </c>
    </row>
    <row r="482" spans="1:1" x14ac:dyDescent="0.25">
      <c r="A482">
        <f t="shared" si="30"/>
        <v>1900</v>
      </c>
    </row>
    <row r="483" spans="1:1" x14ac:dyDescent="0.25">
      <c r="A483">
        <f t="shared" si="30"/>
        <v>1900</v>
      </c>
    </row>
    <row r="484" spans="1:1" x14ac:dyDescent="0.25">
      <c r="A484">
        <f t="shared" si="30"/>
        <v>1900</v>
      </c>
    </row>
    <row r="485" spans="1:1" x14ac:dyDescent="0.25">
      <c r="A485">
        <f t="shared" si="30"/>
        <v>1900</v>
      </c>
    </row>
    <row r="486" spans="1:1" x14ac:dyDescent="0.25">
      <c r="A486">
        <f t="shared" si="30"/>
        <v>1900</v>
      </c>
    </row>
    <row r="487" spans="1:1" x14ac:dyDescent="0.25">
      <c r="A487">
        <f t="shared" si="30"/>
        <v>1900</v>
      </c>
    </row>
    <row r="488" spans="1:1" x14ac:dyDescent="0.25">
      <c r="A488">
        <f t="shared" si="30"/>
        <v>1900</v>
      </c>
    </row>
    <row r="489" spans="1:1" x14ac:dyDescent="0.25">
      <c r="A489">
        <f t="shared" si="30"/>
        <v>1900</v>
      </c>
    </row>
    <row r="490" spans="1:1" x14ac:dyDescent="0.25">
      <c r="A490">
        <f t="shared" si="30"/>
        <v>1900</v>
      </c>
    </row>
    <row r="491" spans="1:1" x14ac:dyDescent="0.25">
      <c r="A491">
        <f t="shared" si="30"/>
        <v>1900</v>
      </c>
    </row>
    <row r="492" spans="1:1" x14ac:dyDescent="0.25">
      <c r="A492">
        <f t="shared" si="30"/>
        <v>1900</v>
      </c>
    </row>
    <row r="493" spans="1:1" x14ac:dyDescent="0.25">
      <c r="A493">
        <f t="shared" si="30"/>
        <v>1900</v>
      </c>
    </row>
    <row r="494" spans="1:1" x14ac:dyDescent="0.25">
      <c r="A494">
        <f t="shared" si="30"/>
        <v>1900</v>
      </c>
    </row>
    <row r="495" spans="1:1" x14ac:dyDescent="0.25">
      <c r="A495">
        <f t="shared" si="30"/>
        <v>1900</v>
      </c>
    </row>
    <row r="496" spans="1:1" x14ac:dyDescent="0.25">
      <c r="A496">
        <f t="shared" si="30"/>
        <v>1900</v>
      </c>
    </row>
    <row r="497" spans="1:1" x14ac:dyDescent="0.25">
      <c r="A497">
        <f t="shared" si="30"/>
        <v>1900</v>
      </c>
    </row>
    <row r="498" spans="1:1" x14ac:dyDescent="0.25">
      <c r="A498">
        <f t="shared" si="30"/>
        <v>1900</v>
      </c>
    </row>
    <row r="499" spans="1:1" x14ac:dyDescent="0.25">
      <c r="A499">
        <f t="shared" si="30"/>
        <v>1900</v>
      </c>
    </row>
    <row r="500" spans="1:1" x14ac:dyDescent="0.25">
      <c r="A500">
        <f t="shared" si="30"/>
        <v>1900</v>
      </c>
    </row>
    <row r="501" spans="1:1" x14ac:dyDescent="0.25">
      <c r="A501">
        <f t="shared" si="30"/>
        <v>1900</v>
      </c>
    </row>
    <row r="502" spans="1:1" x14ac:dyDescent="0.25">
      <c r="A502">
        <f t="shared" si="30"/>
        <v>1900</v>
      </c>
    </row>
    <row r="503" spans="1:1" x14ac:dyDescent="0.25">
      <c r="A503">
        <f t="shared" si="30"/>
        <v>1900</v>
      </c>
    </row>
    <row r="504" spans="1:1" x14ac:dyDescent="0.25">
      <c r="A504">
        <f t="shared" si="30"/>
        <v>1900</v>
      </c>
    </row>
    <row r="505" spans="1:1" x14ac:dyDescent="0.25">
      <c r="A505">
        <f t="shared" si="30"/>
        <v>1900</v>
      </c>
    </row>
    <row r="506" spans="1:1" x14ac:dyDescent="0.25">
      <c r="A506">
        <f t="shared" si="30"/>
        <v>1900</v>
      </c>
    </row>
    <row r="507" spans="1:1" x14ac:dyDescent="0.25">
      <c r="A507">
        <f t="shared" si="30"/>
        <v>1900</v>
      </c>
    </row>
    <row r="508" spans="1:1" x14ac:dyDescent="0.25">
      <c r="A508">
        <f t="shared" si="30"/>
        <v>1900</v>
      </c>
    </row>
  </sheetData>
  <mergeCells count="3">
    <mergeCell ref="A7:H7"/>
    <mergeCell ref="K7:Q7"/>
    <mergeCell ref="S7:Y7"/>
  </mergeCells>
  <pageMargins left="0.7" right="0.7" top="0.75" bottom="0.75" header="0.3" footer="0.3"/>
  <pageSetup paperSize="9" orientation="portrait" r:id="rId1"/>
  <ignoredErrors>
    <ignoredError sqref="M9:M18 O9:O18 W9:W18"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97F0C-1099-4E80-B3E3-376D171C8E1C}">
  <sheetPr codeName="Sheet26"/>
  <dimension ref="A1:AJ192"/>
  <sheetViews>
    <sheetView showGridLines="0" zoomScale="85" zoomScaleNormal="85" workbookViewId="0">
      <pane xSplit="3" ySplit="9" topLeftCell="D10" activePane="bottomRight" state="frozen"/>
      <selection activeCell="C1" sqref="C1"/>
      <selection pane="topRight" activeCell="D1" sqref="D1"/>
      <selection pane="bottomLeft" activeCell="C10" sqref="C10"/>
      <selection pane="bottomRight" activeCell="C1" sqref="C1"/>
    </sheetView>
  </sheetViews>
  <sheetFormatPr defaultColWidth="8.7109375" defaultRowHeight="15" x14ac:dyDescent="0.25"/>
  <cols>
    <col min="1" max="2" width="8.7109375" style="320" hidden="1" customWidth="1"/>
    <col min="3" max="3" width="9.7109375" style="423" bestFit="1" customWidth="1"/>
    <col min="4" max="21" width="8.7109375" style="320"/>
    <col min="22" max="22" width="8.7109375" style="424"/>
    <col min="23" max="36" width="8.7109375" style="320"/>
  </cols>
  <sheetData>
    <row r="1" spans="1:36" x14ac:dyDescent="0.25">
      <c r="C1" s="420" t="s">
        <v>55</v>
      </c>
      <c r="D1" s="421" t="s">
        <v>63</v>
      </c>
      <c r="E1" s="421" t="s">
        <v>549</v>
      </c>
      <c r="V1" s="320"/>
      <c r="X1" s="421" t="s">
        <v>550</v>
      </c>
      <c r="Y1" s="422" t="s">
        <v>55</v>
      </c>
      <c r="Z1" s="421" t="s">
        <v>63</v>
      </c>
      <c r="AA1" s="421" t="s">
        <v>549</v>
      </c>
      <c r="AB1" s="421" t="s">
        <v>551</v>
      </c>
      <c r="AH1" s="320">
        <f>MIN($C$2:$C$4)</f>
        <v>2019</v>
      </c>
    </row>
    <row r="2" spans="1:36" x14ac:dyDescent="0.25">
      <c r="C2" s="423">
        <v>2019</v>
      </c>
      <c r="D2" s="320" t="s">
        <v>552</v>
      </c>
      <c r="E2" s="320">
        <v>233.9</v>
      </c>
      <c r="V2" s="320"/>
      <c r="X2" s="320" t="s">
        <v>553</v>
      </c>
      <c r="Y2" s="424" t="s">
        <v>84</v>
      </c>
      <c r="Z2" s="320" t="s">
        <v>552</v>
      </c>
      <c r="AA2" s="425">
        <v>157.80000000000001</v>
      </c>
      <c r="AB2" s="320">
        <v>2018</v>
      </c>
    </row>
    <row r="3" spans="1:36" x14ac:dyDescent="0.25">
      <c r="C3" s="423">
        <v>2019</v>
      </c>
      <c r="D3" s="320" t="s">
        <v>554</v>
      </c>
      <c r="E3" s="320">
        <v>22.7</v>
      </c>
      <c r="V3" s="320"/>
      <c r="X3" s="320" t="s">
        <v>553</v>
      </c>
      <c r="Y3" s="424" t="s">
        <v>84</v>
      </c>
      <c r="Z3" s="320" t="s">
        <v>554</v>
      </c>
      <c r="AA3" s="425">
        <v>24.1</v>
      </c>
      <c r="AB3" s="320">
        <v>2018</v>
      </c>
      <c r="AG3" s="320" t="str">
        <f>IFERROR(IF(#REF!=$AF$1,IF($AH$1&lt;=(AG2-1),AG2-1,""),IF($AH$1=VALUE(LEFT(AG2,4)),"",CONCATENATE(VALUE(LEFT(AG2,4))-1,"-",RIGHT(LEFT(AG2,4),2)))),"")</f>
        <v/>
      </c>
    </row>
    <row r="4" spans="1:36" x14ac:dyDescent="0.25">
      <c r="C4" s="423">
        <v>2019</v>
      </c>
      <c r="D4" s="320" t="s">
        <v>555</v>
      </c>
      <c r="E4" s="320">
        <v>145.6</v>
      </c>
      <c r="V4" s="320"/>
      <c r="X4" s="320" t="s">
        <v>553</v>
      </c>
      <c r="Y4" s="424" t="s">
        <v>84</v>
      </c>
      <c r="Z4" s="320" t="s">
        <v>556</v>
      </c>
      <c r="AA4" s="425">
        <v>116.80000000000001</v>
      </c>
      <c r="AB4" s="320">
        <v>2018</v>
      </c>
      <c r="AG4" s="320" t="str">
        <f>IFERROR(IF(#REF!=$AF$1,IF($AH$1&lt;=(AG3-1),AG3-1,""),IF($AH$1=VALUE(LEFT(AG3,4)),"",CONCATENATE(VALUE(LEFT(AG3,4))-1,"-",RIGHT(LEFT(AG3,4),2)))),"")</f>
        <v/>
      </c>
    </row>
    <row r="7" spans="1:36" ht="15.75" thickBot="1" x14ac:dyDescent="0.3">
      <c r="C7" s="584" t="s">
        <v>557</v>
      </c>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row>
    <row r="8" spans="1:36" ht="30" customHeight="1" x14ac:dyDescent="0.25">
      <c r="A8" s="87" t="s">
        <v>63</v>
      </c>
      <c r="B8" s="87" t="s">
        <v>558</v>
      </c>
      <c r="C8" s="426"/>
      <c r="D8" s="581" t="s">
        <v>552</v>
      </c>
      <c r="E8" s="582"/>
      <c r="F8" s="583"/>
      <c r="G8" s="581" t="s">
        <v>554</v>
      </c>
      <c r="H8" s="582"/>
      <c r="I8" s="583"/>
      <c r="J8" s="581" t="s">
        <v>556</v>
      </c>
      <c r="K8" s="582"/>
      <c r="L8" s="583"/>
      <c r="M8" s="581" t="s">
        <v>68</v>
      </c>
      <c r="N8" s="582"/>
      <c r="O8" s="583"/>
      <c r="P8" s="581" t="s">
        <v>69</v>
      </c>
      <c r="Q8" s="582"/>
      <c r="R8" s="583"/>
      <c r="S8" s="581" t="s">
        <v>71</v>
      </c>
      <c r="T8" s="582"/>
      <c r="U8" s="583"/>
      <c r="V8" s="581" t="s">
        <v>532</v>
      </c>
      <c r="W8" s="582"/>
      <c r="X8" s="583"/>
      <c r="Y8" s="581" t="s">
        <v>159</v>
      </c>
      <c r="Z8" s="582"/>
      <c r="AA8" s="583"/>
      <c r="AB8" s="581" t="s">
        <v>119</v>
      </c>
      <c r="AC8" s="582"/>
      <c r="AD8" s="583"/>
      <c r="AE8" s="581" t="s">
        <v>74</v>
      </c>
      <c r="AF8" s="582"/>
      <c r="AG8" s="583"/>
      <c r="AH8" s="581" t="s">
        <v>98</v>
      </c>
      <c r="AI8" s="582"/>
      <c r="AJ8" s="583"/>
    </row>
    <row r="9" spans="1:36" ht="45" x14ac:dyDescent="0.25">
      <c r="A9" s="87" t="s">
        <v>98</v>
      </c>
      <c r="B9" s="87">
        <v>30</v>
      </c>
      <c r="C9" s="427" t="s">
        <v>93</v>
      </c>
      <c r="D9" s="428" t="s">
        <v>559</v>
      </c>
      <c r="E9" s="429" t="s">
        <v>560</v>
      </c>
      <c r="F9" s="429" t="s">
        <v>561</v>
      </c>
      <c r="G9" s="428" t="s">
        <v>559</v>
      </c>
      <c r="H9" s="429" t="s">
        <v>560</v>
      </c>
      <c r="I9" s="429" t="s">
        <v>561</v>
      </c>
      <c r="J9" s="428" t="s">
        <v>559</v>
      </c>
      <c r="K9" s="429" t="s">
        <v>560</v>
      </c>
      <c r="L9" s="429" t="s">
        <v>561</v>
      </c>
      <c r="M9" s="428" t="s">
        <v>559</v>
      </c>
      <c r="N9" s="429" t="s">
        <v>560</v>
      </c>
      <c r="O9" s="429" t="s">
        <v>561</v>
      </c>
      <c r="P9" s="428" t="s">
        <v>559</v>
      </c>
      <c r="Q9" s="429" t="s">
        <v>560</v>
      </c>
      <c r="R9" s="429" t="s">
        <v>561</v>
      </c>
      <c r="S9" s="428" t="s">
        <v>559</v>
      </c>
      <c r="T9" s="429" t="s">
        <v>560</v>
      </c>
      <c r="U9" s="429" t="s">
        <v>561</v>
      </c>
      <c r="V9" s="428" t="s">
        <v>559</v>
      </c>
      <c r="W9" s="429" t="s">
        <v>560</v>
      </c>
      <c r="X9" s="429" t="s">
        <v>561</v>
      </c>
      <c r="Y9" s="428" t="s">
        <v>559</v>
      </c>
      <c r="Z9" s="429" t="s">
        <v>560</v>
      </c>
      <c r="AA9" s="429" t="s">
        <v>561</v>
      </c>
      <c r="AB9" s="428" t="s">
        <v>559</v>
      </c>
      <c r="AC9" s="429" t="s">
        <v>560</v>
      </c>
      <c r="AD9" s="429" t="s">
        <v>561</v>
      </c>
      <c r="AE9" s="428" t="s">
        <v>559</v>
      </c>
      <c r="AF9" s="429" t="s">
        <v>560</v>
      </c>
      <c r="AG9" s="429" t="s">
        <v>561</v>
      </c>
      <c r="AH9" s="428" t="s">
        <v>559</v>
      </c>
      <c r="AI9" s="429" t="s">
        <v>560</v>
      </c>
      <c r="AJ9" s="430" t="s">
        <v>561</v>
      </c>
    </row>
    <row r="10" spans="1:36" x14ac:dyDescent="0.25">
      <c r="A10" s="87" t="s">
        <v>552</v>
      </c>
      <c r="B10" s="87">
        <v>0</v>
      </c>
      <c r="C10" s="139">
        <v>36404</v>
      </c>
      <c r="D10" s="449">
        <v>1.2</v>
      </c>
      <c r="E10" s="450">
        <f>IF(OR(ISBLANK(F10), ISBLANK(D10)), "", F10-D10)</f>
        <v>5.3</v>
      </c>
      <c r="F10" s="450">
        <v>6.5</v>
      </c>
      <c r="G10" s="451">
        <v>6.3</v>
      </c>
      <c r="H10" s="452">
        <f t="shared" ref="H10:H73" si="0">IF(OR(ISBLANK(I10), ISBLANK(G10)), "", I10-G10)</f>
        <v>9.8000000000000007</v>
      </c>
      <c r="I10" s="453">
        <v>16.100000000000001</v>
      </c>
      <c r="J10" s="451">
        <v>8.6</v>
      </c>
      <c r="K10" s="452">
        <f>IF(OR(ISBLANK(L10), ISBLANK(J10)), "", L10-J10)</f>
        <v>2.5</v>
      </c>
      <c r="L10" s="453">
        <v>11.1</v>
      </c>
      <c r="M10" s="451">
        <v>67.900000000000006</v>
      </c>
      <c r="N10" s="452">
        <f t="shared" ref="N10:N73" si="1">IF(OR(ISBLANK(O10), ISBLANK(M10)), "", O10-M10)</f>
        <v>33.599999999999994</v>
      </c>
      <c r="O10" s="453">
        <v>101.5</v>
      </c>
      <c r="P10" s="451">
        <v>8.8000000000000007</v>
      </c>
      <c r="Q10" s="452">
        <f t="shared" ref="Q10:Q73" si="2">IF(OR(ISBLANK(R10), ISBLANK(P10)), "", R10-P10)</f>
        <v>0</v>
      </c>
      <c r="R10" s="453">
        <v>8.8000000000000007</v>
      </c>
      <c r="S10" s="451">
        <v>1.9</v>
      </c>
      <c r="T10" s="452">
        <f t="shared" ref="T10:T73" si="3">IF(OR(ISBLANK(U10), ISBLANK(S10)), "", U10-S10)</f>
        <v>2.6</v>
      </c>
      <c r="U10" s="453">
        <v>4.5</v>
      </c>
      <c r="V10" s="451">
        <v>0.5</v>
      </c>
      <c r="W10" s="452">
        <f>IF(OR(ISBLANK(X10), ISBLANK(V10)), "", X10-V10)</f>
        <v>4.3</v>
      </c>
      <c r="X10" s="453">
        <v>4.8</v>
      </c>
      <c r="Y10" s="451">
        <v>0</v>
      </c>
      <c r="Z10" s="450">
        <f>IF(OR(ISBLANK(AA10), ISBLANK(Y10)), "", AA10-Y10)</f>
        <v>9.5</v>
      </c>
      <c r="AA10" s="454">
        <v>9.5</v>
      </c>
      <c r="AB10" s="451">
        <v>10.6</v>
      </c>
      <c r="AC10" s="452">
        <f>IF(OR(ISBLANK(AD10), ISBLANK(AB10)), "", AD10-AB10)</f>
        <v>1.5999999999999996</v>
      </c>
      <c r="AD10" s="453">
        <v>12.2</v>
      </c>
      <c r="AE10" s="451">
        <v>2.1</v>
      </c>
      <c r="AF10" s="452">
        <f>IF(OR(ISBLANK(AG10), ISBLANK(AE10)), "", AG10-AE10)</f>
        <v>2.9999999999999996</v>
      </c>
      <c r="AG10" s="453">
        <v>5.0999999999999996</v>
      </c>
      <c r="AH10" s="455">
        <v>107.9</v>
      </c>
      <c r="AI10" s="456">
        <f>IF(OR(ISBLANK(AJ10), ISBLANK(AH10)), "", AJ10-AH10)</f>
        <v>72.199999999999989</v>
      </c>
      <c r="AJ10" s="457">
        <v>180.1</v>
      </c>
    </row>
    <row r="11" spans="1:36" x14ac:dyDescent="0.25">
      <c r="A11" s="87" t="s">
        <v>554</v>
      </c>
      <c r="B11" s="87">
        <v>3</v>
      </c>
      <c r="C11" s="139">
        <v>36495</v>
      </c>
      <c r="D11" s="458">
        <v>1.6</v>
      </c>
      <c r="E11" s="459">
        <f t="shared" ref="E11:E74" si="4">IF(OR(ISBLANK(F11), ISBLANK(D11)), "", F11-D11)</f>
        <v>6.7000000000000011</v>
      </c>
      <c r="F11" s="459">
        <v>8.3000000000000007</v>
      </c>
      <c r="G11" s="460">
        <v>6.9</v>
      </c>
      <c r="H11" s="461">
        <f t="shared" si="0"/>
        <v>7.7999999999999989</v>
      </c>
      <c r="I11" s="462">
        <v>14.7</v>
      </c>
      <c r="J11" s="460">
        <v>18</v>
      </c>
      <c r="K11" s="461">
        <f t="shared" ref="K11:K74" si="5">IF(OR(ISBLANK(L11), ISBLANK(J11)), "", L11-J11)</f>
        <v>4</v>
      </c>
      <c r="L11" s="462">
        <v>22</v>
      </c>
      <c r="M11" s="460">
        <v>61.3</v>
      </c>
      <c r="N11" s="461">
        <f t="shared" si="1"/>
        <v>30.299999999999997</v>
      </c>
      <c r="O11" s="462">
        <v>91.6</v>
      </c>
      <c r="P11" s="460"/>
      <c r="Q11" s="461" t="str">
        <f t="shared" si="2"/>
        <v/>
      </c>
      <c r="R11" s="462"/>
      <c r="S11" s="460">
        <v>1.9</v>
      </c>
      <c r="T11" s="461">
        <f t="shared" si="3"/>
        <v>2.9</v>
      </c>
      <c r="U11" s="462">
        <v>4.8</v>
      </c>
      <c r="V11" s="460"/>
      <c r="W11" s="461" t="str">
        <f t="shared" ref="W11:W74" si="6">IF(OR(ISBLANK(X11), ISBLANK(V11)), "", X11-V11)</f>
        <v/>
      </c>
      <c r="X11" s="462">
        <v>3.7</v>
      </c>
      <c r="Y11" s="460"/>
      <c r="Z11" s="459" t="str">
        <f t="shared" ref="Z11:Z74" si="7">IF(OR(ISBLANK(AA11), ISBLANK(Y11)), "", AA11-Y11)</f>
        <v/>
      </c>
      <c r="AA11" s="462">
        <v>9.1999999999999993</v>
      </c>
      <c r="AB11" s="460">
        <v>7.4</v>
      </c>
      <c r="AC11" s="461">
        <f t="shared" ref="AC11:AC73" si="8">IF(OR(ISBLANK(AD11), ISBLANK(AB11)), "", AD11-AB11)</f>
        <v>1.7999999999999989</v>
      </c>
      <c r="AD11" s="462">
        <v>9.1999999999999993</v>
      </c>
      <c r="AE11" s="460"/>
      <c r="AF11" s="461" t="str">
        <f t="shared" ref="AF11:AF73" si="9">IF(OR(ISBLANK(AG11), ISBLANK(AE11)), "", AG11-AE11)</f>
        <v/>
      </c>
      <c r="AG11" s="462"/>
      <c r="AH11" s="463">
        <v>108.8</v>
      </c>
      <c r="AI11" s="464">
        <f t="shared" ref="AI11:AI74" si="10">IF(OR(ISBLANK(AJ11), ISBLANK(AH11)), "", AJ11-AH11)</f>
        <v>68.100000000000009</v>
      </c>
      <c r="AJ11" s="465">
        <v>176.9</v>
      </c>
    </row>
    <row r="12" spans="1:36" x14ac:dyDescent="0.25">
      <c r="A12" s="87" t="s">
        <v>556</v>
      </c>
      <c r="B12" s="87">
        <v>6</v>
      </c>
      <c r="C12" s="139">
        <v>36586</v>
      </c>
      <c r="D12" s="449">
        <v>1.5</v>
      </c>
      <c r="E12" s="450">
        <f t="shared" si="4"/>
        <v>5</v>
      </c>
      <c r="F12" s="450">
        <v>6.5</v>
      </c>
      <c r="G12" s="451">
        <v>4.7</v>
      </c>
      <c r="H12" s="452">
        <f t="shared" si="0"/>
        <v>5.3</v>
      </c>
      <c r="I12" s="453">
        <v>10</v>
      </c>
      <c r="J12" s="451">
        <v>18.600000000000001</v>
      </c>
      <c r="K12" s="452">
        <f t="shared" si="5"/>
        <v>3</v>
      </c>
      <c r="L12" s="453">
        <v>21.6</v>
      </c>
      <c r="M12" s="451">
        <v>47.2</v>
      </c>
      <c r="N12" s="452">
        <f t="shared" si="1"/>
        <v>24.700000000000003</v>
      </c>
      <c r="O12" s="453">
        <v>71.900000000000006</v>
      </c>
      <c r="P12" s="451">
        <v>5</v>
      </c>
      <c r="Q12" s="452">
        <f t="shared" si="2"/>
        <v>0</v>
      </c>
      <c r="R12" s="453">
        <v>5</v>
      </c>
      <c r="S12" s="451">
        <v>2.1</v>
      </c>
      <c r="T12" s="452">
        <f t="shared" si="3"/>
        <v>2.4999999999999996</v>
      </c>
      <c r="U12" s="453">
        <v>4.5999999999999996</v>
      </c>
      <c r="V12" s="451"/>
      <c r="W12" s="452" t="str">
        <f t="shared" si="6"/>
        <v/>
      </c>
      <c r="X12" s="453"/>
      <c r="Y12" s="451"/>
      <c r="Z12" s="450" t="str">
        <f t="shared" si="7"/>
        <v/>
      </c>
      <c r="AA12" s="453">
        <v>7.9</v>
      </c>
      <c r="AB12" s="451">
        <v>2.8</v>
      </c>
      <c r="AC12" s="452">
        <f t="shared" si="8"/>
        <v>0.70000000000000018</v>
      </c>
      <c r="AD12" s="453">
        <v>3.5</v>
      </c>
      <c r="AE12" s="451">
        <v>2.8</v>
      </c>
      <c r="AF12" s="452" t="str">
        <f t="shared" si="9"/>
        <v/>
      </c>
      <c r="AG12" s="453"/>
      <c r="AH12" s="455">
        <v>85</v>
      </c>
      <c r="AI12" s="456">
        <f t="shared" si="10"/>
        <v>51.699999999999989</v>
      </c>
      <c r="AJ12" s="457">
        <v>136.69999999999999</v>
      </c>
    </row>
    <row r="13" spans="1:36" x14ac:dyDescent="0.25">
      <c r="A13" s="87" t="s">
        <v>68</v>
      </c>
      <c r="B13" s="87">
        <v>9</v>
      </c>
      <c r="C13" s="139">
        <v>36678</v>
      </c>
      <c r="D13" s="458">
        <v>0.7</v>
      </c>
      <c r="E13" s="459">
        <f t="shared" si="4"/>
        <v>6.3</v>
      </c>
      <c r="F13" s="459">
        <v>7</v>
      </c>
      <c r="G13" s="460">
        <v>4.8</v>
      </c>
      <c r="H13" s="461">
        <f t="shared" si="0"/>
        <v>9.8000000000000007</v>
      </c>
      <c r="I13" s="462">
        <v>14.6</v>
      </c>
      <c r="J13" s="460">
        <v>15.5</v>
      </c>
      <c r="K13" s="461">
        <f t="shared" si="5"/>
        <v>2.8999999999999986</v>
      </c>
      <c r="L13" s="462">
        <v>18.399999999999999</v>
      </c>
      <c r="M13" s="460">
        <v>76.599999999999994</v>
      </c>
      <c r="N13" s="461">
        <f t="shared" si="1"/>
        <v>33.200000000000003</v>
      </c>
      <c r="O13" s="462">
        <v>109.8</v>
      </c>
      <c r="P13" s="460"/>
      <c r="Q13" s="461" t="str">
        <f t="shared" si="2"/>
        <v/>
      </c>
      <c r="R13" s="462"/>
      <c r="S13" s="460"/>
      <c r="T13" s="461" t="str">
        <f t="shared" si="3"/>
        <v/>
      </c>
      <c r="U13" s="462">
        <v>7.6</v>
      </c>
      <c r="V13" s="460"/>
      <c r="W13" s="461" t="str">
        <f t="shared" si="6"/>
        <v/>
      </c>
      <c r="X13" s="462"/>
      <c r="Y13" s="460">
        <v>0</v>
      </c>
      <c r="Z13" s="459">
        <f t="shared" si="7"/>
        <v>8.6999999999999993</v>
      </c>
      <c r="AA13" s="462">
        <v>8.6999999999999993</v>
      </c>
      <c r="AB13" s="460">
        <v>4</v>
      </c>
      <c r="AC13" s="461">
        <f t="shared" si="8"/>
        <v>0.90000000000000036</v>
      </c>
      <c r="AD13" s="462">
        <v>4.9000000000000004</v>
      </c>
      <c r="AE13" s="460">
        <v>1.6</v>
      </c>
      <c r="AF13" s="461">
        <f t="shared" si="9"/>
        <v>1.5</v>
      </c>
      <c r="AG13" s="462">
        <v>3.1</v>
      </c>
      <c r="AH13" s="463">
        <v>113.3</v>
      </c>
      <c r="AI13" s="464">
        <f t="shared" si="10"/>
        <v>69.399999999999991</v>
      </c>
      <c r="AJ13" s="465">
        <v>182.7</v>
      </c>
    </row>
    <row r="14" spans="1:36" x14ac:dyDescent="0.25">
      <c r="A14" s="87" t="s">
        <v>69</v>
      </c>
      <c r="B14" s="87">
        <v>12</v>
      </c>
      <c r="C14" s="139">
        <v>36770</v>
      </c>
      <c r="D14" s="449">
        <v>0.4</v>
      </c>
      <c r="E14" s="450">
        <f t="shared" si="4"/>
        <v>6.5</v>
      </c>
      <c r="F14" s="450">
        <v>6.9</v>
      </c>
      <c r="G14" s="451">
        <v>5.5</v>
      </c>
      <c r="H14" s="452">
        <f t="shared" si="0"/>
        <v>9.4</v>
      </c>
      <c r="I14" s="453">
        <v>14.9</v>
      </c>
      <c r="J14" s="451">
        <v>14.3</v>
      </c>
      <c r="K14" s="452">
        <f t="shared" si="5"/>
        <v>2.8000000000000007</v>
      </c>
      <c r="L14" s="453">
        <v>17.100000000000001</v>
      </c>
      <c r="M14" s="451">
        <v>64.400000000000006</v>
      </c>
      <c r="N14" s="452">
        <f t="shared" si="1"/>
        <v>28.099999999999994</v>
      </c>
      <c r="O14" s="453">
        <v>92.5</v>
      </c>
      <c r="P14" s="451">
        <v>7.2</v>
      </c>
      <c r="Q14" s="452">
        <f t="shared" si="2"/>
        <v>0</v>
      </c>
      <c r="R14" s="453">
        <v>7.2</v>
      </c>
      <c r="S14" s="451"/>
      <c r="T14" s="452" t="str">
        <f t="shared" si="3"/>
        <v/>
      </c>
      <c r="U14" s="453">
        <v>4.9000000000000004</v>
      </c>
      <c r="V14" s="451"/>
      <c r="W14" s="452" t="str">
        <f t="shared" si="6"/>
        <v/>
      </c>
      <c r="X14" s="453"/>
      <c r="Y14" s="451"/>
      <c r="Z14" s="450" t="str">
        <f t="shared" si="7"/>
        <v/>
      </c>
      <c r="AA14" s="453">
        <v>9.1999999999999993</v>
      </c>
      <c r="AB14" s="451">
        <v>9.1999999999999993</v>
      </c>
      <c r="AC14" s="452">
        <f t="shared" si="8"/>
        <v>2.1000000000000014</v>
      </c>
      <c r="AD14" s="453">
        <v>11.3</v>
      </c>
      <c r="AE14" s="451">
        <v>1.5</v>
      </c>
      <c r="AF14" s="452" t="str">
        <f t="shared" si="9"/>
        <v/>
      </c>
      <c r="AG14" s="453"/>
      <c r="AH14" s="455">
        <v>104.4</v>
      </c>
      <c r="AI14" s="456">
        <f t="shared" si="10"/>
        <v>65.400000000000006</v>
      </c>
      <c r="AJ14" s="457">
        <v>169.8</v>
      </c>
    </row>
    <row r="15" spans="1:36" x14ac:dyDescent="0.25">
      <c r="A15" s="87" t="s">
        <v>71</v>
      </c>
      <c r="B15" s="87">
        <v>15</v>
      </c>
      <c r="C15" s="139">
        <v>36861</v>
      </c>
      <c r="D15" s="458">
        <v>0.7</v>
      </c>
      <c r="E15" s="459">
        <f t="shared" si="4"/>
        <v>7</v>
      </c>
      <c r="F15" s="459">
        <v>7.7</v>
      </c>
      <c r="G15" s="460">
        <v>6.2</v>
      </c>
      <c r="H15" s="461">
        <f t="shared" si="0"/>
        <v>10.100000000000001</v>
      </c>
      <c r="I15" s="462">
        <v>16.3</v>
      </c>
      <c r="J15" s="460">
        <v>18.5</v>
      </c>
      <c r="K15" s="461">
        <f t="shared" si="5"/>
        <v>5.6000000000000014</v>
      </c>
      <c r="L15" s="462">
        <v>24.1</v>
      </c>
      <c r="M15" s="460">
        <v>71.599999999999994</v>
      </c>
      <c r="N15" s="461">
        <f t="shared" si="1"/>
        <v>25.900000000000006</v>
      </c>
      <c r="O15" s="462">
        <v>97.5</v>
      </c>
      <c r="P15" s="460">
        <v>7.3</v>
      </c>
      <c r="Q15" s="461">
        <f t="shared" si="2"/>
        <v>0.10000000000000053</v>
      </c>
      <c r="R15" s="462">
        <v>7.4</v>
      </c>
      <c r="S15" s="460">
        <v>1.8</v>
      </c>
      <c r="T15" s="461">
        <f t="shared" si="3"/>
        <v>4.3</v>
      </c>
      <c r="U15" s="462">
        <v>6.1</v>
      </c>
      <c r="V15" s="460">
        <v>0</v>
      </c>
      <c r="W15" s="461">
        <f t="shared" si="6"/>
        <v>2.9</v>
      </c>
      <c r="X15" s="462">
        <v>2.9</v>
      </c>
      <c r="Y15" s="460">
        <v>0.1</v>
      </c>
      <c r="Z15" s="459">
        <f t="shared" si="7"/>
        <v>9.2000000000000011</v>
      </c>
      <c r="AA15" s="462">
        <v>9.3000000000000007</v>
      </c>
      <c r="AB15" s="460">
        <v>8.1999999999999993</v>
      </c>
      <c r="AC15" s="461">
        <f t="shared" si="8"/>
        <v>1.5</v>
      </c>
      <c r="AD15" s="462">
        <v>9.6999999999999993</v>
      </c>
      <c r="AE15" s="460">
        <v>3.5</v>
      </c>
      <c r="AF15" s="461">
        <f t="shared" si="9"/>
        <v>2.5</v>
      </c>
      <c r="AG15" s="462">
        <v>6</v>
      </c>
      <c r="AH15" s="463">
        <v>118</v>
      </c>
      <c r="AI15" s="464">
        <f t="shared" si="10"/>
        <v>69.199999999999989</v>
      </c>
      <c r="AJ15" s="465">
        <v>187.2</v>
      </c>
    </row>
    <row r="16" spans="1:36" x14ac:dyDescent="0.25">
      <c r="A16" s="87" t="s">
        <v>532</v>
      </c>
      <c r="B16" s="87">
        <v>18</v>
      </c>
      <c r="C16" s="139">
        <v>36951</v>
      </c>
      <c r="D16" s="449">
        <v>0.6</v>
      </c>
      <c r="E16" s="450">
        <f t="shared" si="4"/>
        <v>5.2</v>
      </c>
      <c r="F16" s="450">
        <v>5.8</v>
      </c>
      <c r="G16" s="451">
        <v>3.7</v>
      </c>
      <c r="H16" s="452">
        <f t="shared" si="0"/>
        <v>9.3999999999999986</v>
      </c>
      <c r="I16" s="453">
        <v>13.1</v>
      </c>
      <c r="J16" s="451">
        <v>12.3</v>
      </c>
      <c r="K16" s="452">
        <f t="shared" si="5"/>
        <v>2.3999999999999986</v>
      </c>
      <c r="L16" s="453">
        <v>14.7</v>
      </c>
      <c r="M16" s="451">
        <v>62.2</v>
      </c>
      <c r="N16" s="452">
        <f t="shared" si="1"/>
        <v>21.099999999999994</v>
      </c>
      <c r="O16" s="453">
        <v>83.3</v>
      </c>
      <c r="P16" s="451">
        <v>3.4</v>
      </c>
      <c r="Q16" s="452">
        <f t="shared" si="2"/>
        <v>0</v>
      </c>
      <c r="R16" s="453">
        <v>3.4</v>
      </c>
      <c r="S16" s="451">
        <v>2</v>
      </c>
      <c r="T16" s="452">
        <f t="shared" si="3"/>
        <v>3.8</v>
      </c>
      <c r="U16" s="453">
        <v>5.8</v>
      </c>
      <c r="V16" s="451">
        <v>0</v>
      </c>
      <c r="W16" s="452">
        <f t="shared" si="6"/>
        <v>1.1000000000000001</v>
      </c>
      <c r="X16" s="453">
        <v>1.1000000000000001</v>
      </c>
      <c r="Y16" s="451"/>
      <c r="Z16" s="450" t="str">
        <f t="shared" si="7"/>
        <v/>
      </c>
      <c r="AA16" s="453">
        <v>7.6</v>
      </c>
      <c r="AB16" s="451"/>
      <c r="AC16" s="452" t="str">
        <f t="shared" si="8"/>
        <v/>
      </c>
      <c r="AD16" s="453">
        <v>4.0999999999999996</v>
      </c>
      <c r="AE16" s="451">
        <v>2.8</v>
      </c>
      <c r="AF16" s="452">
        <f t="shared" si="9"/>
        <v>1.7999999999999998</v>
      </c>
      <c r="AG16" s="453">
        <v>4.5999999999999996</v>
      </c>
      <c r="AH16" s="455">
        <v>90.8</v>
      </c>
      <c r="AI16" s="456">
        <f t="shared" si="10"/>
        <v>52.7</v>
      </c>
      <c r="AJ16" s="457">
        <v>143.5</v>
      </c>
    </row>
    <row r="17" spans="1:36" x14ac:dyDescent="0.25">
      <c r="A17" s="87" t="s">
        <v>159</v>
      </c>
      <c r="B17" s="87">
        <v>21</v>
      </c>
      <c r="C17" s="139">
        <v>37043</v>
      </c>
      <c r="D17" s="458">
        <v>1</v>
      </c>
      <c r="E17" s="459">
        <f t="shared" si="4"/>
        <v>11.3</v>
      </c>
      <c r="F17" s="459">
        <v>12.3</v>
      </c>
      <c r="G17" s="460">
        <v>3.9</v>
      </c>
      <c r="H17" s="461">
        <f t="shared" si="0"/>
        <v>11.6</v>
      </c>
      <c r="I17" s="462">
        <v>15.5</v>
      </c>
      <c r="J17" s="460">
        <v>15.4</v>
      </c>
      <c r="K17" s="461">
        <f t="shared" si="5"/>
        <v>1.4999999999999982</v>
      </c>
      <c r="L17" s="462">
        <v>16.899999999999999</v>
      </c>
      <c r="M17" s="460">
        <v>73.7</v>
      </c>
      <c r="N17" s="461">
        <f t="shared" si="1"/>
        <v>23.099999999999994</v>
      </c>
      <c r="O17" s="462">
        <v>96.8</v>
      </c>
      <c r="P17" s="460">
        <v>5.3</v>
      </c>
      <c r="Q17" s="461">
        <f t="shared" si="2"/>
        <v>0.10000000000000053</v>
      </c>
      <c r="R17" s="462">
        <v>5.4</v>
      </c>
      <c r="S17" s="460">
        <v>2</v>
      </c>
      <c r="T17" s="461">
        <f t="shared" si="3"/>
        <v>4.8</v>
      </c>
      <c r="U17" s="462">
        <v>6.8</v>
      </c>
      <c r="V17" s="460">
        <v>0</v>
      </c>
      <c r="W17" s="461" t="str">
        <f t="shared" si="6"/>
        <v/>
      </c>
      <c r="X17" s="462"/>
      <c r="Y17" s="460"/>
      <c r="Z17" s="459" t="str">
        <f t="shared" si="7"/>
        <v/>
      </c>
      <c r="AA17" s="462">
        <v>15.1</v>
      </c>
      <c r="AB17" s="460">
        <v>5.6</v>
      </c>
      <c r="AC17" s="461">
        <f t="shared" si="8"/>
        <v>1.1000000000000005</v>
      </c>
      <c r="AD17" s="462">
        <v>6.7</v>
      </c>
      <c r="AE17" s="460"/>
      <c r="AF17" s="461" t="str">
        <f t="shared" si="9"/>
        <v/>
      </c>
      <c r="AG17" s="462"/>
      <c r="AH17" s="463">
        <v>110.9</v>
      </c>
      <c r="AI17" s="464">
        <f t="shared" si="10"/>
        <v>71.900000000000006</v>
      </c>
      <c r="AJ17" s="465">
        <v>182.8</v>
      </c>
    </row>
    <row r="18" spans="1:36" x14ac:dyDescent="0.25">
      <c r="A18" s="87" t="s">
        <v>119</v>
      </c>
      <c r="B18" s="87">
        <v>24</v>
      </c>
      <c r="C18" s="139">
        <v>37135</v>
      </c>
      <c r="D18" s="449">
        <v>1.4</v>
      </c>
      <c r="E18" s="450">
        <f t="shared" si="4"/>
        <v>8.6</v>
      </c>
      <c r="F18" s="450">
        <v>10</v>
      </c>
      <c r="G18" s="451">
        <v>3.4</v>
      </c>
      <c r="H18" s="452">
        <f t="shared" si="0"/>
        <v>8</v>
      </c>
      <c r="I18" s="453">
        <v>11.4</v>
      </c>
      <c r="J18" s="451">
        <v>13.3</v>
      </c>
      <c r="K18" s="452">
        <f t="shared" si="5"/>
        <v>1.5999999999999996</v>
      </c>
      <c r="L18" s="453">
        <v>14.9</v>
      </c>
      <c r="M18" s="451">
        <v>64.8</v>
      </c>
      <c r="N18" s="452">
        <f t="shared" si="1"/>
        <v>21.600000000000009</v>
      </c>
      <c r="O18" s="453">
        <v>86.4</v>
      </c>
      <c r="P18" s="451">
        <v>4.4000000000000004</v>
      </c>
      <c r="Q18" s="452">
        <f t="shared" si="2"/>
        <v>0</v>
      </c>
      <c r="R18" s="453">
        <v>4.4000000000000004</v>
      </c>
      <c r="S18" s="451">
        <v>2</v>
      </c>
      <c r="T18" s="452">
        <f t="shared" si="3"/>
        <v>5.8</v>
      </c>
      <c r="U18" s="453">
        <v>7.8</v>
      </c>
      <c r="V18" s="451">
        <v>0</v>
      </c>
      <c r="W18" s="452">
        <f t="shared" si="6"/>
        <v>3</v>
      </c>
      <c r="X18" s="453">
        <v>3</v>
      </c>
      <c r="Y18" s="451"/>
      <c r="Z18" s="450" t="str">
        <f t="shared" si="7"/>
        <v/>
      </c>
      <c r="AA18" s="453">
        <v>11.9</v>
      </c>
      <c r="AB18" s="451"/>
      <c r="AC18" s="452" t="str">
        <f t="shared" si="8"/>
        <v/>
      </c>
      <c r="AD18" s="453">
        <v>9.4</v>
      </c>
      <c r="AE18" s="451">
        <v>5.9</v>
      </c>
      <c r="AF18" s="452">
        <f t="shared" si="9"/>
        <v>2.2999999999999989</v>
      </c>
      <c r="AG18" s="453">
        <v>8.1999999999999993</v>
      </c>
      <c r="AH18" s="455">
        <v>103.3</v>
      </c>
      <c r="AI18" s="456">
        <f t="shared" si="10"/>
        <v>64.100000000000009</v>
      </c>
      <c r="AJ18" s="457">
        <v>167.4</v>
      </c>
    </row>
    <row r="19" spans="1:36" x14ac:dyDescent="0.25">
      <c r="A19" s="87" t="s">
        <v>74</v>
      </c>
      <c r="B19" s="87">
        <v>27</v>
      </c>
      <c r="C19" s="139">
        <v>37226</v>
      </c>
      <c r="D19" s="458">
        <v>1.4</v>
      </c>
      <c r="E19" s="459">
        <f t="shared" si="4"/>
        <v>8.9</v>
      </c>
      <c r="F19" s="459">
        <v>10.3</v>
      </c>
      <c r="G19" s="460">
        <v>2.6</v>
      </c>
      <c r="H19" s="461">
        <f t="shared" si="0"/>
        <v>6.7000000000000011</v>
      </c>
      <c r="I19" s="462">
        <v>9.3000000000000007</v>
      </c>
      <c r="J19" s="460">
        <v>14.7</v>
      </c>
      <c r="K19" s="461">
        <f t="shared" si="5"/>
        <v>2</v>
      </c>
      <c r="L19" s="462">
        <v>16.7</v>
      </c>
      <c r="M19" s="460">
        <v>60.4</v>
      </c>
      <c r="N19" s="461">
        <f t="shared" si="1"/>
        <v>23.800000000000004</v>
      </c>
      <c r="O19" s="462">
        <v>84.2</v>
      </c>
      <c r="P19" s="460">
        <v>6.9</v>
      </c>
      <c r="Q19" s="461">
        <f t="shared" si="2"/>
        <v>0</v>
      </c>
      <c r="R19" s="462">
        <v>6.9</v>
      </c>
      <c r="S19" s="460"/>
      <c r="T19" s="461" t="str">
        <f t="shared" si="3"/>
        <v/>
      </c>
      <c r="U19" s="462">
        <v>8.6999999999999993</v>
      </c>
      <c r="V19" s="460">
        <v>0</v>
      </c>
      <c r="W19" s="461">
        <f t="shared" si="6"/>
        <v>2.1</v>
      </c>
      <c r="X19" s="462">
        <v>2.1</v>
      </c>
      <c r="Y19" s="460"/>
      <c r="Z19" s="459" t="str">
        <f t="shared" si="7"/>
        <v/>
      </c>
      <c r="AA19" s="462">
        <v>14.4</v>
      </c>
      <c r="AB19" s="460">
        <v>9.8000000000000007</v>
      </c>
      <c r="AC19" s="461">
        <f t="shared" si="8"/>
        <v>0.89999999999999858</v>
      </c>
      <c r="AD19" s="462">
        <v>10.7</v>
      </c>
      <c r="AE19" s="460">
        <v>6</v>
      </c>
      <c r="AF19" s="461">
        <f t="shared" si="9"/>
        <v>1.2999999999999998</v>
      </c>
      <c r="AG19" s="462">
        <v>7.3</v>
      </c>
      <c r="AH19" s="463">
        <v>103.5</v>
      </c>
      <c r="AI19" s="464">
        <f t="shared" si="10"/>
        <v>67.199999999999989</v>
      </c>
      <c r="AJ19" s="465">
        <v>170.7</v>
      </c>
    </row>
    <row r="20" spans="1:36" x14ac:dyDescent="0.25">
      <c r="C20" s="139">
        <v>37316</v>
      </c>
      <c r="D20" s="449">
        <v>0.6</v>
      </c>
      <c r="E20" s="450">
        <f t="shared" si="4"/>
        <v>7.5</v>
      </c>
      <c r="F20" s="450">
        <v>8.1</v>
      </c>
      <c r="G20" s="451">
        <v>2.1</v>
      </c>
      <c r="H20" s="452">
        <f t="shared" si="0"/>
        <v>4.5999999999999996</v>
      </c>
      <c r="I20" s="453">
        <v>6.7</v>
      </c>
      <c r="J20" s="451">
        <v>8.5</v>
      </c>
      <c r="K20" s="452">
        <f t="shared" si="5"/>
        <v>1.3000000000000007</v>
      </c>
      <c r="L20" s="453">
        <v>9.8000000000000007</v>
      </c>
      <c r="M20" s="451">
        <v>53.5</v>
      </c>
      <c r="N20" s="452">
        <f t="shared" si="1"/>
        <v>20.400000000000006</v>
      </c>
      <c r="O20" s="453">
        <v>73.900000000000006</v>
      </c>
      <c r="P20" s="451">
        <v>7.4</v>
      </c>
      <c r="Q20" s="452">
        <f t="shared" si="2"/>
        <v>0</v>
      </c>
      <c r="R20" s="453">
        <v>7.4</v>
      </c>
      <c r="S20" s="451">
        <v>2.4</v>
      </c>
      <c r="T20" s="452">
        <f t="shared" si="3"/>
        <v>4.5999999999999996</v>
      </c>
      <c r="U20" s="453">
        <v>7</v>
      </c>
      <c r="V20" s="451">
        <v>0</v>
      </c>
      <c r="W20" s="452">
        <f t="shared" si="6"/>
        <v>0.9</v>
      </c>
      <c r="X20" s="453">
        <v>0.9</v>
      </c>
      <c r="Y20" s="451">
        <v>0</v>
      </c>
      <c r="Z20" s="450">
        <f t="shared" si="7"/>
        <v>10.199999999999999</v>
      </c>
      <c r="AA20" s="453">
        <v>10.199999999999999</v>
      </c>
      <c r="AB20" s="451">
        <v>4.3</v>
      </c>
      <c r="AC20" s="452">
        <f t="shared" si="8"/>
        <v>1.4000000000000004</v>
      </c>
      <c r="AD20" s="453">
        <v>5.7</v>
      </c>
      <c r="AE20" s="451">
        <v>3.7</v>
      </c>
      <c r="AF20" s="452">
        <f t="shared" si="9"/>
        <v>0.89999999999999947</v>
      </c>
      <c r="AG20" s="453">
        <v>4.5999999999999996</v>
      </c>
      <c r="AH20" s="455">
        <v>82.5</v>
      </c>
      <c r="AI20" s="456">
        <f t="shared" si="10"/>
        <v>51.699999999999989</v>
      </c>
      <c r="AJ20" s="457">
        <v>134.19999999999999</v>
      </c>
    </row>
    <row r="21" spans="1:36" x14ac:dyDescent="0.25">
      <c r="C21" s="139">
        <v>37408</v>
      </c>
      <c r="D21" s="458">
        <v>1.1000000000000001</v>
      </c>
      <c r="E21" s="459">
        <f t="shared" si="4"/>
        <v>12</v>
      </c>
      <c r="F21" s="459">
        <v>13.1</v>
      </c>
      <c r="G21" s="460">
        <v>2.2999999999999998</v>
      </c>
      <c r="H21" s="461">
        <f t="shared" si="0"/>
        <v>8</v>
      </c>
      <c r="I21" s="462">
        <v>10.3</v>
      </c>
      <c r="J21" s="460">
        <v>10.6</v>
      </c>
      <c r="K21" s="461">
        <f t="shared" si="5"/>
        <v>1.7000000000000011</v>
      </c>
      <c r="L21" s="462">
        <v>12.3</v>
      </c>
      <c r="M21" s="460">
        <v>59.4</v>
      </c>
      <c r="N21" s="461">
        <f t="shared" si="1"/>
        <v>27.4</v>
      </c>
      <c r="O21" s="462">
        <v>86.8</v>
      </c>
      <c r="P21" s="460">
        <v>6.5</v>
      </c>
      <c r="Q21" s="461">
        <f t="shared" si="2"/>
        <v>0</v>
      </c>
      <c r="R21" s="462">
        <v>6.5</v>
      </c>
      <c r="S21" s="460">
        <v>2.2999999999999998</v>
      </c>
      <c r="T21" s="461">
        <f t="shared" si="3"/>
        <v>7.3999999999999995</v>
      </c>
      <c r="U21" s="462">
        <v>9.6999999999999993</v>
      </c>
      <c r="V21" s="460"/>
      <c r="W21" s="461" t="str">
        <f t="shared" si="6"/>
        <v/>
      </c>
      <c r="X21" s="462">
        <v>2.7</v>
      </c>
      <c r="Y21" s="460"/>
      <c r="Z21" s="459" t="str">
        <f t="shared" si="7"/>
        <v/>
      </c>
      <c r="AA21" s="462">
        <v>13.9</v>
      </c>
      <c r="AB21" s="460">
        <v>7.1</v>
      </c>
      <c r="AC21" s="461">
        <f t="shared" si="8"/>
        <v>2.5</v>
      </c>
      <c r="AD21" s="462">
        <v>9.6</v>
      </c>
      <c r="AE21" s="460">
        <v>1.9</v>
      </c>
      <c r="AF21" s="461">
        <f t="shared" si="9"/>
        <v>1.5</v>
      </c>
      <c r="AG21" s="462">
        <v>3.4</v>
      </c>
      <c r="AH21" s="463">
        <v>91.8</v>
      </c>
      <c r="AI21" s="464">
        <f t="shared" si="10"/>
        <v>76.500000000000014</v>
      </c>
      <c r="AJ21" s="465">
        <v>168.3</v>
      </c>
    </row>
    <row r="22" spans="1:36" x14ac:dyDescent="0.25">
      <c r="C22" s="139">
        <v>37500</v>
      </c>
      <c r="D22" s="449">
        <v>0.6</v>
      </c>
      <c r="E22" s="450">
        <f t="shared" si="4"/>
        <v>10.5</v>
      </c>
      <c r="F22" s="450">
        <v>11.1</v>
      </c>
      <c r="G22" s="451">
        <v>2.9</v>
      </c>
      <c r="H22" s="452">
        <f t="shared" si="0"/>
        <v>5.9</v>
      </c>
      <c r="I22" s="453">
        <v>8.8000000000000007</v>
      </c>
      <c r="J22" s="451">
        <v>12.5</v>
      </c>
      <c r="K22" s="452">
        <f t="shared" si="5"/>
        <v>2.1999999999999993</v>
      </c>
      <c r="L22" s="453">
        <v>14.7</v>
      </c>
      <c r="M22" s="451">
        <v>70.099999999999994</v>
      </c>
      <c r="N22" s="452">
        <f t="shared" si="1"/>
        <v>25.100000000000009</v>
      </c>
      <c r="O22" s="453">
        <v>95.2</v>
      </c>
      <c r="P22" s="451"/>
      <c r="Q22" s="452" t="str">
        <f t="shared" si="2"/>
        <v/>
      </c>
      <c r="R22" s="453">
        <v>9</v>
      </c>
      <c r="S22" s="451">
        <v>1.9</v>
      </c>
      <c r="T22" s="452">
        <f t="shared" si="3"/>
        <v>6.4</v>
      </c>
      <c r="U22" s="453">
        <v>8.3000000000000007</v>
      </c>
      <c r="V22" s="451"/>
      <c r="W22" s="452" t="str">
        <f t="shared" si="6"/>
        <v/>
      </c>
      <c r="X22" s="453">
        <v>2.5</v>
      </c>
      <c r="Y22" s="451"/>
      <c r="Z22" s="450" t="str">
        <f t="shared" si="7"/>
        <v/>
      </c>
      <c r="AA22" s="453">
        <v>16</v>
      </c>
      <c r="AB22" s="451">
        <v>7.3</v>
      </c>
      <c r="AC22" s="452">
        <f t="shared" si="8"/>
        <v>3.1000000000000005</v>
      </c>
      <c r="AD22" s="453">
        <v>10.4</v>
      </c>
      <c r="AE22" s="451">
        <v>4.2</v>
      </c>
      <c r="AF22" s="452">
        <f t="shared" si="9"/>
        <v>2.8</v>
      </c>
      <c r="AG22" s="453">
        <v>7</v>
      </c>
      <c r="AH22" s="455">
        <v>110.1</v>
      </c>
      <c r="AI22" s="456">
        <f t="shared" si="10"/>
        <v>72.800000000000011</v>
      </c>
      <c r="AJ22" s="457">
        <v>182.9</v>
      </c>
    </row>
    <row r="23" spans="1:36" x14ac:dyDescent="0.25">
      <c r="C23" s="139">
        <v>37591</v>
      </c>
      <c r="D23" s="458">
        <v>1.1000000000000001</v>
      </c>
      <c r="E23" s="459">
        <f t="shared" si="4"/>
        <v>9</v>
      </c>
      <c r="F23" s="459">
        <v>10.1</v>
      </c>
      <c r="G23" s="460">
        <v>4.4000000000000004</v>
      </c>
      <c r="H23" s="461">
        <f t="shared" si="0"/>
        <v>5.9</v>
      </c>
      <c r="I23" s="462">
        <v>10.3</v>
      </c>
      <c r="J23" s="460">
        <v>13.8</v>
      </c>
      <c r="K23" s="461">
        <f t="shared" si="5"/>
        <v>4.0999999999999979</v>
      </c>
      <c r="L23" s="462">
        <v>17.899999999999999</v>
      </c>
      <c r="M23" s="460">
        <v>69.8</v>
      </c>
      <c r="N23" s="461">
        <f t="shared" si="1"/>
        <v>29.5</v>
      </c>
      <c r="O23" s="462">
        <v>99.3</v>
      </c>
      <c r="P23" s="460"/>
      <c r="Q23" s="461" t="str">
        <f t="shared" si="2"/>
        <v/>
      </c>
      <c r="R23" s="462">
        <v>14.1</v>
      </c>
      <c r="S23" s="460">
        <v>1.8</v>
      </c>
      <c r="T23" s="461">
        <f t="shared" si="3"/>
        <v>3.9000000000000004</v>
      </c>
      <c r="U23" s="462">
        <v>5.7</v>
      </c>
      <c r="V23" s="460"/>
      <c r="W23" s="461" t="str">
        <f t="shared" si="6"/>
        <v/>
      </c>
      <c r="X23" s="462">
        <v>2</v>
      </c>
      <c r="Y23" s="460"/>
      <c r="Z23" s="459" t="str">
        <f t="shared" si="7"/>
        <v/>
      </c>
      <c r="AA23" s="462">
        <v>21.1</v>
      </c>
      <c r="AB23" s="460">
        <v>3.9</v>
      </c>
      <c r="AC23" s="461">
        <f t="shared" si="8"/>
        <v>3.0000000000000004</v>
      </c>
      <c r="AD23" s="462">
        <v>6.9</v>
      </c>
      <c r="AE23" s="460">
        <v>2.6</v>
      </c>
      <c r="AF23" s="461">
        <f t="shared" si="9"/>
        <v>2.8000000000000003</v>
      </c>
      <c r="AG23" s="462">
        <v>5.4</v>
      </c>
      <c r="AH23" s="463">
        <v>111.1</v>
      </c>
      <c r="AI23" s="464">
        <f t="shared" si="10"/>
        <v>81.700000000000017</v>
      </c>
      <c r="AJ23" s="465">
        <v>192.8</v>
      </c>
    </row>
    <row r="24" spans="1:36" x14ac:dyDescent="0.25">
      <c r="C24" s="139">
        <v>37681</v>
      </c>
      <c r="D24" s="449">
        <v>1</v>
      </c>
      <c r="E24" s="450">
        <f t="shared" si="4"/>
        <v>7.6</v>
      </c>
      <c r="F24" s="450">
        <v>8.6</v>
      </c>
      <c r="G24" s="451">
        <v>2.2000000000000002</v>
      </c>
      <c r="H24" s="452">
        <f t="shared" si="0"/>
        <v>4.5</v>
      </c>
      <c r="I24" s="453">
        <v>6.7</v>
      </c>
      <c r="J24" s="451">
        <v>10.1</v>
      </c>
      <c r="K24" s="452">
        <f t="shared" si="5"/>
        <v>2.2000000000000011</v>
      </c>
      <c r="L24" s="453">
        <v>12.3</v>
      </c>
      <c r="M24" s="451">
        <v>58.5</v>
      </c>
      <c r="N24" s="452">
        <f t="shared" si="1"/>
        <v>26.099999999999994</v>
      </c>
      <c r="O24" s="453">
        <v>84.6</v>
      </c>
      <c r="P24" s="451">
        <v>11.2</v>
      </c>
      <c r="Q24" s="452">
        <f t="shared" si="2"/>
        <v>0</v>
      </c>
      <c r="R24" s="453">
        <v>11.2</v>
      </c>
      <c r="S24" s="451">
        <v>1.8</v>
      </c>
      <c r="T24" s="452">
        <f t="shared" si="3"/>
        <v>3.5</v>
      </c>
      <c r="U24" s="453">
        <v>5.3</v>
      </c>
      <c r="V24" s="451"/>
      <c r="W24" s="452" t="str">
        <f t="shared" si="6"/>
        <v/>
      </c>
      <c r="X24" s="453">
        <v>0.7</v>
      </c>
      <c r="Y24" s="451"/>
      <c r="Z24" s="450" t="str">
        <f t="shared" si="7"/>
        <v/>
      </c>
      <c r="AA24" s="453">
        <v>14</v>
      </c>
      <c r="AB24" s="451">
        <v>2.8</v>
      </c>
      <c r="AC24" s="452">
        <f t="shared" si="8"/>
        <v>1.7999999999999998</v>
      </c>
      <c r="AD24" s="453">
        <v>4.5999999999999996</v>
      </c>
      <c r="AE24" s="451">
        <v>3</v>
      </c>
      <c r="AF24" s="452">
        <f t="shared" si="9"/>
        <v>2.5</v>
      </c>
      <c r="AG24" s="453">
        <v>5.5</v>
      </c>
      <c r="AH24" s="455">
        <v>90.8</v>
      </c>
      <c r="AI24" s="456">
        <f t="shared" si="10"/>
        <v>62.600000000000009</v>
      </c>
      <c r="AJ24" s="457">
        <v>153.4</v>
      </c>
    </row>
    <row r="25" spans="1:36" x14ac:dyDescent="0.25">
      <c r="C25" s="139">
        <v>37773</v>
      </c>
      <c r="D25" s="458"/>
      <c r="E25" s="459" t="str">
        <f t="shared" si="4"/>
        <v/>
      </c>
      <c r="F25" s="459">
        <v>10</v>
      </c>
      <c r="G25" s="460"/>
      <c r="H25" s="461" t="str">
        <f t="shared" si="0"/>
        <v/>
      </c>
      <c r="I25" s="462">
        <v>10.9</v>
      </c>
      <c r="J25" s="460">
        <v>17.7</v>
      </c>
      <c r="K25" s="461">
        <f t="shared" si="5"/>
        <v>3.3000000000000007</v>
      </c>
      <c r="L25" s="462">
        <v>21</v>
      </c>
      <c r="M25" s="460">
        <v>67.2</v>
      </c>
      <c r="N25" s="461">
        <f t="shared" si="1"/>
        <v>32.099999999999994</v>
      </c>
      <c r="O25" s="462">
        <v>99.3</v>
      </c>
      <c r="P25" s="460"/>
      <c r="Q25" s="461" t="str">
        <f t="shared" si="2"/>
        <v/>
      </c>
      <c r="R25" s="462">
        <v>10.199999999999999</v>
      </c>
      <c r="S25" s="460"/>
      <c r="T25" s="461" t="str">
        <f t="shared" si="3"/>
        <v/>
      </c>
      <c r="U25" s="462">
        <v>8</v>
      </c>
      <c r="V25" s="460"/>
      <c r="W25" s="461" t="str">
        <f t="shared" si="6"/>
        <v/>
      </c>
      <c r="X25" s="462">
        <v>1.7</v>
      </c>
      <c r="Y25" s="460"/>
      <c r="Z25" s="459" t="str">
        <f t="shared" si="7"/>
        <v/>
      </c>
      <c r="AA25" s="462">
        <v>26.7</v>
      </c>
      <c r="AB25" s="460">
        <v>3.8</v>
      </c>
      <c r="AC25" s="461">
        <f t="shared" si="8"/>
        <v>4.2</v>
      </c>
      <c r="AD25" s="462">
        <v>8</v>
      </c>
      <c r="AE25" s="460">
        <v>3.1</v>
      </c>
      <c r="AF25" s="461">
        <f t="shared" si="9"/>
        <v>4.8000000000000007</v>
      </c>
      <c r="AG25" s="462">
        <v>7.9</v>
      </c>
      <c r="AH25" s="463">
        <v>111.6</v>
      </c>
      <c r="AI25" s="464">
        <f t="shared" si="10"/>
        <v>92.1</v>
      </c>
      <c r="AJ25" s="465">
        <v>203.7</v>
      </c>
    </row>
    <row r="26" spans="1:36" x14ac:dyDescent="0.25">
      <c r="C26" s="139">
        <v>37865</v>
      </c>
      <c r="D26" s="449">
        <v>0.3</v>
      </c>
      <c r="E26" s="450">
        <f t="shared" si="4"/>
        <v>6.7</v>
      </c>
      <c r="F26" s="450">
        <v>7</v>
      </c>
      <c r="G26" s="451">
        <v>2.6</v>
      </c>
      <c r="H26" s="452">
        <f t="shared" si="0"/>
        <v>3.1999999999999997</v>
      </c>
      <c r="I26" s="453">
        <v>5.8</v>
      </c>
      <c r="J26" s="451">
        <v>12.9</v>
      </c>
      <c r="K26" s="452">
        <f t="shared" si="5"/>
        <v>1.5</v>
      </c>
      <c r="L26" s="453">
        <v>14.4</v>
      </c>
      <c r="M26" s="451">
        <v>68</v>
      </c>
      <c r="N26" s="452">
        <f t="shared" si="1"/>
        <v>28.700000000000003</v>
      </c>
      <c r="O26" s="453">
        <v>96.7</v>
      </c>
      <c r="P26" s="451"/>
      <c r="Q26" s="452" t="str">
        <f t="shared" si="2"/>
        <v/>
      </c>
      <c r="R26" s="453">
        <v>13.1</v>
      </c>
      <c r="S26" s="451">
        <v>3</v>
      </c>
      <c r="T26" s="452">
        <f t="shared" si="3"/>
        <v>3.9000000000000004</v>
      </c>
      <c r="U26" s="453">
        <v>6.9</v>
      </c>
      <c r="V26" s="451">
        <v>0</v>
      </c>
      <c r="W26" s="452">
        <f t="shared" si="6"/>
        <v>3.5</v>
      </c>
      <c r="X26" s="453">
        <v>3.5</v>
      </c>
      <c r="Y26" s="451"/>
      <c r="Z26" s="450" t="str">
        <f t="shared" si="7"/>
        <v/>
      </c>
      <c r="AA26" s="453">
        <v>19.899999999999999</v>
      </c>
      <c r="AB26" s="451">
        <v>4.9000000000000004</v>
      </c>
      <c r="AC26" s="452">
        <f t="shared" si="8"/>
        <v>2.1999999999999993</v>
      </c>
      <c r="AD26" s="453">
        <v>7.1</v>
      </c>
      <c r="AE26" s="451">
        <v>3.6</v>
      </c>
      <c r="AF26" s="452">
        <f t="shared" si="9"/>
        <v>1.8000000000000003</v>
      </c>
      <c r="AG26" s="453">
        <v>5.4</v>
      </c>
      <c r="AH26" s="455">
        <v>108.5</v>
      </c>
      <c r="AI26" s="456">
        <f t="shared" si="10"/>
        <v>71.199999999999989</v>
      </c>
      <c r="AJ26" s="457">
        <v>179.7</v>
      </c>
    </row>
    <row r="27" spans="1:36" x14ac:dyDescent="0.25">
      <c r="C27" s="139">
        <v>37956</v>
      </c>
      <c r="D27" s="458"/>
      <c r="E27" s="459" t="str">
        <f t="shared" si="4"/>
        <v/>
      </c>
      <c r="F27" s="459">
        <v>8.9</v>
      </c>
      <c r="G27" s="460"/>
      <c r="H27" s="461" t="str">
        <f t="shared" si="0"/>
        <v/>
      </c>
      <c r="I27" s="462">
        <v>6.3</v>
      </c>
      <c r="J27" s="460">
        <v>20</v>
      </c>
      <c r="K27" s="461">
        <f t="shared" si="5"/>
        <v>2.8000000000000007</v>
      </c>
      <c r="L27" s="462">
        <v>22.8</v>
      </c>
      <c r="M27" s="460">
        <v>66.400000000000006</v>
      </c>
      <c r="N27" s="461">
        <f t="shared" si="1"/>
        <v>26.699999999999989</v>
      </c>
      <c r="O27" s="462">
        <v>93.1</v>
      </c>
      <c r="P27" s="460"/>
      <c r="Q27" s="461" t="str">
        <f t="shared" si="2"/>
        <v/>
      </c>
      <c r="R27" s="462">
        <v>17.600000000000001</v>
      </c>
      <c r="S27" s="460">
        <v>2.4</v>
      </c>
      <c r="T27" s="461">
        <f t="shared" si="3"/>
        <v>3.6999999999999997</v>
      </c>
      <c r="U27" s="462">
        <v>6.1</v>
      </c>
      <c r="V27" s="460"/>
      <c r="W27" s="461" t="str">
        <f t="shared" si="6"/>
        <v/>
      </c>
      <c r="X27" s="462">
        <v>3</v>
      </c>
      <c r="Y27" s="460"/>
      <c r="Z27" s="459" t="str">
        <f t="shared" si="7"/>
        <v/>
      </c>
      <c r="AA27" s="462">
        <v>24.1</v>
      </c>
      <c r="AB27" s="460">
        <v>5.8</v>
      </c>
      <c r="AC27" s="461">
        <f t="shared" si="8"/>
        <v>2.1000000000000005</v>
      </c>
      <c r="AD27" s="462">
        <v>7.9</v>
      </c>
      <c r="AE27" s="460">
        <v>5.9</v>
      </c>
      <c r="AF27" s="461">
        <f t="shared" si="9"/>
        <v>3.7999999999999989</v>
      </c>
      <c r="AG27" s="462">
        <v>9.6999999999999993</v>
      </c>
      <c r="AH27" s="463">
        <v>122</v>
      </c>
      <c r="AI27" s="464">
        <f t="shared" si="10"/>
        <v>77.5</v>
      </c>
      <c r="AJ27" s="465">
        <v>199.5</v>
      </c>
    </row>
    <row r="28" spans="1:36" x14ac:dyDescent="0.25">
      <c r="C28" s="139">
        <v>38047</v>
      </c>
      <c r="D28" s="449">
        <v>0.7</v>
      </c>
      <c r="E28" s="450">
        <f t="shared" si="4"/>
        <v>7.4999999999999991</v>
      </c>
      <c r="F28" s="450">
        <v>8.1999999999999993</v>
      </c>
      <c r="G28" s="451">
        <v>0.7</v>
      </c>
      <c r="H28" s="452">
        <f t="shared" si="0"/>
        <v>5.5</v>
      </c>
      <c r="I28" s="453">
        <v>6.2</v>
      </c>
      <c r="J28" s="451">
        <v>14.3</v>
      </c>
      <c r="K28" s="452">
        <f t="shared" si="5"/>
        <v>1.1999999999999993</v>
      </c>
      <c r="L28" s="453">
        <v>15.5</v>
      </c>
      <c r="M28" s="451">
        <v>59.3</v>
      </c>
      <c r="N28" s="452">
        <f t="shared" si="1"/>
        <v>31.900000000000006</v>
      </c>
      <c r="O28" s="453">
        <v>91.2</v>
      </c>
      <c r="P28" s="451"/>
      <c r="Q28" s="452" t="str">
        <f t="shared" si="2"/>
        <v/>
      </c>
      <c r="R28" s="453">
        <v>13.8</v>
      </c>
      <c r="S28" s="451">
        <v>1.6</v>
      </c>
      <c r="T28" s="452">
        <f t="shared" si="3"/>
        <v>2</v>
      </c>
      <c r="U28" s="453">
        <v>3.6</v>
      </c>
      <c r="V28" s="451"/>
      <c r="W28" s="452" t="str">
        <f t="shared" si="6"/>
        <v/>
      </c>
      <c r="X28" s="453">
        <v>1.3</v>
      </c>
      <c r="Y28" s="451"/>
      <c r="Z28" s="450" t="str">
        <f t="shared" si="7"/>
        <v/>
      </c>
      <c r="AA28" s="453">
        <v>13.7</v>
      </c>
      <c r="AB28" s="451">
        <v>2.7</v>
      </c>
      <c r="AC28" s="452">
        <f t="shared" si="8"/>
        <v>2.2999999999999998</v>
      </c>
      <c r="AD28" s="453">
        <v>5</v>
      </c>
      <c r="AE28" s="451">
        <v>3.2</v>
      </c>
      <c r="AF28" s="452">
        <f t="shared" si="9"/>
        <v>5.6000000000000005</v>
      </c>
      <c r="AG28" s="453">
        <v>8.8000000000000007</v>
      </c>
      <c r="AH28" s="455">
        <v>96.5</v>
      </c>
      <c r="AI28" s="456">
        <f t="shared" si="10"/>
        <v>70.800000000000011</v>
      </c>
      <c r="AJ28" s="457">
        <v>167.3</v>
      </c>
    </row>
    <row r="29" spans="1:36" x14ac:dyDescent="0.25">
      <c r="C29" s="139">
        <v>38139</v>
      </c>
      <c r="D29" s="458">
        <v>1.2</v>
      </c>
      <c r="E29" s="459">
        <f t="shared" si="4"/>
        <v>12.600000000000001</v>
      </c>
      <c r="F29" s="459">
        <v>13.8</v>
      </c>
      <c r="G29" s="460">
        <v>0.6</v>
      </c>
      <c r="H29" s="461">
        <f t="shared" si="0"/>
        <v>10.9</v>
      </c>
      <c r="I29" s="462">
        <v>11.5</v>
      </c>
      <c r="J29" s="460">
        <v>23.4</v>
      </c>
      <c r="K29" s="461">
        <f t="shared" si="5"/>
        <v>8.1000000000000014</v>
      </c>
      <c r="L29" s="462">
        <v>31.5</v>
      </c>
      <c r="M29" s="460">
        <v>83</v>
      </c>
      <c r="N29" s="461">
        <f t="shared" si="1"/>
        <v>33.099999999999994</v>
      </c>
      <c r="O29" s="462">
        <v>116.1</v>
      </c>
      <c r="P29" s="460">
        <v>19.100000000000001</v>
      </c>
      <c r="Q29" s="461">
        <f t="shared" si="2"/>
        <v>9.9999999999997868E-2</v>
      </c>
      <c r="R29" s="462">
        <v>19.2</v>
      </c>
      <c r="S29" s="460">
        <v>3.6</v>
      </c>
      <c r="T29" s="461">
        <f t="shared" si="3"/>
        <v>3.6</v>
      </c>
      <c r="U29" s="462">
        <v>7.2</v>
      </c>
      <c r="V29" s="460"/>
      <c r="W29" s="461" t="str">
        <f t="shared" si="6"/>
        <v/>
      </c>
      <c r="X29" s="462">
        <v>2.8</v>
      </c>
      <c r="Y29" s="460"/>
      <c r="Z29" s="459" t="str">
        <f t="shared" si="7"/>
        <v/>
      </c>
      <c r="AA29" s="462">
        <v>23.8</v>
      </c>
      <c r="AB29" s="460">
        <v>3.5</v>
      </c>
      <c r="AC29" s="461">
        <f t="shared" si="8"/>
        <v>2.4000000000000004</v>
      </c>
      <c r="AD29" s="462">
        <v>5.9</v>
      </c>
      <c r="AE29" s="460">
        <v>4.0999999999999996</v>
      </c>
      <c r="AF29" s="461">
        <f t="shared" si="9"/>
        <v>4.5</v>
      </c>
      <c r="AG29" s="462">
        <v>8.6</v>
      </c>
      <c r="AH29" s="463">
        <v>138.80000000000001</v>
      </c>
      <c r="AI29" s="464">
        <f t="shared" si="10"/>
        <v>101.39999999999998</v>
      </c>
      <c r="AJ29" s="465">
        <v>240.2</v>
      </c>
    </row>
    <row r="30" spans="1:36" x14ac:dyDescent="0.25">
      <c r="C30" s="139">
        <v>38231</v>
      </c>
      <c r="D30" s="449"/>
      <c r="E30" s="450" t="str">
        <f t="shared" si="4"/>
        <v/>
      </c>
      <c r="F30" s="450">
        <v>15.5</v>
      </c>
      <c r="G30" s="451"/>
      <c r="H30" s="452" t="str">
        <f t="shared" si="0"/>
        <v/>
      </c>
      <c r="I30" s="453">
        <v>7.8</v>
      </c>
      <c r="J30" s="451">
        <v>28.7</v>
      </c>
      <c r="K30" s="452">
        <f t="shared" si="5"/>
        <v>2.1000000000000014</v>
      </c>
      <c r="L30" s="453">
        <v>30.8</v>
      </c>
      <c r="M30" s="451">
        <v>73.900000000000006</v>
      </c>
      <c r="N30" s="452">
        <f t="shared" si="1"/>
        <v>36</v>
      </c>
      <c r="O30" s="453">
        <v>109.9</v>
      </c>
      <c r="P30" s="451">
        <v>29.6</v>
      </c>
      <c r="Q30" s="452">
        <f t="shared" si="2"/>
        <v>0.19999999999999929</v>
      </c>
      <c r="R30" s="453">
        <v>29.8</v>
      </c>
      <c r="S30" s="451"/>
      <c r="T30" s="452" t="str">
        <f t="shared" si="3"/>
        <v/>
      </c>
      <c r="U30" s="453">
        <v>8</v>
      </c>
      <c r="V30" s="451"/>
      <c r="W30" s="452" t="str">
        <f t="shared" si="6"/>
        <v/>
      </c>
      <c r="X30" s="453">
        <v>6.1</v>
      </c>
      <c r="Y30" s="451">
        <v>0.4</v>
      </c>
      <c r="Z30" s="450">
        <f t="shared" si="7"/>
        <v>27</v>
      </c>
      <c r="AA30" s="453">
        <v>27.4</v>
      </c>
      <c r="AB30" s="451">
        <v>4.5999999999999996</v>
      </c>
      <c r="AC30" s="452">
        <f t="shared" si="8"/>
        <v>2.3000000000000007</v>
      </c>
      <c r="AD30" s="453">
        <v>6.9</v>
      </c>
      <c r="AE30" s="451">
        <v>4.9000000000000004</v>
      </c>
      <c r="AF30" s="452">
        <f t="shared" si="9"/>
        <v>3.9000000000000004</v>
      </c>
      <c r="AG30" s="453">
        <v>8.8000000000000007</v>
      </c>
      <c r="AH30" s="455">
        <v>147.9</v>
      </c>
      <c r="AI30" s="456">
        <f t="shared" si="10"/>
        <v>103.19999999999999</v>
      </c>
      <c r="AJ30" s="457">
        <v>251.1</v>
      </c>
    </row>
    <row r="31" spans="1:36" x14ac:dyDescent="0.25">
      <c r="C31" s="139">
        <v>38322</v>
      </c>
      <c r="D31" s="458">
        <v>1.9</v>
      </c>
      <c r="E31" s="459">
        <f t="shared" si="4"/>
        <v>16.400000000000002</v>
      </c>
      <c r="F31" s="459">
        <v>18.3</v>
      </c>
      <c r="G31" s="460">
        <v>0.6</v>
      </c>
      <c r="H31" s="461">
        <f t="shared" si="0"/>
        <v>7.3000000000000007</v>
      </c>
      <c r="I31" s="462">
        <v>7.9</v>
      </c>
      <c r="J31" s="460">
        <v>38</v>
      </c>
      <c r="K31" s="461">
        <f t="shared" si="5"/>
        <v>2.3999999999999986</v>
      </c>
      <c r="L31" s="462">
        <v>40.4</v>
      </c>
      <c r="M31" s="460">
        <v>67.5</v>
      </c>
      <c r="N31" s="461">
        <f t="shared" si="1"/>
        <v>29.299999999999997</v>
      </c>
      <c r="O31" s="462">
        <v>96.8</v>
      </c>
      <c r="P31" s="460">
        <v>35</v>
      </c>
      <c r="Q31" s="461">
        <f t="shared" si="2"/>
        <v>0.10000000000000142</v>
      </c>
      <c r="R31" s="462">
        <v>35.1</v>
      </c>
      <c r="S31" s="460"/>
      <c r="T31" s="461" t="str">
        <f t="shared" si="3"/>
        <v/>
      </c>
      <c r="U31" s="462">
        <v>5.9</v>
      </c>
      <c r="V31" s="460">
        <v>0.1</v>
      </c>
      <c r="W31" s="461">
        <f t="shared" si="6"/>
        <v>4.5</v>
      </c>
      <c r="X31" s="462">
        <v>4.5999999999999996</v>
      </c>
      <c r="Y31" s="460"/>
      <c r="Z31" s="459" t="str">
        <f t="shared" si="7"/>
        <v/>
      </c>
      <c r="AA31" s="462">
        <v>32</v>
      </c>
      <c r="AB31" s="460">
        <v>5.3</v>
      </c>
      <c r="AC31" s="461">
        <f t="shared" si="8"/>
        <v>2.2999999999999998</v>
      </c>
      <c r="AD31" s="462">
        <v>7.6</v>
      </c>
      <c r="AE31" s="460">
        <v>5</v>
      </c>
      <c r="AF31" s="461">
        <f t="shared" si="9"/>
        <v>7.1999999999999993</v>
      </c>
      <c r="AG31" s="462">
        <v>12.2</v>
      </c>
      <c r="AH31" s="463">
        <v>156.69999999999999</v>
      </c>
      <c r="AI31" s="464">
        <f t="shared" si="10"/>
        <v>104.10000000000002</v>
      </c>
      <c r="AJ31" s="465">
        <v>260.8</v>
      </c>
    </row>
    <row r="32" spans="1:36" x14ac:dyDescent="0.25">
      <c r="C32" s="139">
        <v>38412</v>
      </c>
      <c r="D32" s="449"/>
      <c r="E32" s="450" t="str">
        <f t="shared" si="4"/>
        <v/>
      </c>
      <c r="F32" s="450">
        <v>15.2</v>
      </c>
      <c r="G32" s="451"/>
      <c r="H32" s="452" t="str">
        <f t="shared" si="0"/>
        <v/>
      </c>
      <c r="I32" s="453">
        <v>7</v>
      </c>
      <c r="J32" s="451">
        <v>40.9</v>
      </c>
      <c r="K32" s="452">
        <f t="shared" si="5"/>
        <v>2.3999999999999986</v>
      </c>
      <c r="L32" s="453">
        <v>43.3</v>
      </c>
      <c r="M32" s="451">
        <v>54.1</v>
      </c>
      <c r="N32" s="452">
        <f t="shared" si="1"/>
        <v>27.800000000000004</v>
      </c>
      <c r="O32" s="453">
        <v>81.900000000000006</v>
      </c>
      <c r="P32" s="451">
        <v>27.3</v>
      </c>
      <c r="Q32" s="452">
        <f t="shared" si="2"/>
        <v>0</v>
      </c>
      <c r="R32" s="453">
        <v>27.3</v>
      </c>
      <c r="S32" s="451">
        <v>3.6</v>
      </c>
      <c r="T32" s="452">
        <f t="shared" si="3"/>
        <v>3.1</v>
      </c>
      <c r="U32" s="453">
        <v>6.7</v>
      </c>
      <c r="V32" s="451"/>
      <c r="W32" s="452" t="str">
        <f t="shared" si="6"/>
        <v/>
      </c>
      <c r="X32" s="453">
        <v>3.2</v>
      </c>
      <c r="Y32" s="451"/>
      <c r="Z32" s="450" t="str">
        <f t="shared" si="7"/>
        <v/>
      </c>
      <c r="AA32" s="453">
        <v>29.8</v>
      </c>
      <c r="AB32" s="451">
        <v>2.2000000000000002</v>
      </c>
      <c r="AC32" s="452">
        <f t="shared" si="8"/>
        <v>1.4</v>
      </c>
      <c r="AD32" s="453">
        <v>3.6</v>
      </c>
      <c r="AE32" s="451">
        <v>3.3</v>
      </c>
      <c r="AF32" s="452">
        <f t="shared" si="9"/>
        <v>4.5</v>
      </c>
      <c r="AG32" s="453">
        <v>7.8</v>
      </c>
      <c r="AH32" s="455">
        <v>134.4</v>
      </c>
      <c r="AI32" s="456">
        <f t="shared" si="10"/>
        <v>91.4</v>
      </c>
      <c r="AJ32" s="457">
        <v>225.8</v>
      </c>
    </row>
    <row r="33" spans="3:36" x14ac:dyDescent="0.25">
      <c r="C33" s="139">
        <v>38504</v>
      </c>
      <c r="D33" s="458">
        <v>1.4</v>
      </c>
      <c r="E33" s="459">
        <f t="shared" si="4"/>
        <v>21</v>
      </c>
      <c r="F33" s="459">
        <v>22.4</v>
      </c>
      <c r="G33" s="460">
        <v>1.8</v>
      </c>
      <c r="H33" s="461">
        <f t="shared" si="0"/>
        <v>6.8</v>
      </c>
      <c r="I33" s="462">
        <v>8.6</v>
      </c>
      <c r="J33" s="460">
        <v>41.1</v>
      </c>
      <c r="K33" s="461">
        <f t="shared" si="5"/>
        <v>3</v>
      </c>
      <c r="L33" s="462">
        <v>44.1</v>
      </c>
      <c r="M33" s="460">
        <v>64.099999999999994</v>
      </c>
      <c r="N33" s="461">
        <f t="shared" si="1"/>
        <v>39</v>
      </c>
      <c r="O33" s="462">
        <v>103.1</v>
      </c>
      <c r="P33" s="460">
        <v>45.1</v>
      </c>
      <c r="Q33" s="461">
        <f t="shared" si="2"/>
        <v>0.60000000000000142</v>
      </c>
      <c r="R33" s="462">
        <v>45.7</v>
      </c>
      <c r="S33" s="460">
        <v>3.6</v>
      </c>
      <c r="T33" s="461">
        <f t="shared" si="3"/>
        <v>3.4</v>
      </c>
      <c r="U33" s="462">
        <v>7</v>
      </c>
      <c r="V33" s="460">
        <v>0.1</v>
      </c>
      <c r="W33" s="461">
        <f t="shared" si="6"/>
        <v>6.7</v>
      </c>
      <c r="X33" s="462">
        <v>6.8</v>
      </c>
      <c r="Y33" s="460">
        <v>0.3</v>
      </c>
      <c r="Z33" s="459">
        <f t="shared" si="7"/>
        <v>37.300000000000004</v>
      </c>
      <c r="AA33" s="462">
        <v>37.6</v>
      </c>
      <c r="AB33" s="460">
        <v>3.8</v>
      </c>
      <c r="AC33" s="461">
        <f t="shared" si="8"/>
        <v>1.7999999999999998</v>
      </c>
      <c r="AD33" s="462">
        <v>5.6</v>
      </c>
      <c r="AE33" s="460">
        <v>5.6</v>
      </c>
      <c r="AF33" s="461">
        <f t="shared" si="9"/>
        <v>4.2000000000000011</v>
      </c>
      <c r="AG33" s="462">
        <v>9.8000000000000007</v>
      </c>
      <c r="AH33" s="463">
        <v>167</v>
      </c>
      <c r="AI33" s="464">
        <f t="shared" si="10"/>
        <v>123.69999999999999</v>
      </c>
      <c r="AJ33" s="465">
        <v>290.7</v>
      </c>
    </row>
    <row r="34" spans="3:36" x14ac:dyDescent="0.25">
      <c r="C34" s="139">
        <v>38596</v>
      </c>
      <c r="D34" s="449">
        <v>2.2999999999999998</v>
      </c>
      <c r="E34" s="450">
        <f t="shared" si="4"/>
        <v>29.2</v>
      </c>
      <c r="F34" s="450">
        <v>31.5</v>
      </c>
      <c r="G34" s="451">
        <v>1.7</v>
      </c>
      <c r="H34" s="452">
        <f t="shared" si="0"/>
        <v>11.4</v>
      </c>
      <c r="I34" s="453">
        <v>13.1</v>
      </c>
      <c r="J34" s="451">
        <v>36.5</v>
      </c>
      <c r="K34" s="452">
        <f t="shared" si="5"/>
        <v>3.5</v>
      </c>
      <c r="L34" s="453">
        <v>40</v>
      </c>
      <c r="M34" s="451">
        <v>62</v>
      </c>
      <c r="N34" s="452">
        <f t="shared" si="1"/>
        <v>38</v>
      </c>
      <c r="O34" s="453">
        <v>100</v>
      </c>
      <c r="P34" s="451">
        <v>35.9</v>
      </c>
      <c r="Q34" s="452">
        <f t="shared" si="2"/>
        <v>0.39999999999999858</v>
      </c>
      <c r="R34" s="453">
        <v>36.299999999999997</v>
      </c>
      <c r="S34" s="451">
        <v>3.1</v>
      </c>
      <c r="T34" s="452">
        <f t="shared" si="3"/>
        <v>5</v>
      </c>
      <c r="U34" s="453">
        <v>8.1</v>
      </c>
      <c r="V34" s="451">
        <v>0.2</v>
      </c>
      <c r="W34" s="452">
        <f t="shared" si="6"/>
        <v>11.700000000000001</v>
      </c>
      <c r="X34" s="453">
        <v>11.9</v>
      </c>
      <c r="Y34" s="451">
        <v>0.2</v>
      </c>
      <c r="Z34" s="450">
        <f t="shared" si="7"/>
        <v>32</v>
      </c>
      <c r="AA34" s="453">
        <v>32.200000000000003</v>
      </c>
      <c r="AB34" s="451">
        <v>4</v>
      </c>
      <c r="AC34" s="452">
        <f t="shared" si="8"/>
        <v>2.2999999999999998</v>
      </c>
      <c r="AD34" s="453">
        <v>6.3</v>
      </c>
      <c r="AE34" s="451">
        <v>8.4</v>
      </c>
      <c r="AF34" s="452">
        <f t="shared" si="9"/>
        <v>4.2999999999999989</v>
      </c>
      <c r="AG34" s="453">
        <v>12.7</v>
      </c>
      <c r="AH34" s="455">
        <v>154.4</v>
      </c>
      <c r="AI34" s="456">
        <f t="shared" si="10"/>
        <v>137.6</v>
      </c>
      <c r="AJ34" s="457">
        <v>292</v>
      </c>
    </row>
    <row r="35" spans="3:36" x14ac:dyDescent="0.25">
      <c r="C35" s="139">
        <v>38687</v>
      </c>
      <c r="D35" s="458">
        <v>2.2000000000000002</v>
      </c>
      <c r="E35" s="459">
        <f t="shared" si="4"/>
        <v>34.5</v>
      </c>
      <c r="F35" s="459">
        <v>36.700000000000003</v>
      </c>
      <c r="G35" s="460">
        <v>4.4000000000000004</v>
      </c>
      <c r="H35" s="461">
        <f t="shared" si="0"/>
        <v>13.4</v>
      </c>
      <c r="I35" s="462">
        <v>17.8</v>
      </c>
      <c r="J35" s="460">
        <v>33.700000000000003</v>
      </c>
      <c r="K35" s="461">
        <f t="shared" si="5"/>
        <v>7</v>
      </c>
      <c r="L35" s="462">
        <v>40.700000000000003</v>
      </c>
      <c r="M35" s="460">
        <v>61.1</v>
      </c>
      <c r="N35" s="461">
        <f t="shared" si="1"/>
        <v>37.999999999999993</v>
      </c>
      <c r="O35" s="462">
        <v>99.1</v>
      </c>
      <c r="P35" s="460">
        <v>41.4</v>
      </c>
      <c r="Q35" s="461">
        <f t="shared" si="2"/>
        <v>1.5</v>
      </c>
      <c r="R35" s="462">
        <v>42.9</v>
      </c>
      <c r="S35" s="460">
        <v>3.6</v>
      </c>
      <c r="T35" s="461">
        <f t="shared" si="3"/>
        <v>4.7000000000000011</v>
      </c>
      <c r="U35" s="462">
        <v>8.3000000000000007</v>
      </c>
      <c r="V35" s="460"/>
      <c r="W35" s="461" t="str">
        <f t="shared" si="6"/>
        <v/>
      </c>
      <c r="X35" s="462">
        <v>15.8</v>
      </c>
      <c r="Y35" s="460"/>
      <c r="Z35" s="459" t="str">
        <f t="shared" si="7"/>
        <v/>
      </c>
      <c r="AA35" s="462">
        <v>46</v>
      </c>
      <c r="AB35" s="460">
        <v>4.5999999999999996</v>
      </c>
      <c r="AC35" s="461">
        <f t="shared" si="8"/>
        <v>2.7</v>
      </c>
      <c r="AD35" s="462">
        <v>7.3</v>
      </c>
      <c r="AE35" s="460">
        <v>6.5</v>
      </c>
      <c r="AF35" s="461">
        <f t="shared" si="9"/>
        <v>6.4</v>
      </c>
      <c r="AG35" s="462">
        <v>12.9</v>
      </c>
      <c r="AH35" s="463">
        <v>158</v>
      </c>
      <c r="AI35" s="464">
        <f t="shared" si="10"/>
        <v>169.60000000000002</v>
      </c>
      <c r="AJ35" s="465">
        <v>327.60000000000002</v>
      </c>
    </row>
    <row r="36" spans="3:36" x14ac:dyDescent="0.25">
      <c r="C36" s="139">
        <v>38777</v>
      </c>
      <c r="D36" s="449">
        <v>2</v>
      </c>
      <c r="E36" s="450">
        <f t="shared" si="4"/>
        <v>22.6</v>
      </c>
      <c r="F36" s="450">
        <v>24.6</v>
      </c>
      <c r="G36" s="451">
        <v>2.1</v>
      </c>
      <c r="H36" s="452">
        <f t="shared" si="0"/>
        <v>12.700000000000001</v>
      </c>
      <c r="I36" s="453">
        <v>14.8</v>
      </c>
      <c r="J36" s="451">
        <v>19.7</v>
      </c>
      <c r="K36" s="452">
        <f t="shared" si="5"/>
        <v>9.6000000000000014</v>
      </c>
      <c r="L36" s="453">
        <v>29.3</v>
      </c>
      <c r="M36" s="451">
        <v>53.7</v>
      </c>
      <c r="N36" s="452">
        <f t="shared" si="1"/>
        <v>36.299999999999997</v>
      </c>
      <c r="O36" s="453">
        <v>90</v>
      </c>
      <c r="P36" s="451">
        <v>31</v>
      </c>
      <c r="Q36" s="452">
        <f t="shared" si="2"/>
        <v>1.3999999999999986</v>
      </c>
      <c r="R36" s="453">
        <v>32.4</v>
      </c>
      <c r="S36" s="451">
        <v>2.9</v>
      </c>
      <c r="T36" s="452">
        <f t="shared" si="3"/>
        <v>2.6999999999999997</v>
      </c>
      <c r="U36" s="453">
        <v>5.6</v>
      </c>
      <c r="V36" s="451"/>
      <c r="W36" s="452" t="str">
        <f t="shared" si="6"/>
        <v/>
      </c>
      <c r="X36" s="453">
        <v>10.1</v>
      </c>
      <c r="Y36" s="451">
        <v>0.5</v>
      </c>
      <c r="Z36" s="450">
        <f t="shared" si="7"/>
        <v>41</v>
      </c>
      <c r="AA36" s="453">
        <v>41.5</v>
      </c>
      <c r="AB36" s="451"/>
      <c r="AC36" s="452" t="str">
        <f t="shared" si="8"/>
        <v/>
      </c>
      <c r="AD36" s="453">
        <v>4.4000000000000004</v>
      </c>
      <c r="AE36" s="451">
        <v>6.8</v>
      </c>
      <c r="AF36" s="452">
        <f t="shared" si="9"/>
        <v>4.3999999999999995</v>
      </c>
      <c r="AG36" s="453">
        <v>11.2</v>
      </c>
      <c r="AH36" s="455">
        <v>121.5</v>
      </c>
      <c r="AI36" s="456">
        <f t="shared" si="10"/>
        <v>142.19999999999999</v>
      </c>
      <c r="AJ36" s="457">
        <v>263.7</v>
      </c>
    </row>
    <row r="37" spans="3:36" x14ac:dyDescent="0.25">
      <c r="C37" s="139">
        <v>38869</v>
      </c>
      <c r="D37" s="458">
        <v>2.9</v>
      </c>
      <c r="E37" s="459">
        <f t="shared" si="4"/>
        <v>43.800000000000004</v>
      </c>
      <c r="F37" s="459">
        <v>46.7</v>
      </c>
      <c r="G37" s="460">
        <v>5.8</v>
      </c>
      <c r="H37" s="461">
        <f t="shared" si="0"/>
        <v>19.7</v>
      </c>
      <c r="I37" s="462">
        <v>25.5</v>
      </c>
      <c r="J37" s="460">
        <v>25</v>
      </c>
      <c r="K37" s="461">
        <f t="shared" si="5"/>
        <v>11</v>
      </c>
      <c r="L37" s="462">
        <v>36</v>
      </c>
      <c r="M37" s="460">
        <v>63.5</v>
      </c>
      <c r="N37" s="461">
        <f t="shared" si="1"/>
        <v>47</v>
      </c>
      <c r="O37" s="462">
        <v>110.5</v>
      </c>
      <c r="P37" s="460">
        <v>47.4</v>
      </c>
      <c r="Q37" s="461">
        <f t="shared" si="2"/>
        <v>2.3000000000000043</v>
      </c>
      <c r="R37" s="462">
        <v>49.7</v>
      </c>
      <c r="S37" s="460">
        <v>3.2</v>
      </c>
      <c r="T37" s="461">
        <f t="shared" si="3"/>
        <v>4</v>
      </c>
      <c r="U37" s="462">
        <v>7.2</v>
      </c>
      <c r="V37" s="460"/>
      <c r="W37" s="461" t="str">
        <f t="shared" si="6"/>
        <v/>
      </c>
      <c r="X37" s="462">
        <v>18.3</v>
      </c>
      <c r="Y37" s="460"/>
      <c r="Z37" s="459" t="str">
        <f t="shared" si="7"/>
        <v/>
      </c>
      <c r="AA37" s="462">
        <v>46.7</v>
      </c>
      <c r="AB37" s="460">
        <v>2.5</v>
      </c>
      <c r="AC37" s="461">
        <f t="shared" si="8"/>
        <v>2.0999999999999996</v>
      </c>
      <c r="AD37" s="462">
        <v>4.5999999999999996</v>
      </c>
      <c r="AE37" s="460">
        <v>4.3</v>
      </c>
      <c r="AF37" s="461">
        <f t="shared" si="9"/>
        <v>8</v>
      </c>
      <c r="AG37" s="462">
        <v>12.3</v>
      </c>
      <c r="AH37" s="463">
        <v>156.30000000000001</v>
      </c>
      <c r="AI37" s="464">
        <f t="shared" si="10"/>
        <v>201.09999999999997</v>
      </c>
      <c r="AJ37" s="465">
        <v>357.4</v>
      </c>
    </row>
    <row r="38" spans="3:36" x14ac:dyDescent="0.25">
      <c r="C38" s="139">
        <v>38961</v>
      </c>
      <c r="D38" s="449">
        <v>4.5</v>
      </c>
      <c r="E38" s="450">
        <f t="shared" si="4"/>
        <v>48.2</v>
      </c>
      <c r="F38" s="450">
        <v>52.7</v>
      </c>
      <c r="G38" s="451">
        <v>8.6999999999999993</v>
      </c>
      <c r="H38" s="452">
        <f t="shared" si="0"/>
        <v>17.600000000000001</v>
      </c>
      <c r="I38" s="453">
        <v>26.3</v>
      </c>
      <c r="J38" s="451">
        <v>31.3</v>
      </c>
      <c r="K38" s="452">
        <f t="shared" si="5"/>
        <v>8.4999999999999964</v>
      </c>
      <c r="L38" s="453">
        <v>39.799999999999997</v>
      </c>
      <c r="M38" s="451">
        <v>64.7</v>
      </c>
      <c r="N38" s="452">
        <f t="shared" si="1"/>
        <v>39.599999999999994</v>
      </c>
      <c r="O38" s="453">
        <v>104.3</v>
      </c>
      <c r="P38" s="451">
        <v>66.400000000000006</v>
      </c>
      <c r="Q38" s="452">
        <f t="shared" si="2"/>
        <v>3.6999999999999886</v>
      </c>
      <c r="R38" s="453">
        <v>70.099999999999994</v>
      </c>
      <c r="S38" s="451">
        <v>3.8</v>
      </c>
      <c r="T38" s="452">
        <f t="shared" si="3"/>
        <v>3.9000000000000004</v>
      </c>
      <c r="U38" s="453">
        <v>7.7</v>
      </c>
      <c r="V38" s="451">
        <v>1.7</v>
      </c>
      <c r="W38" s="452">
        <f t="shared" si="6"/>
        <v>23</v>
      </c>
      <c r="X38" s="453">
        <v>24.7</v>
      </c>
      <c r="Y38" s="451"/>
      <c r="Z38" s="450" t="str">
        <f t="shared" si="7"/>
        <v/>
      </c>
      <c r="AA38" s="453">
        <v>50.5</v>
      </c>
      <c r="AB38" s="451">
        <v>4.7</v>
      </c>
      <c r="AC38" s="452">
        <f t="shared" si="8"/>
        <v>3.8999999999999995</v>
      </c>
      <c r="AD38" s="453">
        <v>8.6</v>
      </c>
      <c r="AE38" s="451"/>
      <c r="AF38" s="452" t="str">
        <f t="shared" si="9"/>
        <v/>
      </c>
      <c r="AG38" s="453">
        <v>9.9</v>
      </c>
      <c r="AH38" s="455">
        <v>190.2</v>
      </c>
      <c r="AI38" s="456">
        <f t="shared" si="10"/>
        <v>204.40000000000003</v>
      </c>
      <c r="AJ38" s="457">
        <v>394.6</v>
      </c>
    </row>
    <row r="39" spans="3:36" x14ac:dyDescent="0.25">
      <c r="C39" s="139">
        <v>39052</v>
      </c>
      <c r="D39" s="458">
        <v>4.8</v>
      </c>
      <c r="E39" s="459">
        <f t="shared" si="4"/>
        <v>48.7</v>
      </c>
      <c r="F39" s="459">
        <v>53.5</v>
      </c>
      <c r="G39" s="460">
        <v>8.8000000000000007</v>
      </c>
      <c r="H39" s="461">
        <f t="shared" si="0"/>
        <v>25.3</v>
      </c>
      <c r="I39" s="462">
        <v>34.1</v>
      </c>
      <c r="J39" s="460">
        <v>37.1</v>
      </c>
      <c r="K39" s="461">
        <f t="shared" si="5"/>
        <v>5.6999999999999957</v>
      </c>
      <c r="L39" s="462">
        <v>42.8</v>
      </c>
      <c r="M39" s="460">
        <v>77.8</v>
      </c>
      <c r="N39" s="461">
        <f t="shared" si="1"/>
        <v>47.2</v>
      </c>
      <c r="O39" s="462">
        <v>125</v>
      </c>
      <c r="P39" s="460">
        <v>71</v>
      </c>
      <c r="Q39" s="461">
        <f t="shared" si="2"/>
        <v>1.5</v>
      </c>
      <c r="R39" s="462">
        <v>72.5</v>
      </c>
      <c r="S39" s="460">
        <v>4.2</v>
      </c>
      <c r="T39" s="461">
        <f t="shared" si="3"/>
        <v>6.6000000000000005</v>
      </c>
      <c r="U39" s="462">
        <v>10.8</v>
      </c>
      <c r="V39" s="460"/>
      <c r="W39" s="461" t="str">
        <f t="shared" si="6"/>
        <v/>
      </c>
      <c r="X39" s="462">
        <v>27.6</v>
      </c>
      <c r="Y39" s="460"/>
      <c r="Z39" s="459" t="str">
        <f t="shared" si="7"/>
        <v/>
      </c>
      <c r="AA39" s="462">
        <v>60</v>
      </c>
      <c r="AB39" s="460">
        <v>6.7</v>
      </c>
      <c r="AC39" s="461">
        <f t="shared" si="8"/>
        <v>3.4999999999999991</v>
      </c>
      <c r="AD39" s="462">
        <v>10.199999999999999</v>
      </c>
      <c r="AE39" s="460">
        <v>4.9000000000000004</v>
      </c>
      <c r="AF39" s="461">
        <f t="shared" si="9"/>
        <v>7</v>
      </c>
      <c r="AG39" s="462">
        <v>11.9</v>
      </c>
      <c r="AH39" s="463">
        <v>217.3</v>
      </c>
      <c r="AI39" s="464">
        <f t="shared" si="10"/>
        <v>230.89999999999998</v>
      </c>
      <c r="AJ39" s="465">
        <v>448.2</v>
      </c>
    </row>
    <row r="40" spans="3:36" x14ac:dyDescent="0.25">
      <c r="C40" s="139">
        <v>39142</v>
      </c>
      <c r="D40" s="449">
        <v>4.7</v>
      </c>
      <c r="E40" s="450">
        <f t="shared" si="4"/>
        <v>46.5</v>
      </c>
      <c r="F40" s="450">
        <v>51.2</v>
      </c>
      <c r="G40" s="451">
        <v>9.5</v>
      </c>
      <c r="H40" s="452">
        <f t="shared" si="0"/>
        <v>24</v>
      </c>
      <c r="I40" s="453">
        <v>33.5</v>
      </c>
      <c r="J40" s="451">
        <v>37.4</v>
      </c>
      <c r="K40" s="452">
        <f t="shared" si="5"/>
        <v>3.2000000000000028</v>
      </c>
      <c r="L40" s="453">
        <v>40.6</v>
      </c>
      <c r="M40" s="451">
        <v>63.7</v>
      </c>
      <c r="N40" s="452">
        <f t="shared" si="1"/>
        <v>39.899999999999991</v>
      </c>
      <c r="O40" s="453">
        <v>103.6</v>
      </c>
      <c r="P40" s="451">
        <v>49.6</v>
      </c>
      <c r="Q40" s="452">
        <f t="shared" si="2"/>
        <v>4.3999999999999986</v>
      </c>
      <c r="R40" s="453">
        <v>54</v>
      </c>
      <c r="S40" s="451">
        <v>4.2</v>
      </c>
      <c r="T40" s="452">
        <f t="shared" si="3"/>
        <v>5.3</v>
      </c>
      <c r="U40" s="453">
        <v>9.5</v>
      </c>
      <c r="V40" s="451">
        <v>2.9</v>
      </c>
      <c r="W40" s="452">
        <f t="shared" si="6"/>
        <v>21.400000000000002</v>
      </c>
      <c r="X40" s="453">
        <v>24.3</v>
      </c>
      <c r="Y40" s="451"/>
      <c r="Z40" s="450" t="str">
        <f t="shared" si="7"/>
        <v/>
      </c>
      <c r="AA40" s="453">
        <v>38.799999999999997</v>
      </c>
      <c r="AB40" s="451"/>
      <c r="AC40" s="452" t="str">
        <f t="shared" si="8"/>
        <v/>
      </c>
      <c r="AD40" s="453">
        <v>3.3</v>
      </c>
      <c r="AE40" s="451">
        <v>6.1</v>
      </c>
      <c r="AF40" s="452">
        <f t="shared" si="9"/>
        <v>4.5</v>
      </c>
      <c r="AG40" s="453">
        <v>10.6</v>
      </c>
      <c r="AH40" s="455">
        <v>179.9</v>
      </c>
      <c r="AI40" s="456">
        <f t="shared" si="10"/>
        <v>189.4</v>
      </c>
      <c r="AJ40" s="457">
        <v>369.3</v>
      </c>
    </row>
    <row r="41" spans="3:36" x14ac:dyDescent="0.25">
      <c r="C41" s="139">
        <v>39234</v>
      </c>
      <c r="D41" s="458">
        <v>8.8000000000000007</v>
      </c>
      <c r="E41" s="459">
        <f t="shared" si="4"/>
        <v>68.3</v>
      </c>
      <c r="F41" s="459">
        <v>77.099999999999994</v>
      </c>
      <c r="G41" s="460">
        <v>14.8</v>
      </c>
      <c r="H41" s="461">
        <f t="shared" si="0"/>
        <v>30.7</v>
      </c>
      <c r="I41" s="462">
        <v>45.5</v>
      </c>
      <c r="J41" s="460">
        <v>52.5</v>
      </c>
      <c r="K41" s="461">
        <f t="shared" si="5"/>
        <v>5.3999999999999986</v>
      </c>
      <c r="L41" s="462">
        <v>57.9</v>
      </c>
      <c r="M41" s="460">
        <v>70.3</v>
      </c>
      <c r="N41" s="461">
        <f t="shared" si="1"/>
        <v>52.7</v>
      </c>
      <c r="O41" s="462">
        <v>123</v>
      </c>
      <c r="P41" s="460">
        <v>85.2</v>
      </c>
      <c r="Q41" s="461">
        <f t="shared" si="2"/>
        <v>3.5999999999999943</v>
      </c>
      <c r="R41" s="462">
        <v>88.8</v>
      </c>
      <c r="S41" s="460">
        <v>4.2</v>
      </c>
      <c r="T41" s="461">
        <f t="shared" si="3"/>
        <v>5.1000000000000005</v>
      </c>
      <c r="U41" s="462">
        <v>9.3000000000000007</v>
      </c>
      <c r="V41" s="460">
        <v>4.5999999999999996</v>
      </c>
      <c r="W41" s="461">
        <f t="shared" si="6"/>
        <v>32.9</v>
      </c>
      <c r="X41" s="462">
        <v>37.5</v>
      </c>
      <c r="Y41" s="460"/>
      <c r="Z41" s="459" t="str">
        <f t="shared" si="7"/>
        <v/>
      </c>
      <c r="AA41" s="462">
        <v>43.9</v>
      </c>
      <c r="AB41" s="460"/>
      <c r="AC41" s="461" t="str">
        <f t="shared" si="8"/>
        <v/>
      </c>
      <c r="AD41" s="462">
        <v>4.8</v>
      </c>
      <c r="AE41" s="460"/>
      <c r="AF41" s="461" t="str">
        <f t="shared" si="9"/>
        <v/>
      </c>
      <c r="AG41" s="462">
        <v>14.5</v>
      </c>
      <c r="AH41" s="463">
        <v>251.8</v>
      </c>
      <c r="AI41" s="464">
        <f t="shared" si="10"/>
        <v>250.7</v>
      </c>
      <c r="AJ41" s="465">
        <v>502.5</v>
      </c>
    </row>
    <row r="42" spans="3:36" x14ac:dyDescent="0.25">
      <c r="C42" s="139">
        <v>39326</v>
      </c>
      <c r="D42" s="449">
        <v>10.6</v>
      </c>
      <c r="E42" s="450">
        <f t="shared" si="4"/>
        <v>54.6</v>
      </c>
      <c r="F42" s="450">
        <v>65.2</v>
      </c>
      <c r="G42" s="451">
        <v>16.399999999999999</v>
      </c>
      <c r="H42" s="452">
        <f t="shared" si="0"/>
        <v>40.5</v>
      </c>
      <c r="I42" s="453">
        <v>56.9</v>
      </c>
      <c r="J42" s="451">
        <v>61.2</v>
      </c>
      <c r="K42" s="452">
        <f t="shared" si="5"/>
        <v>5.5999999999999943</v>
      </c>
      <c r="L42" s="453">
        <v>66.8</v>
      </c>
      <c r="M42" s="451">
        <v>76.5</v>
      </c>
      <c r="N42" s="452">
        <f t="shared" si="1"/>
        <v>53.099999999999994</v>
      </c>
      <c r="O42" s="453">
        <v>129.6</v>
      </c>
      <c r="P42" s="451">
        <v>104.5</v>
      </c>
      <c r="Q42" s="452">
        <f t="shared" si="2"/>
        <v>8.2999999999999972</v>
      </c>
      <c r="R42" s="453">
        <v>112.8</v>
      </c>
      <c r="S42" s="451">
        <v>3.5</v>
      </c>
      <c r="T42" s="452">
        <f t="shared" si="3"/>
        <v>3.7</v>
      </c>
      <c r="U42" s="453">
        <v>7.2</v>
      </c>
      <c r="V42" s="451">
        <v>6.6</v>
      </c>
      <c r="W42" s="452">
        <f t="shared" si="6"/>
        <v>43.4</v>
      </c>
      <c r="X42" s="453">
        <v>50</v>
      </c>
      <c r="Y42" s="451"/>
      <c r="Z42" s="450" t="str">
        <f t="shared" si="7"/>
        <v/>
      </c>
      <c r="AA42" s="453">
        <v>50.1</v>
      </c>
      <c r="AB42" s="451"/>
      <c r="AC42" s="452" t="str">
        <f t="shared" si="8"/>
        <v/>
      </c>
      <c r="AD42" s="453">
        <v>5</v>
      </c>
      <c r="AE42" s="451">
        <v>11.3</v>
      </c>
      <c r="AF42" s="452">
        <f t="shared" si="9"/>
        <v>8.3000000000000007</v>
      </c>
      <c r="AG42" s="453">
        <v>19.600000000000001</v>
      </c>
      <c r="AH42" s="455">
        <v>293.3</v>
      </c>
      <c r="AI42" s="456">
        <f t="shared" si="10"/>
        <v>270.09999999999997</v>
      </c>
      <c r="AJ42" s="457">
        <v>563.4</v>
      </c>
    </row>
    <row r="43" spans="3:36" x14ac:dyDescent="0.25">
      <c r="C43" s="139">
        <v>39417</v>
      </c>
      <c r="D43" s="458">
        <v>9</v>
      </c>
      <c r="E43" s="459">
        <f t="shared" si="4"/>
        <v>61.2</v>
      </c>
      <c r="F43" s="459">
        <v>70.2</v>
      </c>
      <c r="G43" s="460">
        <v>19.7</v>
      </c>
      <c r="H43" s="461">
        <f t="shared" si="0"/>
        <v>31.8</v>
      </c>
      <c r="I43" s="462">
        <v>51.5</v>
      </c>
      <c r="J43" s="460">
        <v>79.5</v>
      </c>
      <c r="K43" s="461">
        <f t="shared" si="5"/>
        <v>6.4000000000000057</v>
      </c>
      <c r="L43" s="462">
        <v>85.9</v>
      </c>
      <c r="M43" s="460">
        <v>85.8</v>
      </c>
      <c r="N43" s="461">
        <f t="shared" si="1"/>
        <v>60.899999999999991</v>
      </c>
      <c r="O43" s="462">
        <v>146.69999999999999</v>
      </c>
      <c r="P43" s="460">
        <v>94</v>
      </c>
      <c r="Q43" s="461">
        <f t="shared" si="2"/>
        <v>4.5</v>
      </c>
      <c r="R43" s="462">
        <v>98.5</v>
      </c>
      <c r="S43" s="460">
        <v>3.7</v>
      </c>
      <c r="T43" s="461">
        <f t="shared" si="3"/>
        <v>6.8</v>
      </c>
      <c r="U43" s="462">
        <v>10.5</v>
      </c>
      <c r="V43" s="460">
        <v>6.4</v>
      </c>
      <c r="W43" s="461">
        <f t="shared" si="6"/>
        <v>63.199999999999996</v>
      </c>
      <c r="X43" s="462">
        <v>69.599999999999994</v>
      </c>
      <c r="Y43" s="460"/>
      <c r="Z43" s="459" t="str">
        <f t="shared" si="7"/>
        <v/>
      </c>
      <c r="AA43" s="462">
        <v>59.8</v>
      </c>
      <c r="AB43" s="460"/>
      <c r="AC43" s="461" t="str">
        <f t="shared" si="8"/>
        <v/>
      </c>
      <c r="AD43" s="462">
        <v>5.3</v>
      </c>
      <c r="AE43" s="460">
        <v>12.4</v>
      </c>
      <c r="AF43" s="461">
        <f t="shared" si="9"/>
        <v>15.4</v>
      </c>
      <c r="AG43" s="462">
        <v>27.8</v>
      </c>
      <c r="AH43" s="463">
        <v>313.8</v>
      </c>
      <c r="AI43" s="464">
        <f t="shared" si="10"/>
        <v>312.09999999999997</v>
      </c>
      <c r="AJ43" s="465">
        <v>625.9</v>
      </c>
    </row>
    <row r="44" spans="3:36" x14ac:dyDescent="0.25">
      <c r="C44" s="139">
        <v>39508</v>
      </c>
      <c r="D44" s="449">
        <v>9</v>
      </c>
      <c r="E44" s="450">
        <f t="shared" si="4"/>
        <v>55.8</v>
      </c>
      <c r="F44" s="450">
        <v>64.8</v>
      </c>
      <c r="G44" s="451">
        <v>9.6999999999999993</v>
      </c>
      <c r="H44" s="452">
        <f t="shared" si="0"/>
        <v>29.3</v>
      </c>
      <c r="I44" s="453">
        <v>39</v>
      </c>
      <c r="J44" s="451">
        <v>58.2</v>
      </c>
      <c r="K44" s="452">
        <f t="shared" si="5"/>
        <v>5.7999999999999972</v>
      </c>
      <c r="L44" s="453">
        <v>64</v>
      </c>
      <c r="M44" s="451">
        <v>85.2</v>
      </c>
      <c r="N44" s="452">
        <f t="shared" si="1"/>
        <v>57.2</v>
      </c>
      <c r="O44" s="453">
        <v>142.4</v>
      </c>
      <c r="P44" s="451">
        <v>82.9</v>
      </c>
      <c r="Q44" s="452">
        <f t="shared" si="2"/>
        <v>9</v>
      </c>
      <c r="R44" s="453">
        <v>91.9</v>
      </c>
      <c r="S44" s="451">
        <v>3.2</v>
      </c>
      <c r="T44" s="452">
        <f t="shared" si="3"/>
        <v>5.7</v>
      </c>
      <c r="U44" s="453">
        <v>8.9</v>
      </c>
      <c r="V44" s="451"/>
      <c r="W44" s="452" t="str">
        <f t="shared" si="6"/>
        <v/>
      </c>
      <c r="X44" s="453">
        <v>49.2</v>
      </c>
      <c r="Y44" s="451"/>
      <c r="Z44" s="450" t="str">
        <f t="shared" si="7"/>
        <v/>
      </c>
      <c r="AA44" s="453">
        <v>54.1</v>
      </c>
      <c r="AB44" s="451">
        <v>3.2</v>
      </c>
      <c r="AC44" s="452">
        <f t="shared" si="8"/>
        <v>2.8999999999999995</v>
      </c>
      <c r="AD44" s="453">
        <v>6.1</v>
      </c>
      <c r="AE44" s="451">
        <v>12.8</v>
      </c>
      <c r="AF44" s="452">
        <f t="shared" si="9"/>
        <v>10.7</v>
      </c>
      <c r="AG44" s="453">
        <v>23.5</v>
      </c>
      <c r="AH44" s="455">
        <v>271.39999999999998</v>
      </c>
      <c r="AI44" s="456">
        <f t="shared" si="10"/>
        <v>272.60000000000002</v>
      </c>
      <c r="AJ44" s="457">
        <v>544</v>
      </c>
    </row>
    <row r="45" spans="3:36" x14ac:dyDescent="0.25">
      <c r="C45" s="139">
        <v>39600</v>
      </c>
      <c r="D45" s="458">
        <v>10.3</v>
      </c>
      <c r="E45" s="459">
        <f t="shared" si="4"/>
        <v>83</v>
      </c>
      <c r="F45" s="459">
        <v>93.3</v>
      </c>
      <c r="G45" s="460">
        <v>10.5</v>
      </c>
      <c r="H45" s="461">
        <f t="shared" si="0"/>
        <v>28.6</v>
      </c>
      <c r="I45" s="462">
        <v>39.1</v>
      </c>
      <c r="J45" s="460">
        <v>81</v>
      </c>
      <c r="K45" s="461">
        <f t="shared" si="5"/>
        <v>5.5</v>
      </c>
      <c r="L45" s="462">
        <v>86.5</v>
      </c>
      <c r="M45" s="460">
        <v>100.3</v>
      </c>
      <c r="N45" s="461">
        <f t="shared" si="1"/>
        <v>73.600000000000009</v>
      </c>
      <c r="O45" s="462">
        <v>173.9</v>
      </c>
      <c r="P45" s="460">
        <v>139.30000000000001</v>
      </c>
      <c r="Q45" s="461">
        <f t="shared" si="2"/>
        <v>7.2999999999999829</v>
      </c>
      <c r="R45" s="462">
        <v>146.6</v>
      </c>
      <c r="S45" s="460">
        <v>4.3</v>
      </c>
      <c r="T45" s="461">
        <f t="shared" si="3"/>
        <v>6.1000000000000005</v>
      </c>
      <c r="U45" s="462">
        <v>10.4</v>
      </c>
      <c r="V45" s="460"/>
      <c r="W45" s="461" t="str">
        <f t="shared" si="6"/>
        <v/>
      </c>
      <c r="X45" s="462">
        <v>62.7</v>
      </c>
      <c r="Y45" s="460"/>
      <c r="Z45" s="459" t="str">
        <f t="shared" si="7"/>
        <v/>
      </c>
      <c r="AA45" s="462">
        <v>70.8</v>
      </c>
      <c r="AB45" s="460"/>
      <c r="AC45" s="461" t="str">
        <f t="shared" si="8"/>
        <v/>
      </c>
      <c r="AD45" s="462">
        <v>5.3</v>
      </c>
      <c r="AE45" s="460">
        <v>23.7</v>
      </c>
      <c r="AF45" s="461">
        <f t="shared" si="9"/>
        <v>15.7</v>
      </c>
      <c r="AG45" s="462">
        <v>39.4</v>
      </c>
      <c r="AH45" s="463">
        <v>381.2</v>
      </c>
      <c r="AI45" s="464">
        <f t="shared" si="10"/>
        <v>346.90000000000003</v>
      </c>
      <c r="AJ45" s="465">
        <v>728.1</v>
      </c>
    </row>
    <row r="46" spans="3:36" x14ac:dyDescent="0.25">
      <c r="C46" s="139">
        <v>39692</v>
      </c>
      <c r="D46" s="449">
        <v>11</v>
      </c>
      <c r="E46" s="450">
        <f t="shared" si="4"/>
        <v>68.2</v>
      </c>
      <c r="F46" s="450">
        <v>79.2</v>
      </c>
      <c r="G46" s="451">
        <v>13.1</v>
      </c>
      <c r="H46" s="452">
        <f t="shared" si="0"/>
        <v>21.699999999999996</v>
      </c>
      <c r="I46" s="453">
        <v>34.799999999999997</v>
      </c>
      <c r="J46" s="451">
        <v>90.3</v>
      </c>
      <c r="K46" s="452">
        <f t="shared" si="5"/>
        <v>4.7000000000000028</v>
      </c>
      <c r="L46" s="453">
        <v>95</v>
      </c>
      <c r="M46" s="451">
        <v>75.900000000000006</v>
      </c>
      <c r="N46" s="452">
        <f t="shared" si="1"/>
        <v>57.299999999999983</v>
      </c>
      <c r="O46" s="453">
        <v>133.19999999999999</v>
      </c>
      <c r="P46" s="451">
        <v>153.19999999999999</v>
      </c>
      <c r="Q46" s="452">
        <f t="shared" si="2"/>
        <v>8.8000000000000114</v>
      </c>
      <c r="R46" s="453">
        <v>162</v>
      </c>
      <c r="S46" s="451">
        <v>2.7</v>
      </c>
      <c r="T46" s="452">
        <f t="shared" si="3"/>
        <v>6.3999999999999995</v>
      </c>
      <c r="U46" s="453">
        <v>9.1</v>
      </c>
      <c r="V46" s="451"/>
      <c r="W46" s="452" t="str">
        <f t="shared" si="6"/>
        <v/>
      </c>
      <c r="X46" s="453">
        <v>56.7</v>
      </c>
      <c r="Y46" s="451"/>
      <c r="Z46" s="450" t="str">
        <f t="shared" si="7"/>
        <v/>
      </c>
      <c r="AA46" s="453">
        <v>68.5</v>
      </c>
      <c r="AB46" s="451">
        <v>1.3</v>
      </c>
      <c r="AC46" s="452">
        <f t="shared" si="8"/>
        <v>1.0999999999999999</v>
      </c>
      <c r="AD46" s="453">
        <v>2.4</v>
      </c>
      <c r="AE46" s="451">
        <v>27.9</v>
      </c>
      <c r="AF46" s="452">
        <f t="shared" si="9"/>
        <v>18.899999999999999</v>
      </c>
      <c r="AG46" s="453">
        <v>46.8</v>
      </c>
      <c r="AH46" s="455">
        <v>383.8</v>
      </c>
      <c r="AI46" s="456">
        <f t="shared" si="10"/>
        <v>303.90000000000003</v>
      </c>
      <c r="AJ46" s="457">
        <v>687.7</v>
      </c>
    </row>
    <row r="47" spans="3:36" x14ac:dyDescent="0.25">
      <c r="C47" s="139">
        <v>39783</v>
      </c>
      <c r="D47" s="458">
        <v>9.4</v>
      </c>
      <c r="E47" s="459">
        <f t="shared" si="4"/>
        <v>46.300000000000004</v>
      </c>
      <c r="F47" s="459">
        <v>55.7</v>
      </c>
      <c r="G47" s="460">
        <v>6.5</v>
      </c>
      <c r="H47" s="461">
        <f t="shared" si="0"/>
        <v>13.7</v>
      </c>
      <c r="I47" s="462">
        <v>20.2</v>
      </c>
      <c r="J47" s="460">
        <v>73.7</v>
      </c>
      <c r="K47" s="461">
        <f t="shared" si="5"/>
        <v>4.7999999999999972</v>
      </c>
      <c r="L47" s="462">
        <v>78.5</v>
      </c>
      <c r="M47" s="460">
        <v>67.7</v>
      </c>
      <c r="N47" s="461">
        <f t="shared" si="1"/>
        <v>52.7</v>
      </c>
      <c r="O47" s="462">
        <v>120.4</v>
      </c>
      <c r="P47" s="460">
        <v>170.6</v>
      </c>
      <c r="Q47" s="461">
        <f t="shared" si="2"/>
        <v>11.900000000000006</v>
      </c>
      <c r="R47" s="462">
        <v>182.5</v>
      </c>
      <c r="S47" s="460">
        <v>4.0999999999999996</v>
      </c>
      <c r="T47" s="461">
        <f t="shared" si="3"/>
        <v>5</v>
      </c>
      <c r="U47" s="462">
        <v>9.1</v>
      </c>
      <c r="V47" s="460"/>
      <c r="W47" s="461" t="str">
        <f t="shared" si="6"/>
        <v/>
      </c>
      <c r="X47" s="462">
        <v>51.9</v>
      </c>
      <c r="Y47" s="460">
        <v>4.5</v>
      </c>
      <c r="Z47" s="459">
        <f t="shared" si="7"/>
        <v>78.400000000000006</v>
      </c>
      <c r="AA47" s="462">
        <v>82.9</v>
      </c>
      <c r="AB47" s="460"/>
      <c r="AC47" s="461" t="str">
        <f t="shared" si="8"/>
        <v/>
      </c>
      <c r="AD47" s="462">
        <v>3.5</v>
      </c>
      <c r="AE47" s="460">
        <v>19</v>
      </c>
      <c r="AF47" s="461">
        <f t="shared" si="9"/>
        <v>24.700000000000003</v>
      </c>
      <c r="AG47" s="462">
        <v>43.7</v>
      </c>
      <c r="AH47" s="463">
        <v>364</v>
      </c>
      <c r="AI47" s="464">
        <f t="shared" si="10"/>
        <v>284.5</v>
      </c>
      <c r="AJ47" s="465">
        <v>648.5</v>
      </c>
    </row>
    <row r="48" spans="3:36" x14ac:dyDescent="0.25">
      <c r="C48" s="139">
        <v>39873</v>
      </c>
      <c r="D48" s="449">
        <v>4.4000000000000004</v>
      </c>
      <c r="E48" s="450">
        <f t="shared" si="4"/>
        <v>21.4</v>
      </c>
      <c r="F48" s="450">
        <v>25.8</v>
      </c>
      <c r="G48" s="451">
        <v>3</v>
      </c>
      <c r="H48" s="452">
        <f t="shared" si="0"/>
        <v>14.600000000000001</v>
      </c>
      <c r="I48" s="453">
        <v>17.600000000000001</v>
      </c>
      <c r="J48" s="451">
        <v>39.4</v>
      </c>
      <c r="K48" s="452">
        <f t="shared" si="5"/>
        <v>1.8000000000000043</v>
      </c>
      <c r="L48" s="453">
        <v>41.2</v>
      </c>
      <c r="M48" s="451">
        <v>56.6</v>
      </c>
      <c r="N48" s="452">
        <f t="shared" si="1"/>
        <v>28.999999999999993</v>
      </c>
      <c r="O48" s="453">
        <v>85.6</v>
      </c>
      <c r="P48" s="451">
        <v>100.1</v>
      </c>
      <c r="Q48" s="452">
        <f t="shared" si="2"/>
        <v>5.5</v>
      </c>
      <c r="R48" s="453">
        <v>105.6</v>
      </c>
      <c r="S48" s="451">
        <v>3.1</v>
      </c>
      <c r="T48" s="452">
        <f t="shared" si="3"/>
        <v>2.3000000000000003</v>
      </c>
      <c r="U48" s="453">
        <v>5.4</v>
      </c>
      <c r="V48" s="451">
        <v>5.6</v>
      </c>
      <c r="W48" s="452">
        <f t="shared" si="6"/>
        <v>22.1</v>
      </c>
      <c r="X48" s="453">
        <v>27.7</v>
      </c>
      <c r="Y48" s="451"/>
      <c r="Z48" s="450" t="str">
        <f t="shared" si="7"/>
        <v/>
      </c>
      <c r="AA48" s="453">
        <v>69.2</v>
      </c>
      <c r="AB48" s="451"/>
      <c r="AC48" s="452" t="str">
        <f t="shared" si="8"/>
        <v/>
      </c>
      <c r="AD48" s="453">
        <v>2</v>
      </c>
      <c r="AE48" s="451">
        <v>10.1</v>
      </c>
      <c r="AF48" s="452">
        <f t="shared" si="9"/>
        <v>13.200000000000001</v>
      </c>
      <c r="AG48" s="453">
        <v>23.3</v>
      </c>
      <c r="AH48" s="455">
        <v>224.2</v>
      </c>
      <c r="AI48" s="456">
        <f t="shared" si="10"/>
        <v>179.3</v>
      </c>
      <c r="AJ48" s="457">
        <v>403.5</v>
      </c>
    </row>
    <row r="49" spans="3:36" x14ac:dyDescent="0.25">
      <c r="C49" s="139">
        <v>39965</v>
      </c>
      <c r="D49" s="458">
        <v>3.3</v>
      </c>
      <c r="E49" s="459">
        <f t="shared" si="4"/>
        <v>14.7</v>
      </c>
      <c r="F49" s="459">
        <v>18</v>
      </c>
      <c r="G49" s="460">
        <v>2</v>
      </c>
      <c r="H49" s="461">
        <f t="shared" si="0"/>
        <v>5.9</v>
      </c>
      <c r="I49" s="462">
        <v>7.9</v>
      </c>
      <c r="J49" s="460">
        <v>43.3</v>
      </c>
      <c r="K49" s="461">
        <f t="shared" si="5"/>
        <v>1.9000000000000057</v>
      </c>
      <c r="L49" s="462">
        <v>45.2</v>
      </c>
      <c r="M49" s="460">
        <v>62.5</v>
      </c>
      <c r="N49" s="461">
        <f t="shared" si="1"/>
        <v>36.299999999999997</v>
      </c>
      <c r="O49" s="462">
        <v>98.8</v>
      </c>
      <c r="P49" s="460">
        <v>134.80000000000001</v>
      </c>
      <c r="Q49" s="461">
        <f t="shared" si="2"/>
        <v>3.7999999999999829</v>
      </c>
      <c r="R49" s="462">
        <v>138.6</v>
      </c>
      <c r="S49" s="460">
        <v>3.1</v>
      </c>
      <c r="T49" s="461">
        <f t="shared" si="3"/>
        <v>3.9</v>
      </c>
      <c r="U49" s="462">
        <v>7</v>
      </c>
      <c r="V49" s="460">
        <v>9.9</v>
      </c>
      <c r="W49" s="461">
        <f t="shared" si="6"/>
        <v>39</v>
      </c>
      <c r="X49" s="462">
        <v>48.9</v>
      </c>
      <c r="Y49" s="460"/>
      <c r="Z49" s="459" t="str">
        <f t="shared" si="7"/>
        <v/>
      </c>
      <c r="AA49" s="462">
        <v>76.7</v>
      </c>
      <c r="AB49" s="460"/>
      <c r="AC49" s="461" t="str">
        <f t="shared" si="8"/>
        <v/>
      </c>
      <c r="AD49" s="462">
        <v>2.1</v>
      </c>
      <c r="AE49" s="460">
        <v>14.2</v>
      </c>
      <c r="AF49" s="461">
        <f t="shared" si="9"/>
        <v>26.099999999999998</v>
      </c>
      <c r="AG49" s="462">
        <v>40.299999999999997</v>
      </c>
      <c r="AH49" s="463">
        <v>274.8</v>
      </c>
      <c r="AI49" s="464">
        <f t="shared" si="10"/>
        <v>208.7</v>
      </c>
      <c r="AJ49" s="465">
        <v>483.5</v>
      </c>
    </row>
    <row r="50" spans="3:36" x14ac:dyDescent="0.25">
      <c r="C50" s="139">
        <v>40057</v>
      </c>
      <c r="D50" s="449">
        <v>7.9</v>
      </c>
      <c r="E50" s="450">
        <f t="shared" si="4"/>
        <v>29.1</v>
      </c>
      <c r="F50" s="450">
        <v>37</v>
      </c>
      <c r="G50" s="451">
        <v>4.4000000000000004</v>
      </c>
      <c r="H50" s="452">
        <f t="shared" si="0"/>
        <v>7.9</v>
      </c>
      <c r="I50" s="453">
        <v>12.3</v>
      </c>
      <c r="J50" s="451">
        <v>46.1</v>
      </c>
      <c r="K50" s="452">
        <f t="shared" si="5"/>
        <v>2.5</v>
      </c>
      <c r="L50" s="453">
        <v>48.6</v>
      </c>
      <c r="M50" s="451">
        <v>70.7</v>
      </c>
      <c r="N50" s="452">
        <f t="shared" si="1"/>
        <v>62.7</v>
      </c>
      <c r="O50" s="453">
        <v>133.4</v>
      </c>
      <c r="P50" s="451">
        <v>134.19999999999999</v>
      </c>
      <c r="Q50" s="452">
        <f t="shared" si="2"/>
        <v>6.3000000000000114</v>
      </c>
      <c r="R50" s="453">
        <v>140.5</v>
      </c>
      <c r="S50" s="451">
        <v>3.8</v>
      </c>
      <c r="T50" s="452">
        <f t="shared" si="3"/>
        <v>5.7</v>
      </c>
      <c r="U50" s="453">
        <v>9.5</v>
      </c>
      <c r="V50" s="451">
        <v>10.6</v>
      </c>
      <c r="W50" s="452">
        <f t="shared" si="6"/>
        <v>43.3</v>
      </c>
      <c r="X50" s="453">
        <v>53.9</v>
      </c>
      <c r="Y50" s="451"/>
      <c r="Z50" s="450" t="str">
        <f t="shared" si="7"/>
        <v/>
      </c>
      <c r="AA50" s="453">
        <v>82.1</v>
      </c>
      <c r="AB50" s="451"/>
      <c r="AC50" s="452" t="str">
        <f t="shared" si="8"/>
        <v/>
      </c>
      <c r="AD50" s="453">
        <v>2.7</v>
      </c>
      <c r="AE50" s="451">
        <v>20.100000000000001</v>
      </c>
      <c r="AF50" s="452">
        <f t="shared" si="9"/>
        <v>17.299999999999997</v>
      </c>
      <c r="AG50" s="453">
        <v>37.4</v>
      </c>
      <c r="AH50" s="455">
        <v>298.89999999999998</v>
      </c>
      <c r="AI50" s="456">
        <f t="shared" si="10"/>
        <v>258.5</v>
      </c>
      <c r="AJ50" s="457">
        <v>557.4</v>
      </c>
    </row>
    <row r="51" spans="3:36" x14ac:dyDescent="0.25">
      <c r="C51" s="139">
        <v>40148</v>
      </c>
      <c r="D51" s="458">
        <v>14.3</v>
      </c>
      <c r="E51" s="459">
        <f t="shared" si="4"/>
        <v>39.700000000000003</v>
      </c>
      <c r="F51" s="459">
        <v>54</v>
      </c>
      <c r="G51" s="460">
        <v>3.7</v>
      </c>
      <c r="H51" s="461">
        <f t="shared" si="0"/>
        <v>6.7</v>
      </c>
      <c r="I51" s="462">
        <v>10.4</v>
      </c>
      <c r="J51" s="460">
        <v>48</v>
      </c>
      <c r="K51" s="461">
        <f t="shared" si="5"/>
        <v>3.2999999999999972</v>
      </c>
      <c r="L51" s="462">
        <v>51.3</v>
      </c>
      <c r="M51" s="460">
        <v>87</v>
      </c>
      <c r="N51" s="461">
        <f t="shared" si="1"/>
        <v>58.5</v>
      </c>
      <c r="O51" s="462">
        <v>145.5</v>
      </c>
      <c r="P51" s="460">
        <v>131.19999999999999</v>
      </c>
      <c r="Q51" s="461">
        <f t="shared" si="2"/>
        <v>5.3000000000000114</v>
      </c>
      <c r="R51" s="462">
        <v>136.5</v>
      </c>
      <c r="S51" s="460"/>
      <c r="T51" s="461" t="str">
        <f t="shared" si="3"/>
        <v/>
      </c>
      <c r="U51" s="462">
        <v>6.5</v>
      </c>
      <c r="V51" s="460">
        <v>18.7</v>
      </c>
      <c r="W51" s="461">
        <f t="shared" si="6"/>
        <v>30.400000000000002</v>
      </c>
      <c r="X51" s="462">
        <v>49.1</v>
      </c>
      <c r="Y51" s="460"/>
      <c r="Z51" s="459" t="str">
        <f t="shared" si="7"/>
        <v/>
      </c>
      <c r="AA51" s="462">
        <v>84.7</v>
      </c>
      <c r="AB51" s="460">
        <v>0.1</v>
      </c>
      <c r="AC51" s="461">
        <f t="shared" si="8"/>
        <v>0.9</v>
      </c>
      <c r="AD51" s="462">
        <v>1</v>
      </c>
      <c r="AE51" s="460">
        <v>15.3</v>
      </c>
      <c r="AF51" s="461">
        <f t="shared" si="9"/>
        <v>24.400000000000002</v>
      </c>
      <c r="AG51" s="462">
        <v>39.700000000000003</v>
      </c>
      <c r="AH51" s="463">
        <v>321.7</v>
      </c>
      <c r="AI51" s="464">
        <f t="shared" si="10"/>
        <v>257.09999999999997</v>
      </c>
      <c r="AJ51" s="465">
        <v>578.79999999999995</v>
      </c>
    </row>
    <row r="52" spans="3:36" x14ac:dyDescent="0.25">
      <c r="C52" s="139">
        <v>40238</v>
      </c>
      <c r="D52" s="449">
        <v>8.3000000000000007</v>
      </c>
      <c r="E52" s="450">
        <f t="shared" si="4"/>
        <v>38.700000000000003</v>
      </c>
      <c r="F52" s="450">
        <v>47</v>
      </c>
      <c r="G52" s="451">
        <v>6.2</v>
      </c>
      <c r="H52" s="452">
        <f t="shared" si="0"/>
        <v>6.8</v>
      </c>
      <c r="I52" s="453">
        <v>13</v>
      </c>
      <c r="J52" s="451">
        <v>46.3</v>
      </c>
      <c r="K52" s="452">
        <f t="shared" si="5"/>
        <v>1.3000000000000043</v>
      </c>
      <c r="L52" s="453">
        <v>47.6</v>
      </c>
      <c r="M52" s="451">
        <v>81.8</v>
      </c>
      <c r="N52" s="452">
        <f t="shared" si="1"/>
        <v>49.000000000000014</v>
      </c>
      <c r="O52" s="453">
        <v>130.80000000000001</v>
      </c>
      <c r="P52" s="451">
        <v>89.4</v>
      </c>
      <c r="Q52" s="452">
        <f t="shared" si="2"/>
        <v>6.8999999999999915</v>
      </c>
      <c r="R52" s="453">
        <v>96.3</v>
      </c>
      <c r="S52" s="451"/>
      <c r="T52" s="452" t="str">
        <f t="shared" si="3"/>
        <v/>
      </c>
      <c r="U52" s="453"/>
      <c r="V52" s="451">
        <v>8.6</v>
      </c>
      <c r="W52" s="452">
        <f t="shared" si="6"/>
        <v>15.1</v>
      </c>
      <c r="X52" s="453">
        <v>23.7</v>
      </c>
      <c r="Y52" s="451">
        <v>0.5</v>
      </c>
      <c r="Z52" s="450">
        <f t="shared" si="7"/>
        <v>59.9</v>
      </c>
      <c r="AA52" s="453">
        <v>60.4</v>
      </c>
      <c r="AB52" s="451"/>
      <c r="AC52" s="452" t="str">
        <f t="shared" si="8"/>
        <v/>
      </c>
      <c r="AD52" s="453"/>
      <c r="AE52" s="451">
        <v>13.7</v>
      </c>
      <c r="AF52" s="452">
        <f t="shared" si="9"/>
        <v>18.8</v>
      </c>
      <c r="AG52" s="453">
        <v>32.5</v>
      </c>
      <c r="AH52" s="455">
        <v>257.10000000000002</v>
      </c>
      <c r="AI52" s="456">
        <f t="shared" si="10"/>
        <v>202.2</v>
      </c>
      <c r="AJ52" s="457">
        <v>459.3</v>
      </c>
    </row>
    <row r="53" spans="3:36" x14ac:dyDescent="0.25">
      <c r="C53" s="139">
        <v>40330</v>
      </c>
      <c r="D53" s="458">
        <v>15.4</v>
      </c>
      <c r="E53" s="459">
        <f t="shared" si="4"/>
        <v>48.300000000000004</v>
      </c>
      <c r="F53" s="459">
        <v>63.7</v>
      </c>
      <c r="G53" s="460">
        <v>7.2</v>
      </c>
      <c r="H53" s="461">
        <f t="shared" si="0"/>
        <v>8.6999999999999993</v>
      </c>
      <c r="I53" s="462">
        <v>15.9</v>
      </c>
      <c r="J53" s="460">
        <v>54.3</v>
      </c>
      <c r="K53" s="461">
        <f t="shared" si="5"/>
        <v>2.1000000000000014</v>
      </c>
      <c r="L53" s="462">
        <v>56.4</v>
      </c>
      <c r="M53" s="460">
        <v>109</v>
      </c>
      <c r="N53" s="461">
        <f t="shared" si="1"/>
        <v>56.699999999999989</v>
      </c>
      <c r="O53" s="462">
        <v>165.7</v>
      </c>
      <c r="P53" s="460">
        <v>142.30000000000001</v>
      </c>
      <c r="Q53" s="461">
        <f t="shared" si="2"/>
        <v>8.5</v>
      </c>
      <c r="R53" s="462">
        <v>150.80000000000001</v>
      </c>
      <c r="S53" s="460">
        <v>3.1</v>
      </c>
      <c r="T53" s="461" t="str">
        <f t="shared" si="3"/>
        <v/>
      </c>
      <c r="U53" s="462"/>
      <c r="V53" s="460">
        <v>17.5</v>
      </c>
      <c r="W53" s="461">
        <f t="shared" si="6"/>
        <v>24.9</v>
      </c>
      <c r="X53" s="462">
        <v>42.4</v>
      </c>
      <c r="Y53" s="460"/>
      <c r="Z53" s="459" t="str">
        <f t="shared" si="7"/>
        <v/>
      </c>
      <c r="AA53" s="462">
        <v>94</v>
      </c>
      <c r="AB53" s="460"/>
      <c r="AC53" s="461" t="str">
        <f t="shared" si="8"/>
        <v/>
      </c>
      <c r="AD53" s="462"/>
      <c r="AE53" s="460">
        <v>16.2</v>
      </c>
      <c r="AF53" s="461">
        <f t="shared" si="9"/>
        <v>21.3</v>
      </c>
      <c r="AG53" s="462">
        <v>37.5</v>
      </c>
      <c r="AH53" s="463">
        <v>366.3</v>
      </c>
      <c r="AI53" s="464">
        <f t="shared" si="10"/>
        <v>270.8</v>
      </c>
      <c r="AJ53" s="465">
        <v>637.1</v>
      </c>
    </row>
    <row r="54" spans="3:36" x14ac:dyDescent="0.25">
      <c r="C54" s="139">
        <v>40422</v>
      </c>
      <c r="D54" s="449">
        <v>19.2</v>
      </c>
      <c r="E54" s="450">
        <f t="shared" si="4"/>
        <v>49.7</v>
      </c>
      <c r="F54" s="450">
        <v>68.900000000000006</v>
      </c>
      <c r="G54" s="451">
        <v>7.2</v>
      </c>
      <c r="H54" s="452">
        <f t="shared" si="0"/>
        <v>11.8</v>
      </c>
      <c r="I54" s="453">
        <v>19</v>
      </c>
      <c r="J54" s="451">
        <v>67.400000000000006</v>
      </c>
      <c r="K54" s="452">
        <f t="shared" si="5"/>
        <v>1.8999999999999915</v>
      </c>
      <c r="L54" s="453">
        <v>69.3</v>
      </c>
      <c r="M54" s="451">
        <v>105.3</v>
      </c>
      <c r="N54" s="452">
        <f t="shared" si="1"/>
        <v>55.000000000000014</v>
      </c>
      <c r="O54" s="453">
        <v>160.30000000000001</v>
      </c>
      <c r="P54" s="451">
        <v>136.19999999999999</v>
      </c>
      <c r="Q54" s="452">
        <f t="shared" si="2"/>
        <v>15.800000000000011</v>
      </c>
      <c r="R54" s="453">
        <v>152</v>
      </c>
      <c r="S54" s="451">
        <v>2.1</v>
      </c>
      <c r="T54" s="452" t="str">
        <f t="shared" si="3"/>
        <v/>
      </c>
      <c r="U54" s="453"/>
      <c r="V54" s="451">
        <v>26.8</v>
      </c>
      <c r="W54" s="452">
        <f t="shared" si="6"/>
        <v>31.8</v>
      </c>
      <c r="X54" s="453">
        <v>58.6</v>
      </c>
      <c r="Y54" s="451"/>
      <c r="Z54" s="450" t="str">
        <f t="shared" si="7"/>
        <v/>
      </c>
      <c r="AA54" s="453">
        <v>85.1</v>
      </c>
      <c r="AB54" s="451"/>
      <c r="AC54" s="452" t="str">
        <f t="shared" si="8"/>
        <v/>
      </c>
      <c r="AD54" s="453"/>
      <c r="AE54" s="451">
        <v>18.8</v>
      </c>
      <c r="AF54" s="452">
        <f t="shared" si="9"/>
        <v>29.599999999999998</v>
      </c>
      <c r="AG54" s="453">
        <v>48.4</v>
      </c>
      <c r="AH54" s="455">
        <v>384.6</v>
      </c>
      <c r="AI54" s="456">
        <f t="shared" si="10"/>
        <v>284.79999999999995</v>
      </c>
      <c r="AJ54" s="457">
        <v>669.4</v>
      </c>
    </row>
    <row r="55" spans="3:36" x14ac:dyDescent="0.25">
      <c r="C55" s="139">
        <v>40513</v>
      </c>
      <c r="D55" s="458">
        <v>22.9</v>
      </c>
      <c r="E55" s="459">
        <f t="shared" si="4"/>
        <v>58.9</v>
      </c>
      <c r="F55" s="459">
        <v>81.8</v>
      </c>
      <c r="G55" s="460">
        <v>7.7</v>
      </c>
      <c r="H55" s="461">
        <f t="shared" si="0"/>
        <v>11</v>
      </c>
      <c r="I55" s="462">
        <v>18.7</v>
      </c>
      <c r="J55" s="460">
        <v>59.8</v>
      </c>
      <c r="K55" s="461">
        <f t="shared" si="5"/>
        <v>2.6000000000000014</v>
      </c>
      <c r="L55" s="462">
        <v>62.4</v>
      </c>
      <c r="M55" s="460">
        <v>116</v>
      </c>
      <c r="N55" s="461">
        <f t="shared" si="1"/>
        <v>51.300000000000011</v>
      </c>
      <c r="O55" s="462">
        <v>167.3</v>
      </c>
      <c r="P55" s="460">
        <v>134.5</v>
      </c>
      <c r="Q55" s="461">
        <f t="shared" si="2"/>
        <v>19.699999999999989</v>
      </c>
      <c r="R55" s="462">
        <v>154.19999999999999</v>
      </c>
      <c r="S55" s="460">
        <v>2.4</v>
      </c>
      <c r="T55" s="461" t="str">
        <f t="shared" si="3"/>
        <v/>
      </c>
      <c r="U55" s="462"/>
      <c r="V55" s="460">
        <v>31.1</v>
      </c>
      <c r="W55" s="461">
        <f t="shared" si="6"/>
        <v>34.199999999999996</v>
      </c>
      <c r="X55" s="462">
        <v>65.3</v>
      </c>
      <c r="Y55" s="460"/>
      <c r="Z55" s="459" t="str">
        <f t="shared" si="7"/>
        <v/>
      </c>
      <c r="AA55" s="462">
        <v>122.3</v>
      </c>
      <c r="AB55" s="460"/>
      <c r="AC55" s="461" t="str">
        <f t="shared" si="8"/>
        <v/>
      </c>
      <c r="AD55" s="462"/>
      <c r="AE55" s="460">
        <v>16.7</v>
      </c>
      <c r="AF55" s="461">
        <f t="shared" si="9"/>
        <v>27.500000000000004</v>
      </c>
      <c r="AG55" s="462">
        <v>44.2</v>
      </c>
      <c r="AH55" s="463">
        <v>393.7</v>
      </c>
      <c r="AI55" s="464">
        <f t="shared" si="10"/>
        <v>330.7</v>
      </c>
      <c r="AJ55" s="465">
        <v>724.4</v>
      </c>
    </row>
    <row r="56" spans="3:36" x14ac:dyDescent="0.25">
      <c r="C56" s="139">
        <v>40603</v>
      </c>
      <c r="D56" s="449">
        <v>15.6</v>
      </c>
      <c r="E56" s="450">
        <f t="shared" si="4"/>
        <v>55.300000000000004</v>
      </c>
      <c r="F56" s="450">
        <v>70.900000000000006</v>
      </c>
      <c r="G56" s="451">
        <v>5.4</v>
      </c>
      <c r="H56" s="452">
        <f t="shared" si="0"/>
        <v>12.6</v>
      </c>
      <c r="I56" s="453">
        <v>18</v>
      </c>
      <c r="J56" s="451">
        <v>65.099999999999994</v>
      </c>
      <c r="K56" s="452">
        <f t="shared" si="5"/>
        <v>2.5</v>
      </c>
      <c r="L56" s="453">
        <v>67.599999999999994</v>
      </c>
      <c r="M56" s="451">
        <v>108.9</v>
      </c>
      <c r="N56" s="452">
        <f t="shared" si="1"/>
        <v>37.5</v>
      </c>
      <c r="O56" s="453">
        <v>146.4</v>
      </c>
      <c r="P56" s="451">
        <v>124.4</v>
      </c>
      <c r="Q56" s="452">
        <f t="shared" si="2"/>
        <v>19.699999999999989</v>
      </c>
      <c r="R56" s="453">
        <v>144.1</v>
      </c>
      <c r="S56" s="451">
        <v>2.6</v>
      </c>
      <c r="T56" s="452">
        <f t="shared" si="3"/>
        <v>3.6</v>
      </c>
      <c r="U56" s="453">
        <v>6.2</v>
      </c>
      <c r="V56" s="451">
        <v>22.6</v>
      </c>
      <c r="W56" s="452">
        <f t="shared" si="6"/>
        <v>20.799999999999997</v>
      </c>
      <c r="X56" s="453">
        <v>43.4</v>
      </c>
      <c r="Y56" s="451"/>
      <c r="Z56" s="450" t="str">
        <f t="shared" si="7"/>
        <v/>
      </c>
      <c r="AA56" s="453">
        <v>109.6</v>
      </c>
      <c r="AB56" s="451"/>
      <c r="AC56" s="452" t="str">
        <f t="shared" si="8"/>
        <v/>
      </c>
      <c r="AD56" s="453">
        <v>0.6</v>
      </c>
      <c r="AE56" s="451">
        <v>16.2</v>
      </c>
      <c r="AF56" s="452">
        <f t="shared" si="9"/>
        <v>27.2</v>
      </c>
      <c r="AG56" s="453">
        <v>43.4</v>
      </c>
      <c r="AH56" s="455">
        <v>362.2</v>
      </c>
      <c r="AI56" s="456">
        <f t="shared" si="10"/>
        <v>287.90000000000003</v>
      </c>
      <c r="AJ56" s="457">
        <v>650.1</v>
      </c>
    </row>
    <row r="57" spans="3:36" x14ac:dyDescent="0.25">
      <c r="C57" s="139">
        <v>40695</v>
      </c>
      <c r="D57" s="458">
        <v>21</v>
      </c>
      <c r="E57" s="459">
        <f t="shared" si="4"/>
        <v>80.5</v>
      </c>
      <c r="F57" s="459">
        <v>101.5</v>
      </c>
      <c r="G57" s="460">
        <v>5.0999999999999996</v>
      </c>
      <c r="H57" s="461">
        <f t="shared" si="0"/>
        <v>14.700000000000001</v>
      </c>
      <c r="I57" s="462">
        <v>19.8</v>
      </c>
      <c r="J57" s="460">
        <v>68.8</v>
      </c>
      <c r="K57" s="461">
        <f t="shared" si="5"/>
        <v>2.7999999999999972</v>
      </c>
      <c r="L57" s="462">
        <v>71.599999999999994</v>
      </c>
      <c r="M57" s="460">
        <v>122.3</v>
      </c>
      <c r="N57" s="461">
        <f t="shared" si="1"/>
        <v>55.899999999999991</v>
      </c>
      <c r="O57" s="462">
        <v>178.2</v>
      </c>
      <c r="P57" s="460">
        <v>189.9</v>
      </c>
      <c r="Q57" s="461">
        <f t="shared" si="2"/>
        <v>24.799999999999983</v>
      </c>
      <c r="R57" s="462">
        <v>214.7</v>
      </c>
      <c r="S57" s="460">
        <v>3.7</v>
      </c>
      <c r="T57" s="461" t="str">
        <f t="shared" si="3"/>
        <v/>
      </c>
      <c r="U57" s="462"/>
      <c r="V57" s="460">
        <v>20.2</v>
      </c>
      <c r="W57" s="461">
        <f t="shared" si="6"/>
        <v>26.400000000000002</v>
      </c>
      <c r="X57" s="462">
        <v>46.6</v>
      </c>
      <c r="Y57" s="460"/>
      <c r="Z57" s="459" t="str">
        <f t="shared" si="7"/>
        <v/>
      </c>
      <c r="AA57" s="462">
        <v>202.7</v>
      </c>
      <c r="AB57" s="460"/>
      <c r="AC57" s="461" t="str">
        <f t="shared" si="8"/>
        <v/>
      </c>
      <c r="AD57" s="462"/>
      <c r="AE57" s="460">
        <v>17.100000000000001</v>
      </c>
      <c r="AF57" s="461">
        <f t="shared" si="9"/>
        <v>43.199999999999996</v>
      </c>
      <c r="AG57" s="462">
        <v>60.3</v>
      </c>
      <c r="AH57" s="463">
        <v>449.6</v>
      </c>
      <c r="AI57" s="464">
        <f t="shared" si="10"/>
        <v>457.79999999999995</v>
      </c>
      <c r="AJ57" s="465">
        <v>907.4</v>
      </c>
    </row>
    <row r="58" spans="3:36" x14ac:dyDescent="0.25">
      <c r="C58" s="139">
        <v>40787</v>
      </c>
      <c r="D58" s="449">
        <v>20.8</v>
      </c>
      <c r="E58" s="450">
        <f t="shared" si="4"/>
        <v>88.100000000000009</v>
      </c>
      <c r="F58" s="450">
        <v>108.9</v>
      </c>
      <c r="G58" s="451">
        <v>5</v>
      </c>
      <c r="H58" s="452">
        <f t="shared" si="0"/>
        <v>17</v>
      </c>
      <c r="I58" s="453">
        <v>22</v>
      </c>
      <c r="J58" s="451">
        <v>71.5</v>
      </c>
      <c r="K58" s="452">
        <f t="shared" si="5"/>
        <v>2.0999999999999943</v>
      </c>
      <c r="L58" s="453">
        <v>73.599999999999994</v>
      </c>
      <c r="M58" s="451">
        <v>126.7</v>
      </c>
      <c r="N58" s="452">
        <f t="shared" si="1"/>
        <v>57.499999999999986</v>
      </c>
      <c r="O58" s="453">
        <v>184.2</v>
      </c>
      <c r="P58" s="451">
        <v>208.8</v>
      </c>
      <c r="Q58" s="452">
        <f t="shared" si="2"/>
        <v>25.899999999999977</v>
      </c>
      <c r="R58" s="453">
        <v>234.7</v>
      </c>
      <c r="S58" s="451">
        <v>2.8</v>
      </c>
      <c r="T58" s="452" t="str">
        <f t="shared" si="3"/>
        <v/>
      </c>
      <c r="U58" s="453"/>
      <c r="V58" s="451">
        <v>25.9</v>
      </c>
      <c r="W58" s="452">
        <f t="shared" si="6"/>
        <v>28.1</v>
      </c>
      <c r="X58" s="453">
        <v>54</v>
      </c>
      <c r="Y58" s="451"/>
      <c r="Z58" s="450" t="str">
        <f t="shared" si="7"/>
        <v/>
      </c>
      <c r="AA58" s="453">
        <v>227.4</v>
      </c>
      <c r="AB58" s="451"/>
      <c r="AC58" s="452" t="str">
        <f t="shared" si="8"/>
        <v/>
      </c>
      <c r="AD58" s="453"/>
      <c r="AE58" s="451">
        <v>18.100000000000001</v>
      </c>
      <c r="AF58" s="452">
        <f t="shared" si="9"/>
        <v>44.6</v>
      </c>
      <c r="AG58" s="453">
        <v>62.7</v>
      </c>
      <c r="AH58" s="455">
        <v>481.6</v>
      </c>
      <c r="AI58" s="456">
        <f t="shared" si="10"/>
        <v>501.79999999999995</v>
      </c>
      <c r="AJ58" s="457">
        <v>983.4</v>
      </c>
    </row>
    <row r="59" spans="3:36" x14ac:dyDescent="0.25">
      <c r="C59" s="139">
        <v>40878</v>
      </c>
      <c r="D59" s="458">
        <v>20.399999999999999</v>
      </c>
      <c r="E59" s="459">
        <f t="shared" si="4"/>
        <v>94.199999999999989</v>
      </c>
      <c r="F59" s="459">
        <v>114.6</v>
      </c>
      <c r="G59" s="460">
        <v>3.8</v>
      </c>
      <c r="H59" s="461">
        <f t="shared" si="0"/>
        <v>19.099999999999998</v>
      </c>
      <c r="I59" s="462">
        <v>22.9</v>
      </c>
      <c r="J59" s="460">
        <v>46.6</v>
      </c>
      <c r="K59" s="461">
        <f t="shared" si="5"/>
        <v>2.6999999999999957</v>
      </c>
      <c r="L59" s="462">
        <v>49.3</v>
      </c>
      <c r="M59" s="460">
        <v>141.1</v>
      </c>
      <c r="N59" s="461">
        <f t="shared" si="1"/>
        <v>58.900000000000006</v>
      </c>
      <c r="O59" s="462">
        <v>200</v>
      </c>
      <c r="P59" s="460">
        <v>279.3</v>
      </c>
      <c r="Q59" s="461">
        <f t="shared" si="2"/>
        <v>32.5</v>
      </c>
      <c r="R59" s="462">
        <v>311.8</v>
      </c>
      <c r="S59" s="460">
        <v>2.6</v>
      </c>
      <c r="T59" s="461">
        <f t="shared" si="3"/>
        <v>8.4</v>
      </c>
      <c r="U59" s="462">
        <v>11</v>
      </c>
      <c r="V59" s="460">
        <v>21.3</v>
      </c>
      <c r="W59" s="461">
        <f t="shared" si="6"/>
        <v>24.3</v>
      </c>
      <c r="X59" s="462">
        <v>45.6</v>
      </c>
      <c r="Y59" s="460"/>
      <c r="Z59" s="459" t="str">
        <f t="shared" si="7"/>
        <v/>
      </c>
      <c r="AA59" s="462">
        <v>217.7</v>
      </c>
      <c r="AB59" s="460"/>
      <c r="AC59" s="461" t="str">
        <f t="shared" si="8"/>
        <v/>
      </c>
      <c r="AD59" s="462">
        <v>2.2000000000000002</v>
      </c>
      <c r="AE59" s="460">
        <v>14.7</v>
      </c>
      <c r="AF59" s="461">
        <f t="shared" si="9"/>
        <v>42.5</v>
      </c>
      <c r="AG59" s="462">
        <v>57.2</v>
      </c>
      <c r="AH59" s="463">
        <v>531.9</v>
      </c>
      <c r="AI59" s="464">
        <f t="shared" si="10"/>
        <v>500.50000000000011</v>
      </c>
      <c r="AJ59" s="465">
        <v>1032.4000000000001</v>
      </c>
    </row>
    <row r="60" spans="3:36" x14ac:dyDescent="0.25">
      <c r="C60" s="139">
        <v>40969</v>
      </c>
      <c r="D60" s="449">
        <v>22.1</v>
      </c>
      <c r="E60" s="450">
        <f t="shared" si="4"/>
        <v>76.599999999999994</v>
      </c>
      <c r="F60" s="450">
        <v>98.7</v>
      </c>
      <c r="G60" s="451">
        <v>5.2</v>
      </c>
      <c r="H60" s="452">
        <f t="shared" si="0"/>
        <v>16</v>
      </c>
      <c r="I60" s="453">
        <v>21.2</v>
      </c>
      <c r="J60" s="451">
        <v>62.2</v>
      </c>
      <c r="K60" s="452">
        <f t="shared" si="5"/>
        <v>1.8999999999999915</v>
      </c>
      <c r="L60" s="453">
        <v>64.099999999999994</v>
      </c>
      <c r="M60" s="451">
        <v>128.4</v>
      </c>
      <c r="N60" s="452">
        <f t="shared" si="1"/>
        <v>40.400000000000006</v>
      </c>
      <c r="O60" s="453">
        <v>168.8</v>
      </c>
      <c r="P60" s="451">
        <v>240.4</v>
      </c>
      <c r="Q60" s="452">
        <f t="shared" si="2"/>
        <v>27.499999999999972</v>
      </c>
      <c r="R60" s="453">
        <v>267.89999999999998</v>
      </c>
      <c r="S60" s="451">
        <v>3.1</v>
      </c>
      <c r="T60" s="452">
        <f t="shared" si="3"/>
        <v>6.2000000000000011</v>
      </c>
      <c r="U60" s="453">
        <v>9.3000000000000007</v>
      </c>
      <c r="V60" s="451">
        <v>17.7</v>
      </c>
      <c r="W60" s="452">
        <f t="shared" si="6"/>
        <v>11.600000000000001</v>
      </c>
      <c r="X60" s="453">
        <v>29.3</v>
      </c>
      <c r="Y60" s="451"/>
      <c r="Z60" s="450" t="str">
        <f t="shared" si="7"/>
        <v/>
      </c>
      <c r="AA60" s="453">
        <v>177.5</v>
      </c>
      <c r="AB60" s="451"/>
      <c r="AC60" s="452" t="str">
        <f t="shared" si="8"/>
        <v/>
      </c>
      <c r="AD60" s="453">
        <v>1.1000000000000001</v>
      </c>
      <c r="AE60" s="451">
        <v>10.4</v>
      </c>
      <c r="AF60" s="452">
        <f t="shared" si="9"/>
        <v>27.800000000000004</v>
      </c>
      <c r="AG60" s="453">
        <v>38.200000000000003</v>
      </c>
      <c r="AH60" s="455">
        <v>490.1</v>
      </c>
      <c r="AI60" s="456">
        <f t="shared" si="10"/>
        <v>386</v>
      </c>
      <c r="AJ60" s="457">
        <v>876.1</v>
      </c>
    </row>
    <row r="61" spans="3:36" x14ac:dyDescent="0.25">
      <c r="C61" s="139">
        <v>41061</v>
      </c>
      <c r="D61" s="458">
        <v>28.8</v>
      </c>
      <c r="E61" s="459">
        <f t="shared" si="4"/>
        <v>91.600000000000009</v>
      </c>
      <c r="F61" s="459">
        <v>120.4</v>
      </c>
      <c r="G61" s="460">
        <v>5.4</v>
      </c>
      <c r="H61" s="461">
        <f t="shared" si="0"/>
        <v>15.999999999999998</v>
      </c>
      <c r="I61" s="462">
        <v>21.4</v>
      </c>
      <c r="J61" s="460">
        <v>76.599999999999994</v>
      </c>
      <c r="K61" s="461">
        <f t="shared" si="5"/>
        <v>1.8000000000000114</v>
      </c>
      <c r="L61" s="462">
        <v>78.400000000000006</v>
      </c>
      <c r="M61" s="460">
        <v>161.19999999999999</v>
      </c>
      <c r="N61" s="461">
        <f t="shared" si="1"/>
        <v>53.800000000000011</v>
      </c>
      <c r="O61" s="462">
        <v>215</v>
      </c>
      <c r="P61" s="460">
        <v>297.39999999999998</v>
      </c>
      <c r="Q61" s="461">
        <f t="shared" si="2"/>
        <v>38.800000000000011</v>
      </c>
      <c r="R61" s="462">
        <v>336.2</v>
      </c>
      <c r="S61" s="460">
        <v>4.2</v>
      </c>
      <c r="T61" s="461" t="str">
        <f t="shared" si="3"/>
        <v/>
      </c>
      <c r="U61" s="462"/>
      <c r="V61" s="460">
        <v>13.4</v>
      </c>
      <c r="W61" s="461">
        <f t="shared" si="6"/>
        <v>11.299999999999999</v>
      </c>
      <c r="X61" s="462">
        <v>24.7</v>
      </c>
      <c r="Y61" s="460"/>
      <c r="Z61" s="459" t="str">
        <f t="shared" si="7"/>
        <v/>
      </c>
      <c r="AA61" s="462">
        <v>211.7</v>
      </c>
      <c r="AB61" s="460"/>
      <c r="AC61" s="461" t="str">
        <f t="shared" si="8"/>
        <v/>
      </c>
      <c r="AD61" s="462"/>
      <c r="AE61" s="460">
        <v>14.4</v>
      </c>
      <c r="AF61" s="461">
        <f t="shared" si="9"/>
        <v>26.700000000000003</v>
      </c>
      <c r="AG61" s="462">
        <v>41.1</v>
      </c>
      <c r="AH61" s="463">
        <v>603.20000000000005</v>
      </c>
      <c r="AI61" s="464">
        <f t="shared" si="10"/>
        <v>457.89999999999986</v>
      </c>
      <c r="AJ61" s="465">
        <v>1061.0999999999999</v>
      </c>
    </row>
    <row r="62" spans="3:36" x14ac:dyDescent="0.25">
      <c r="C62" s="139">
        <v>41153</v>
      </c>
      <c r="D62" s="449">
        <v>22.2</v>
      </c>
      <c r="E62" s="450">
        <f t="shared" si="4"/>
        <v>80.3</v>
      </c>
      <c r="F62" s="450">
        <v>102.5</v>
      </c>
      <c r="G62" s="451">
        <v>4.9000000000000004</v>
      </c>
      <c r="H62" s="452">
        <f t="shared" si="0"/>
        <v>16.200000000000003</v>
      </c>
      <c r="I62" s="453">
        <v>21.1</v>
      </c>
      <c r="J62" s="451">
        <v>42.3</v>
      </c>
      <c r="K62" s="452">
        <f t="shared" si="5"/>
        <v>1.6000000000000014</v>
      </c>
      <c r="L62" s="453">
        <v>43.9</v>
      </c>
      <c r="M62" s="451">
        <v>140.30000000000001</v>
      </c>
      <c r="N62" s="452">
        <f t="shared" si="1"/>
        <v>54.099999999999994</v>
      </c>
      <c r="O62" s="453">
        <v>194.4</v>
      </c>
      <c r="P62" s="451">
        <v>248.7</v>
      </c>
      <c r="Q62" s="452">
        <f t="shared" si="2"/>
        <v>31.800000000000011</v>
      </c>
      <c r="R62" s="453">
        <v>280.5</v>
      </c>
      <c r="S62" s="451"/>
      <c r="T62" s="452" t="str">
        <f t="shared" si="3"/>
        <v/>
      </c>
      <c r="U62" s="453">
        <v>10.9</v>
      </c>
      <c r="V62" s="451">
        <v>12</v>
      </c>
      <c r="W62" s="452">
        <f t="shared" si="6"/>
        <v>11.5</v>
      </c>
      <c r="X62" s="453">
        <v>23.5</v>
      </c>
      <c r="Y62" s="451">
        <v>1.1000000000000001</v>
      </c>
      <c r="Z62" s="450">
        <f t="shared" si="7"/>
        <v>169.5</v>
      </c>
      <c r="AA62" s="453">
        <v>170.6</v>
      </c>
      <c r="AB62" s="451"/>
      <c r="AC62" s="452" t="str">
        <f t="shared" si="8"/>
        <v/>
      </c>
      <c r="AD62" s="453">
        <v>1.4</v>
      </c>
      <c r="AE62" s="451">
        <v>12.4</v>
      </c>
      <c r="AF62" s="452">
        <f t="shared" si="9"/>
        <v>33.5</v>
      </c>
      <c r="AG62" s="453">
        <v>45.9</v>
      </c>
      <c r="AH62" s="455">
        <v>488.6</v>
      </c>
      <c r="AI62" s="456">
        <f t="shared" si="10"/>
        <v>406.1</v>
      </c>
      <c r="AJ62" s="457">
        <v>894.7</v>
      </c>
    </row>
    <row r="63" spans="3:36" x14ac:dyDescent="0.25">
      <c r="C63" s="139">
        <v>41244</v>
      </c>
      <c r="D63" s="458">
        <v>20.2</v>
      </c>
      <c r="E63" s="459">
        <f t="shared" si="4"/>
        <v>71.899999999999991</v>
      </c>
      <c r="F63" s="459">
        <v>92.1</v>
      </c>
      <c r="G63" s="460">
        <v>3.9</v>
      </c>
      <c r="H63" s="461">
        <f t="shared" si="0"/>
        <v>15.700000000000001</v>
      </c>
      <c r="I63" s="462">
        <v>19.600000000000001</v>
      </c>
      <c r="J63" s="460">
        <v>47.3</v>
      </c>
      <c r="K63" s="461">
        <f t="shared" si="5"/>
        <v>2</v>
      </c>
      <c r="L63" s="462">
        <v>49.3</v>
      </c>
      <c r="M63" s="460">
        <v>111</v>
      </c>
      <c r="N63" s="461">
        <f t="shared" si="1"/>
        <v>51.699999999999989</v>
      </c>
      <c r="O63" s="462">
        <v>162.69999999999999</v>
      </c>
      <c r="P63" s="460">
        <v>254.3</v>
      </c>
      <c r="Q63" s="461">
        <f t="shared" si="2"/>
        <v>24.099999999999966</v>
      </c>
      <c r="R63" s="462">
        <v>278.39999999999998</v>
      </c>
      <c r="S63" s="460"/>
      <c r="T63" s="461" t="str">
        <f t="shared" si="3"/>
        <v/>
      </c>
      <c r="U63" s="462">
        <v>11</v>
      </c>
      <c r="V63" s="460">
        <v>11.2</v>
      </c>
      <c r="W63" s="461">
        <f t="shared" si="6"/>
        <v>9.6000000000000014</v>
      </c>
      <c r="X63" s="462">
        <v>20.8</v>
      </c>
      <c r="Y63" s="460"/>
      <c r="Z63" s="459" t="str">
        <f t="shared" si="7"/>
        <v/>
      </c>
      <c r="AA63" s="462">
        <v>149.19999999999999</v>
      </c>
      <c r="AB63" s="460"/>
      <c r="AC63" s="461" t="str">
        <f t="shared" si="8"/>
        <v/>
      </c>
      <c r="AD63" s="462">
        <v>1.6</v>
      </c>
      <c r="AE63" s="460">
        <v>14.6</v>
      </c>
      <c r="AF63" s="461">
        <f t="shared" si="9"/>
        <v>24.6</v>
      </c>
      <c r="AG63" s="462">
        <v>39.200000000000003</v>
      </c>
      <c r="AH63" s="463">
        <v>470.7</v>
      </c>
      <c r="AI63" s="464">
        <f t="shared" si="10"/>
        <v>353.2</v>
      </c>
      <c r="AJ63" s="465">
        <v>823.9</v>
      </c>
    </row>
    <row r="64" spans="3:36" x14ac:dyDescent="0.25">
      <c r="C64" s="139">
        <v>41334</v>
      </c>
      <c r="D64" s="449">
        <v>17.5</v>
      </c>
      <c r="E64" s="450">
        <f t="shared" si="4"/>
        <v>43.5</v>
      </c>
      <c r="F64" s="450">
        <v>61</v>
      </c>
      <c r="G64" s="451">
        <v>3.4</v>
      </c>
      <c r="H64" s="452">
        <f t="shared" si="0"/>
        <v>15.1</v>
      </c>
      <c r="I64" s="453">
        <v>18.5</v>
      </c>
      <c r="J64" s="451">
        <v>29.9</v>
      </c>
      <c r="K64" s="452">
        <f t="shared" si="5"/>
        <v>1.1000000000000014</v>
      </c>
      <c r="L64" s="453">
        <v>31</v>
      </c>
      <c r="M64" s="451">
        <v>111.9</v>
      </c>
      <c r="N64" s="452">
        <f t="shared" si="1"/>
        <v>42.799999999999983</v>
      </c>
      <c r="O64" s="453">
        <v>154.69999999999999</v>
      </c>
      <c r="P64" s="451">
        <v>232.5</v>
      </c>
      <c r="Q64" s="452">
        <f t="shared" si="2"/>
        <v>15.699999999999989</v>
      </c>
      <c r="R64" s="453">
        <v>248.2</v>
      </c>
      <c r="S64" s="451"/>
      <c r="T64" s="452" t="str">
        <f t="shared" si="3"/>
        <v/>
      </c>
      <c r="U64" s="453">
        <v>7.2</v>
      </c>
      <c r="V64" s="451">
        <v>6.6</v>
      </c>
      <c r="W64" s="452">
        <f t="shared" si="6"/>
        <v>5.8000000000000007</v>
      </c>
      <c r="X64" s="453">
        <v>12.4</v>
      </c>
      <c r="Y64" s="451">
        <v>4.0999999999999996</v>
      </c>
      <c r="Z64" s="450">
        <f t="shared" si="7"/>
        <v>100.4</v>
      </c>
      <c r="AA64" s="453">
        <v>104.5</v>
      </c>
      <c r="AB64" s="451"/>
      <c r="AC64" s="452" t="str">
        <f t="shared" si="8"/>
        <v/>
      </c>
      <c r="AD64" s="453">
        <v>1.6</v>
      </c>
      <c r="AE64" s="451">
        <v>13.6</v>
      </c>
      <c r="AF64" s="452">
        <f t="shared" si="9"/>
        <v>19.600000000000001</v>
      </c>
      <c r="AG64" s="453">
        <v>33.200000000000003</v>
      </c>
      <c r="AH64" s="455">
        <v>421.8</v>
      </c>
      <c r="AI64" s="456">
        <f t="shared" si="10"/>
        <v>250.40000000000003</v>
      </c>
      <c r="AJ64" s="457">
        <v>672.2</v>
      </c>
    </row>
    <row r="65" spans="3:36" x14ac:dyDescent="0.25">
      <c r="C65" s="139">
        <v>41426</v>
      </c>
      <c r="D65" s="458">
        <v>16.7</v>
      </c>
      <c r="E65" s="459">
        <f t="shared" si="4"/>
        <v>47</v>
      </c>
      <c r="F65" s="459">
        <v>63.7</v>
      </c>
      <c r="G65" s="460">
        <v>4.4000000000000004</v>
      </c>
      <c r="H65" s="461">
        <f t="shared" si="0"/>
        <v>16.200000000000003</v>
      </c>
      <c r="I65" s="462">
        <v>20.6</v>
      </c>
      <c r="J65" s="460">
        <v>37.799999999999997</v>
      </c>
      <c r="K65" s="461">
        <f t="shared" si="5"/>
        <v>2.5</v>
      </c>
      <c r="L65" s="462">
        <v>40.299999999999997</v>
      </c>
      <c r="M65" s="460">
        <v>103.4</v>
      </c>
      <c r="N65" s="461">
        <f t="shared" si="1"/>
        <v>46.599999999999994</v>
      </c>
      <c r="O65" s="462">
        <v>150</v>
      </c>
      <c r="P65" s="460">
        <v>186.3</v>
      </c>
      <c r="Q65" s="461">
        <f t="shared" si="2"/>
        <v>17.899999999999977</v>
      </c>
      <c r="R65" s="462">
        <v>204.2</v>
      </c>
      <c r="S65" s="460">
        <v>3</v>
      </c>
      <c r="T65" s="461">
        <f t="shared" si="3"/>
        <v>5.6999999999999993</v>
      </c>
      <c r="U65" s="462">
        <v>8.6999999999999993</v>
      </c>
      <c r="V65" s="460">
        <v>5.3</v>
      </c>
      <c r="W65" s="461">
        <f t="shared" si="6"/>
        <v>7.5000000000000009</v>
      </c>
      <c r="X65" s="462">
        <v>12.8</v>
      </c>
      <c r="Y65" s="460"/>
      <c r="Z65" s="459" t="str">
        <f t="shared" si="7"/>
        <v/>
      </c>
      <c r="AA65" s="462">
        <v>119.7</v>
      </c>
      <c r="AB65" s="460"/>
      <c r="AC65" s="461" t="str">
        <f t="shared" si="8"/>
        <v/>
      </c>
      <c r="AD65" s="462">
        <v>1.7</v>
      </c>
      <c r="AE65" s="460">
        <v>23.4</v>
      </c>
      <c r="AF65" s="461">
        <f t="shared" si="9"/>
        <v>19.5</v>
      </c>
      <c r="AG65" s="462">
        <v>42.9</v>
      </c>
      <c r="AH65" s="463">
        <v>382.3</v>
      </c>
      <c r="AI65" s="464">
        <f t="shared" si="10"/>
        <v>282.3</v>
      </c>
      <c r="AJ65" s="465">
        <v>664.6</v>
      </c>
    </row>
    <row r="66" spans="3:36" x14ac:dyDescent="0.25">
      <c r="C66" s="139">
        <v>41518</v>
      </c>
      <c r="D66" s="449">
        <v>21.5</v>
      </c>
      <c r="E66" s="450">
        <f t="shared" si="4"/>
        <v>33.1</v>
      </c>
      <c r="F66" s="450">
        <v>54.6</v>
      </c>
      <c r="G66" s="451">
        <v>3.2</v>
      </c>
      <c r="H66" s="452">
        <f t="shared" si="0"/>
        <v>9.8999999999999986</v>
      </c>
      <c r="I66" s="453">
        <v>13.1</v>
      </c>
      <c r="J66" s="451">
        <v>36.700000000000003</v>
      </c>
      <c r="K66" s="452">
        <f t="shared" si="5"/>
        <v>1.0999999999999943</v>
      </c>
      <c r="L66" s="453">
        <v>37.799999999999997</v>
      </c>
      <c r="M66" s="451">
        <v>96.3</v>
      </c>
      <c r="N66" s="452">
        <f t="shared" si="1"/>
        <v>35.899999999999991</v>
      </c>
      <c r="O66" s="453">
        <v>132.19999999999999</v>
      </c>
      <c r="P66" s="451">
        <v>206.1</v>
      </c>
      <c r="Q66" s="452">
        <f t="shared" si="2"/>
        <v>16.099999999999994</v>
      </c>
      <c r="R66" s="453">
        <v>222.2</v>
      </c>
      <c r="S66" s="451">
        <v>4.3</v>
      </c>
      <c r="T66" s="452" t="str">
        <f t="shared" si="3"/>
        <v/>
      </c>
      <c r="U66" s="453"/>
      <c r="V66" s="451">
        <v>6.8</v>
      </c>
      <c r="W66" s="452">
        <f t="shared" si="6"/>
        <v>9.3000000000000007</v>
      </c>
      <c r="X66" s="453">
        <v>16.100000000000001</v>
      </c>
      <c r="Y66" s="451"/>
      <c r="Z66" s="450" t="str">
        <f t="shared" si="7"/>
        <v/>
      </c>
      <c r="AA66" s="453">
        <v>109.6</v>
      </c>
      <c r="AB66" s="451"/>
      <c r="AC66" s="452" t="str">
        <f t="shared" si="8"/>
        <v/>
      </c>
      <c r="AD66" s="453"/>
      <c r="AE66" s="451">
        <v>19.899999999999999</v>
      </c>
      <c r="AF66" s="452">
        <f t="shared" si="9"/>
        <v>20.200000000000003</v>
      </c>
      <c r="AG66" s="453">
        <v>40.1</v>
      </c>
      <c r="AH66" s="455">
        <v>395.8</v>
      </c>
      <c r="AI66" s="456">
        <f t="shared" si="10"/>
        <v>242.59999999999997</v>
      </c>
      <c r="AJ66" s="457">
        <v>638.4</v>
      </c>
    </row>
    <row r="67" spans="3:36" x14ac:dyDescent="0.25">
      <c r="C67" s="139">
        <v>41609</v>
      </c>
      <c r="D67" s="458">
        <v>16.899999999999999</v>
      </c>
      <c r="E67" s="459">
        <f t="shared" si="4"/>
        <v>26.6</v>
      </c>
      <c r="F67" s="459">
        <v>43.5</v>
      </c>
      <c r="G67" s="460">
        <v>4.3</v>
      </c>
      <c r="H67" s="461">
        <f t="shared" si="0"/>
        <v>8</v>
      </c>
      <c r="I67" s="462">
        <v>12.3</v>
      </c>
      <c r="J67" s="460">
        <v>17.899999999999999</v>
      </c>
      <c r="K67" s="461">
        <f t="shared" si="5"/>
        <v>1.3000000000000007</v>
      </c>
      <c r="L67" s="462">
        <v>19.2</v>
      </c>
      <c r="M67" s="460">
        <v>76.2</v>
      </c>
      <c r="N67" s="461">
        <f t="shared" si="1"/>
        <v>40.299999999999997</v>
      </c>
      <c r="O67" s="462">
        <v>116.5</v>
      </c>
      <c r="P67" s="460">
        <v>158.9</v>
      </c>
      <c r="Q67" s="461">
        <f t="shared" si="2"/>
        <v>25.299999999999983</v>
      </c>
      <c r="R67" s="462">
        <v>184.2</v>
      </c>
      <c r="S67" s="460">
        <v>5.6</v>
      </c>
      <c r="T67" s="461">
        <f t="shared" si="3"/>
        <v>2.5</v>
      </c>
      <c r="U67" s="462">
        <v>8.1</v>
      </c>
      <c r="V67" s="460">
        <v>5.4</v>
      </c>
      <c r="W67" s="461">
        <f t="shared" si="6"/>
        <v>5.6</v>
      </c>
      <c r="X67" s="462">
        <v>11</v>
      </c>
      <c r="Y67" s="460"/>
      <c r="Z67" s="459" t="str">
        <f t="shared" si="7"/>
        <v/>
      </c>
      <c r="AA67" s="462">
        <v>106.4</v>
      </c>
      <c r="AB67" s="460"/>
      <c r="AC67" s="461" t="str">
        <f t="shared" si="8"/>
        <v/>
      </c>
      <c r="AD67" s="462">
        <v>3.1</v>
      </c>
      <c r="AE67" s="460">
        <v>17.600000000000001</v>
      </c>
      <c r="AF67" s="461">
        <f t="shared" si="9"/>
        <v>25.4</v>
      </c>
      <c r="AG67" s="462">
        <v>43</v>
      </c>
      <c r="AH67" s="463">
        <v>308.3</v>
      </c>
      <c r="AI67" s="464">
        <f t="shared" si="10"/>
        <v>239.09999999999997</v>
      </c>
      <c r="AJ67" s="465">
        <v>547.4</v>
      </c>
    </row>
    <row r="68" spans="3:36" x14ac:dyDescent="0.25">
      <c r="C68" s="139">
        <v>41699</v>
      </c>
      <c r="D68" s="449">
        <v>6.6</v>
      </c>
      <c r="E68" s="450">
        <f t="shared" si="4"/>
        <v>29.6</v>
      </c>
      <c r="F68" s="450">
        <v>36.200000000000003</v>
      </c>
      <c r="G68" s="451">
        <v>2.9</v>
      </c>
      <c r="H68" s="452">
        <f t="shared" si="0"/>
        <v>7.1999999999999993</v>
      </c>
      <c r="I68" s="453">
        <v>10.1</v>
      </c>
      <c r="J68" s="451">
        <v>15.5</v>
      </c>
      <c r="K68" s="452">
        <f t="shared" si="5"/>
        <v>1.3000000000000007</v>
      </c>
      <c r="L68" s="453">
        <v>16.8</v>
      </c>
      <c r="M68" s="451">
        <v>56.2</v>
      </c>
      <c r="N68" s="452">
        <f t="shared" si="1"/>
        <v>25.5</v>
      </c>
      <c r="O68" s="453">
        <v>81.7</v>
      </c>
      <c r="P68" s="451">
        <v>102.1</v>
      </c>
      <c r="Q68" s="452">
        <f t="shared" si="2"/>
        <v>13.100000000000009</v>
      </c>
      <c r="R68" s="453">
        <v>115.2</v>
      </c>
      <c r="S68" s="451">
        <v>3.7</v>
      </c>
      <c r="T68" s="452">
        <f t="shared" si="3"/>
        <v>2.8</v>
      </c>
      <c r="U68" s="453">
        <v>6.5</v>
      </c>
      <c r="V68" s="451">
        <v>3.7</v>
      </c>
      <c r="W68" s="452">
        <f t="shared" si="6"/>
        <v>2.7</v>
      </c>
      <c r="X68" s="453">
        <v>6.4</v>
      </c>
      <c r="Y68" s="451"/>
      <c r="Z68" s="450" t="str">
        <f t="shared" si="7"/>
        <v/>
      </c>
      <c r="AA68" s="453">
        <v>101.8</v>
      </c>
      <c r="AB68" s="451"/>
      <c r="AC68" s="452" t="str">
        <f t="shared" si="8"/>
        <v/>
      </c>
      <c r="AD68" s="453">
        <v>2.5</v>
      </c>
      <c r="AE68" s="451">
        <v>13.4</v>
      </c>
      <c r="AF68" s="452">
        <f t="shared" si="9"/>
        <v>17.100000000000001</v>
      </c>
      <c r="AG68" s="453">
        <v>30.5</v>
      </c>
      <c r="AH68" s="455">
        <v>206.2</v>
      </c>
      <c r="AI68" s="456">
        <f t="shared" si="10"/>
        <v>201.40000000000003</v>
      </c>
      <c r="AJ68" s="457">
        <v>407.6</v>
      </c>
    </row>
    <row r="69" spans="3:36" x14ac:dyDescent="0.25">
      <c r="C69" s="139">
        <v>41791</v>
      </c>
      <c r="D69" s="458">
        <v>13.3</v>
      </c>
      <c r="E69" s="459">
        <f t="shared" si="4"/>
        <v>29.2</v>
      </c>
      <c r="F69" s="459">
        <v>42.5</v>
      </c>
      <c r="G69" s="460">
        <v>3.5</v>
      </c>
      <c r="H69" s="461">
        <f t="shared" si="0"/>
        <v>6.8000000000000007</v>
      </c>
      <c r="I69" s="462">
        <v>10.3</v>
      </c>
      <c r="J69" s="460">
        <v>24.8</v>
      </c>
      <c r="K69" s="461">
        <f t="shared" si="5"/>
        <v>0.80000000000000071</v>
      </c>
      <c r="L69" s="462">
        <v>25.6</v>
      </c>
      <c r="M69" s="460">
        <v>66.599999999999994</v>
      </c>
      <c r="N69" s="461">
        <f t="shared" si="1"/>
        <v>37.300000000000011</v>
      </c>
      <c r="O69" s="462">
        <v>103.9</v>
      </c>
      <c r="P69" s="460">
        <v>167.3</v>
      </c>
      <c r="Q69" s="461">
        <f t="shared" si="2"/>
        <v>21.699999999999989</v>
      </c>
      <c r="R69" s="462">
        <v>189</v>
      </c>
      <c r="S69" s="460">
        <v>2.8</v>
      </c>
      <c r="T69" s="461">
        <f t="shared" si="3"/>
        <v>3.7</v>
      </c>
      <c r="U69" s="462">
        <v>6.5</v>
      </c>
      <c r="V69" s="460">
        <v>6.7</v>
      </c>
      <c r="W69" s="461">
        <f t="shared" si="6"/>
        <v>3.7</v>
      </c>
      <c r="X69" s="462">
        <v>10.4</v>
      </c>
      <c r="Y69" s="460"/>
      <c r="Z69" s="459" t="str">
        <f t="shared" si="7"/>
        <v/>
      </c>
      <c r="AA69" s="462">
        <v>80.900000000000006</v>
      </c>
      <c r="AB69" s="460"/>
      <c r="AC69" s="461" t="str">
        <f t="shared" si="8"/>
        <v/>
      </c>
      <c r="AD69" s="462">
        <v>2.7</v>
      </c>
      <c r="AE69" s="460">
        <v>22.4</v>
      </c>
      <c r="AF69" s="461">
        <f t="shared" si="9"/>
        <v>20.399999999999999</v>
      </c>
      <c r="AG69" s="462">
        <v>42.8</v>
      </c>
      <c r="AH69" s="463">
        <v>309.7</v>
      </c>
      <c r="AI69" s="464">
        <f t="shared" si="10"/>
        <v>205.3</v>
      </c>
      <c r="AJ69" s="465">
        <v>515</v>
      </c>
    </row>
    <row r="70" spans="3:36" x14ac:dyDescent="0.25">
      <c r="C70" s="139">
        <v>41883</v>
      </c>
      <c r="D70" s="449">
        <v>13.6</v>
      </c>
      <c r="E70" s="450">
        <f t="shared" si="4"/>
        <v>30.6</v>
      </c>
      <c r="F70" s="450">
        <v>44.2</v>
      </c>
      <c r="G70" s="451">
        <v>3.9</v>
      </c>
      <c r="H70" s="452">
        <f t="shared" si="0"/>
        <v>9.1999999999999993</v>
      </c>
      <c r="I70" s="453">
        <v>13.1</v>
      </c>
      <c r="J70" s="451">
        <v>23.8</v>
      </c>
      <c r="K70" s="452">
        <f t="shared" si="5"/>
        <v>0.5</v>
      </c>
      <c r="L70" s="453">
        <v>24.3</v>
      </c>
      <c r="M70" s="451">
        <v>61.9</v>
      </c>
      <c r="N70" s="452">
        <f t="shared" si="1"/>
        <v>28.1</v>
      </c>
      <c r="O70" s="453">
        <v>90</v>
      </c>
      <c r="P70" s="451">
        <v>130.30000000000001</v>
      </c>
      <c r="Q70" s="452">
        <f t="shared" si="2"/>
        <v>12.599999999999994</v>
      </c>
      <c r="R70" s="453">
        <v>142.9</v>
      </c>
      <c r="S70" s="451">
        <v>6.3</v>
      </c>
      <c r="T70" s="452">
        <f t="shared" si="3"/>
        <v>4.3999999999999995</v>
      </c>
      <c r="U70" s="453">
        <v>10.7</v>
      </c>
      <c r="V70" s="451">
        <v>4.7</v>
      </c>
      <c r="W70" s="452">
        <f t="shared" si="6"/>
        <v>5.2</v>
      </c>
      <c r="X70" s="453">
        <v>9.9</v>
      </c>
      <c r="Y70" s="451">
        <v>0.6</v>
      </c>
      <c r="Z70" s="450">
        <f t="shared" si="7"/>
        <v>79.7</v>
      </c>
      <c r="AA70" s="453">
        <v>80.3</v>
      </c>
      <c r="AB70" s="451">
        <v>1</v>
      </c>
      <c r="AC70" s="452">
        <f t="shared" si="8"/>
        <v>0.8</v>
      </c>
      <c r="AD70" s="453">
        <v>1.8</v>
      </c>
      <c r="AE70" s="451">
        <v>21.1</v>
      </c>
      <c r="AF70" s="452">
        <f t="shared" si="9"/>
        <v>16.899999999999999</v>
      </c>
      <c r="AG70" s="453">
        <v>38</v>
      </c>
      <c r="AH70" s="455">
        <v>267.10000000000002</v>
      </c>
      <c r="AI70" s="456">
        <f t="shared" si="10"/>
        <v>190.59999999999997</v>
      </c>
      <c r="AJ70" s="457">
        <v>457.7</v>
      </c>
    </row>
    <row r="71" spans="3:36" x14ac:dyDescent="0.25">
      <c r="C71" s="139">
        <v>41974</v>
      </c>
      <c r="D71" s="458">
        <v>9.6</v>
      </c>
      <c r="E71" s="459">
        <f t="shared" si="4"/>
        <v>31.199999999999996</v>
      </c>
      <c r="F71" s="459">
        <v>40.799999999999997</v>
      </c>
      <c r="G71" s="460">
        <v>4.9000000000000004</v>
      </c>
      <c r="H71" s="461">
        <f t="shared" si="0"/>
        <v>11.999999999999998</v>
      </c>
      <c r="I71" s="462">
        <v>16.899999999999999</v>
      </c>
      <c r="J71" s="460">
        <v>21</v>
      </c>
      <c r="K71" s="461">
        <f t="shared" si="5"/>
        <v>1.5</v>
      </c>
      <c r="L71" s="462">
        <v>22.5</v>
      </c>
      <c r="M71" s="460">
        <v>64</v>
      </c>
      <c r="N71" s="461">
        <f t="shared" si="1"/>
        <v>37.700000000000003</v>
      </c>
      <c r="O71" s="462">
        <v>101.7</v>
      </c>
      <c r="P71" s="460">
        <v>131.5</v>
      </c>
      <c r="Q71" s="461">
        <f t="shared" si="2"/>
        <v>13.599999999999994</v>
      </c>
      <c r="R71" s="462">
        <v>145.1</v>
      </c>
      <c r="S71" s="460">
        <v>2</v>
      </c>
      <c r="T71" s="461">
        <f t="shared" si="3"/>
        <v>2.4000000000000004</v>
      </c>
      <c r="U71" s="462">
        <v>4.4000000000000004</v>
      </c>
      <c r="V71" s="460">
        <v>9</v>
      </c>
      <c r="W71" s="461">
        <f t="shared" si="6"/>
        <v>3.8000000000000007</v>
      </c>
      <c r="X71" s="462">
        <v>12.8</v>
      </c>
      <c r="Y71" s="460"/>
      <c r="Z71" s="459" t="str">
        <f t="shared" si="7"/>
        <v/>
      </c>
      <c r="AA71" s="462">
        <v>78</v>
      </c>
      <c r="AB71" s="460"/>
      <c r="AC71" s="461" t="str">
        <f t="shared" si="8"/>
        <v/>
      </c>
      <c r="AD71" s="462">
        <v>1.5</v>
      </c>
      <c r="AE71" s="460">
        <v>17.899999999999999</v>
      </c>
      <c r="AF71" s="461">
        <f t="shared" si="9"/>
        <v>17.700000000000003</v>
      </c>
      <c r="AG71" s="462">
        <v>35.6</v>
      </c>
      <c r="AH71" s="463">
        <v>262.3</v>
      </c>
      <c r="AI71" s="464">
        <f t="shared" si="10"/>
        <v>196.89999999999998</v>
      </c>
      <c r="AJ71" s="465">
        <v>459.2</v>
      </c>
    </row>
    <row r="72" spans="3:36" x14ac:dyDescent="0.25">
      <c r="C72" s="139">
        <v>42064</v>
      </c>
      <c r="D72" s="449">
        <v>4.5999999999999996</v>
      </c>
      <c r="E72" s="450">
        <f t="shared" si="4"/>
        <v>26.700000000000003</v>
      </c>
      <c r="F72" s="450">
        <v>31.3</v>
      </c>
      <c r="G72" s="451">
        <v>2.2000000000000002</v>
      </c>
      <c r="H72" s="452">
        <f t="shared" si="0"/>
        <v>6.4999999999999991</v>
      </c>
      <c r="I72" s="453">
        <v>8.6999999999999993</v>
      </c>
      <c r="J72" s="451">
        <v>18.100000000000001</v>
      </c>
      <c r="K72" s="452">
        <f t="shared" si="5"/>
        <v>1.0999999999999979</v>
      </c>
      <c r="L72" s="453">
        <v>19.2</v>
      </c>
      <c r="M72" s="451">
        <v>67.400000000000006</v>
      </c>
      <c r="N72" s="452">
        <f t="shared" si="1"/>
        <v>24.199999999999989</v>
      </c>
      <c r="O72" s="453">
        <v>91.6</v>
      </c>
      <c r="P72" s="451">
        <v>70</v>
      </c>
      <c r="Q72" s="452">
        <f t="shared" si="2"/>
        <v>12.5</v>
      </c>
      <c r="R72" s="453">
        <v>82.5</v>
      </c>
      <c r="S72" s="451">
        <v>3</v>
      </c>
      <c r="T72" s="452">
        <f t="shared" si="3"/>
        <v>3.2</v>
      </c>
      <c r="U72" s="453">
        <v>6.2</v>
      </c>
      <c r="V72" s="451">
        <v>5.9</v>
      </c>
      <c r="W72" s="452">
        <f t="shared" si="6"/>
        <v>1.5999999999999996</v>
      </c>
      <c r="X72" s="453">
        <v>7.5</v>
      </c>
      <c r="Y72" s="451"/>
      <c r="Z72" s="450" t="str">
        <f t="shared" si="7"/>
        <v/>
      </c>
      <c r="AA72" s="453">
        <v>43.4</v>
      </c>
      <c r="AB72" s="451"/>
      <c r="AC72" s="452" t="str">
        <f t="shared" si="8"/>
        <v/>
      </c>
      <c r="AD72" s="453">
        <v>0.9</v>
      </c>
      <c r="AE72" s="451">
        <v>11.2</v>
      </c>
      <c r="AF72" s="452">
        <f t="shared" si="9"/>
        <v>14.8</v>
      </c>
      <c r="AG72" s="453">
        <v>26</v>
      </c>
      <c r="AH72" s="455">
        <v>183.2</v>
      </c>
      <c r="AI72" s="456">
        <f t="shared" si="10"/>
        <v>134.5</v>
      </c>
      <c r="AJ72" s="457">
        <v>317.7</v>
      </c>
    </row>
    <row r="73" spans="3:36" x14ac:dyDescent="0.25">
      <c r="C73" s="139">
        <v>42156</v>
      </c>
      <c r="D73" s="458">
        <v>5.7</v>
      </c>
      <c r="E73" s="459">
        <f t="shared" si="4"/>
        <v>22.400000000000002</v>
      </c>
      <c r="F73" s="459">
        <v>28.1</v>
      </c>
      <c r="G73" s="460">
        <v>4.3</v>
      </c>
      <c r="H73" s="461">
        <f t="shared" si="0"/>
        <v>8.8999999999999986</v>
      </c>
      <c r="I73" s="462">
        <v>13.2</v>
      </c>
      <c r="J73" s="460">
        <v>15.6</v>
      </c>
      <c r="K73" s="461">
        <f t="shared" si="5"/>
        <v>1.0999999999999996</v>
      </c>
      <c r="L73" s="462">
        <v>16.7</v>
      </c>
      <c r="M73" s="460">
        <v>81</v>
      </c>
      <c r="N73" s="461">
        <f t="shared" si="1"/>
        <v>31.400000000000006</v>
      </c>
      <c r="O73" s="462">
        <v>112.4</v>
      </c>
      <c r="P73" s="460">
        <v>74.400000000000006</v>
      </c>
      <c r="Q73" s="461">
        <f t="shared" si="2"/>
        <v>2.7999999999999972</v>
      </c>
      <c r="R73" s="462">
        <v>77.2</v>
      </c>
      <c r="S73" s="460">
        <v>2.8</v>
      </c>
      <c r="T73" s="461">
        <f t="shared" si="3"/>
        <v>3</v>
      </c>
      <c r="U73" s="462">
        <v>5.8</v>
      </c>
      <c r="V73" s="460">
        <v>6.8</v>
      </c>
      <c r="W73" s="461">
        <f t="shared" si="6"/>
        <v>3.6000000000000005</v>
      </c>
      <c r="X73" s="462">
        <v>10.4</v>
      </c>
      <c r="Y73" s="460"/>
      <c r="Z73" s="459" t="str">
        <f t="shared" si="7"/>
        <v/>
      </c>
      <c r="AA73" s="462">
        <v>50.1</v>
      </c>
      <c r="AB73" s="460"/>
      <c r="AC73" s="461" t="str">
        <f t="shared" si="8"/>
        <v/>
      </c>
      <c r="AD73" s="462">
        <v>1.2</v>
      </c>
      <c r="AE73" s="460">
        <v>13.6</v>
      </c>
      <c r="AF73" s="461">
        <f t="shared" si="9"/>
        <v>15.9</v>
      </c>
      <c r="AG73" s="462">
        <v>29.5</v>
      </c>
      <c r="AH73" s="463">
        <v>204.8</v>
      </c>
      <c r="AI73" s="464">
        <f t="shared" si="10"/>
        <v>139.30000000000001</v>
      </c>
      <c r="AJ73" s="465">
        <v>344.1</v>
      </c>
    </row>
    <row r="74" spans="3:36" x14ac:dyDescent="0.25">
      <c r="C74" s="139">
        <v>42248</v>
      </c>
      <c r="D74" s="449">
        <v>8.4</v>
      </c>
      <c r="E74" s="450">
        <f t="shared" si="4"/>
        <v>21.799999999999997</v>
      </c>
      <c r="F74" s="450">
        <v>30.2</v>
      </c>
      <c r="G74" s="451">
        <v>3.3</v>
      </c>
      <c r="H74" s="452">
        <f t="shared" ref="H74:H115" si="11">IF(OR(ISBLANK(I74), ISBLANK(G74)), "", I74-G74)</f>
        <v>13.099999999999998</v>
      </c>
      <c r="I74" s="453">
        <v>16.399999999999999</v>
      </c>
      <c r="J74" s="451">
        <v>13.9</v>
      </c>
      <c r="K74" s="452">
        <f t="shared" si="5"/>
        <v>0.79999999999999893</v>
      </c>
      <c r="L74" s="453">
        <v>14.7</v>
      </c>
      <c r="M74" s="451">
        <v>94.8</v>
      </c>
      <c r="N74" s="452">
        <f t="shared" ref="N74:N115" si="12">IF(OR(ISBLANK(O74), ISBLANK(M74)), "", O74-M74)</f>
        <v>38.899999999999991</v>
      </c>
      <c r="O74" s="453">
        <v>133.69999999999999</v>
      </c>
      <c r="P74" s="451">
        <v>79.099999999999994</v>
      </c>
      <c r="Q74" s="452">
        <f t="shared" ref="Q74:Q115" si="13">IF(OR(ISBLANK(R74), ISBLANK(P74)), "", R74-P74)</f>
        <v>3.1000000000000085</v>
      </c>
      <c r="R74" s="453">
        <v>82.2</v>
      </c>
      <c r="S74" s="451">
        <v>3.5</v>
      </c>
      <c r="T74" s="452">
        <f t="shared" ref="T74:T115" si="14">IF(OR(ISBLANK(U74), ISBLANK(S74)), "", U74-S74)</f>
        <v>3.0999999999999996</v>
      </c>
      <c r="U74" s="453">
        <v>6.6</v>
      </c>
      <c r="V74" s="451">
        <v>8.5</v>
      </c>
      <c r="W74" s="452">
        <f t="shared" si="6"/>
        <v>6.9</v>
      </c>
      <c r="X74" s="453">
        <v>15.4</v>
      </c>
      <c r="Y74" s="451"/>
      <c r="Z74" s="450" t="str">
        <f t="shared" si="7"/>
        <v/>
      </c>
      <c r="AA74" s="453">
        <v>56.3</v>
      </c>
      <c r="AB74" s="451"/>
      <c r="AC74" s="452" t="str">
        <f t="shared" ref="AC74:AC115" si="15">IF(OR(ISBLANK(AD74), ISBLANK(AB74)), "", AD74-AB74)</f>
        <v/>
      </c>
      <c r="AD74" s="453">
        <v>1.6</v>
      </c>
      <c r="AE74" s="451">
        <v>20.100000000000001</v>
      </c>
      <c r="AF74" s="452">
        <f t="shared" ref="AF74:AF115" si="16">IF(OR(ISBLANK(AG74), ISBLANK(AE74)), "", AG74-AE74)</f>
        <v>16.5</v>
      </c>
      <c r="AG74" s="453">
        <v>36.6</v>
      </c>
      <c r="AH74" s="455">
        <v>233.1</v>
      </c>
      <c r="AI74" s="456">
        <f t="shared" si="10"/>
        <v>160.9</v>
      </c>
      <c r="AJ74" s="457">
        <v>394</v>
      </c>
    </row>
    <row r="75" spans="3:36" x14ac:dyDescent="0.25">
      <c r="C75" s="139">
        <v>42339</v>
      </c>
      <c r="D75" s="458">
        <v>9</v>
      </c>
      <c r="E75" s="459">
        <f t="shared" ref="E75:E115" si="17">IF(OR(ISBLANK(F75), ISBLANK(D75)), "", F75-D75)</f>
        <v>22.4</v>
      </c>
      <c r="F75" s="459">
        <v>31.4</v>
      </c>
      <c r="G75" s="460">
        <v>3.2</v>
      </c>
      <c r="H75" s="461">
        <f t="shared" si="11"/>
        <v>9.1000000000000014</v>
      </c>
      <c r="I75" s="462">
        <v>12.3</v>
      </c>
      <c r="J75" s="460">
        <v>13.5</v>
      </c>
      <c r="K75" s="461">
        <f t="shared" ref="K75:K115" si="18">IF(OR(ISBLANK(L75), ISBLANK(J75)), "", L75-J75)</f>
        <v>1.0999999999999996</v>
      </c>
      <c r="L75" s="462">
        <v>14.6</v>
      </c>
      <c r="M75" s="460">
        <v>95.6</v>
      </c>
      <c r="N75" s="461">
        <f t="shared" si="12"/>
        <v>42.599999999999994</v>
      </c>
      <c r="O75" s="462">
        <v>138.19999999999999</v>
      </c>
      <c r="P75" s="460">
        <v>71.8</v>
      </c>
      <c r="Q75" s="461">
        <f t="shared" si="13"/>
        <v>2.7000000000000028</v>
      </c>
      <c r="R75" s="462">
        <v>74.5</v>
      </c>
      <c r="S75" s="460">
        <v>2.9</v>
      </c>
      <c r="T75" s="461">
        <f t="shared" si="14"/>
        <v>2.4</v>
      </c>
      <c r="U75" s="462">
        <v>5.3</v>
      </c>
      <c r="V75" s="460">
        <v>8.4</v>
      </c>
      <c r="W75" s="461">
        <f t="shared" ref="W75:W113" si="19">IF(OR(ISBLANK(X75), ISBLANK(V75)), "", X75-V75)</f>
        <v>2.2999999999999989</v>
      </c>
      <c r="X75" s="462">
        <v>10.7</v>
      </c>
      <c r="Y75" s="460"/>
      <c r="Z75" s="459" t="str">
        <f t="shared" ref="Z75:Z115" si="20">IF(OR(ISBLANK(AA75), ISBLANK(Y75)), "", AA75-Y75)</f>
        <v/>
      </c>
      <c r="AA75" s="462">
        <v>63.4</v>
      </c>
      <c r="AB75" s="460"/>
      <c r="AC75" s="461" t="str">
        <f t="shared" si="15"/>
        <v/>
      </c>
      <c r="AD75" s="462">
        <v>1.5</v>
      </c>
      <c r="AE75" s="460">
        <v>15.4</v>
      </c>
      <c r="AF75" s="461">
        <f t="shared" si="16"/>
        <v>14.1</v>
      </c>
      <c r="AG75" s="462">
        <v>29.5</v>
      </c>
      <c r="AH75" s="463">
        <v>222.6</v>
      </c>
      <c r="AI75" s="464">
        <f t="shared" ref="AI75:AI115" si="21">IF(OR(ISBLANK(AJ75), ISBLANK(AH75)), "", AJ75-AH75)</f>
        <v>160.20000000000002</v>
      </c>
      <c r="AJ75" s="465">
        <v>382.8</v>
      </c>
    </row>
    <row r="76" spans="3:36" x14ac:dyDescent="0.25">
      <c r="C76" s="139">
        <v>42430</v>
      </c>
      <c r="D76" s="449">
        <v>13.7</v>
      </c>
      <c r="E76" s="450">
        <f t="shared" si="17"/>
        <v>22.900000000000002</v>
      </c>
      <c r="F76" s="450">
        <v>36.6</v>
      </c>
      <c r="G76" s="451">
        <v>2.1</v>
      </c>
      <c r="H76" s="452">
        <f t="shared" si="11"/>
        <v>7.1</v>
      </c>
      <c r="I76" s="453">
        <v>9.1999999999999993</v>
      </c>
      <c r="J76" s="451">
        <v>10.199999999999999</v>
      </c>
      <c r="K76" s="452">
        <f t="shared" si="18"/>
        <v>0.5</v>
      </c>
      <c r="L76" s="453">
        <v>10.7</v>
      </c>
      <c r="M76" s="451">
        <v>84.9</v>
      </c>
      <c r="N76" s="452">
        <f t="shared" si="12"/>
        <v>34.399999999999991</v>
      </c>
      <c r="O76" s="453">
        <v>119.3</v>
      </c>
      <c r="P76" s="451">
        <v>55.2</v>
      </c>
      <c r="Q76" s="452">
        <f t="shared" si="13"/>
        <v>2.5</v>
      </c>
      <c r="R76" s="453">
        <v>57.7</v>
      </c>
      <c r="S76" s="451">
        <v>1.7</v>
      </c>
      <c r="T76" s="452">
        <f t="shared" si="14"/>
        <v>2.3999999999999995</v>
      </c>
      <c r="U76" s="453">
        <v>4.0999999999999996</v>
      </c>
      <c r="V76" s="451">
        <v>6.8</v>
      </c>
      <c r="W76" s="452">
        <f t="shared" si="19"/>
        <v>1.1000000000000005</v>
      </c>
      <c r="X76" s="453">
        <v>7.9</v>
      </c>
      <c r="Y76" s="451"/>
      <c r="Z76" s="450" t="str">
        <f t="shared" si="20"/>
        <v/>
      </c>
      <c r="AA76" s="453">
        <v>23.4</v>
      </c>
      <c r="AB76" s="451"/>
      <c r="AC76" s="452" t="str">
        <f t="shared" si="15"/>
        <v/>
      </c>
      <c r="AD76" s="453">
        <v>0.3</v>
      </c>
      <c r="AE76" s="451">
        <v>11.2</v>
      </c>
      <c r="AF76" s="452">
        <f t="shared" si="16"/>
        <v>9.3000000000000007</v>
      </c>
      <c r="AG76" s="453">
        <v>20.5</v>
      </c>
      <c r="AH76" s="455">
        <v>187.1</v>
      </c>
      <c r="AI76" s="456">
        <f t="shared" si="21"/>
        <v>103.29999999999998</v>
      </c>
      <c r="AJ76" s="457">
        <v>290.39999999999998</v>
      </c>
    </row>
    <row r="77" spans="3:36" x14ac:dyDescent="0.25">
      <c r="C77" s="139">
        <v>42522</v>
      </c>
      <c r="D77" s="458">
        <v>10.3</v>
      </c>
      <c r="E77" s="459">
        <f t="shared" si="17"/>
        <v>21.900000000000002</v>
      </c>
      <c r="F77" s="459">
        <v>32.200000000000003</v>
      </c>
      <c r="G77" s="460">
        <v>2.5</v>
      </c>
      <c r="H77" s="461">
        <f t="shared" si="11"/>
        <v>9.5</v>
      </c>
      <c r="I77" s="462">
        <v>12</v>
      </c>
      <c r="J77" s="460">
        <v>9.1999999999999993</v>
      </c>
      <c r="K77" s="461">
        <f t="shared" si="18"/>
        <v>1.4000000000000004</v>
      </c>
      <c r="L77" s="462">
        <v>10.6</v>
      </c>
      <c r="M77" s="460">
        <v>110.6</v>
      </c>
      <c r="N77" s="461">
        <f t="shared" si="12"/>
        <v>46.300000000000011</v>
      </c>
      <c r="O77" s="462">
        <v>156.9</v>
      </c>
      <c r="P77" s="460">
        <v>74.2</v>
      </c>
      <c r="Q77" s="461">
        <f t="shared" si="13"/>
        <v>2.5999999999999943</v>
      </c>
      <c r="R77" s="462">
        <v>76.8</v>
      </c>
      <c r="S77" s="460">
        <v>1.9</v>
      </c>
      <c r="T77" s="461">
        <f t="shared" si="14"/>
        <v>2.1</v>
      </c>
      <c r="U77" s="462">
        <v>4</v>
      </c>
      <c r="V77" s="460">
        <v>2.2999999999999998</v>
      </c>
      <c r="W77" s="461">
        <f t="shared" si="19"/>
        <v>2</v>
      </c>
      <c r="X77" s="462">
        <v>4.3</v>
      </c>
      <c r="Y77" s="460"/>
      <c r="Z77" s="459" t="str">
        <f t="shared" si="20"/>
        <v/>
      </c>
      <c r="AA77" s="462">
        <v>30.3</v>
      </c>
      <c r="AB77" s="460"/>
      <c r="AC77" s="461" t="str">
        <f t="shared" si="15"/>
        <v/>
      </c>
      <c r="AD77" s="462">
        <v>0.9</v>
      </c>
      <c r="AE77" s="460">
        <v>15.3</v>
      </c>
      <c r="AF77" s="461">
        <f t="shared" si="16"/>
        <v>10.7</v>
      </c>
      <c r="AG77" s="462">
        <v>26</v>
      </c>
      <c r="AH77" s="463">
        <v>228.2</v>
      </c>
      <c r="AI77" s="464">
        <f t="shared" si="21"/>
        <v>125.69999999999999</v>
      </c>
      <c r="AJ77" s="465">
        <v>353.9</v>
      </c>
    </row>
    <row r="78" spans="3:36" x14ac:dyDescent="0.25">
      <c r="C78" s="139">
        <v>42614</v>
      </c>
      <c r="D78" s="449">
        <v>12.8</v>
      </c>
      <c r="E78" s="450">
        <f t="shared" si="17"/>
        <v>21.999999999999996</v>
      </c>
      <c r="F78" s="450">
        <v>34.799999999999997</v>
      </c>
      <c r="G78" s="451">
        <v>2.9</v>
      </c>
      <c r="H78" s="452">
        <f t="shared" si="11"/>
        <v>9</v>
      </c>
      <c r="I78" s="453">
        <v>11.9</v>
      </c>
      <c r="J78" s="451">
        <v>10.5</v>
      </c>
      <c r="K78" s="452">
        <f t="shared" si="18"/>
        <v>1.8000000000000007</v>
      </c>
      <c r="L78" s="453">
        <v>12.3</v>
      </c>
      <c r="M78" s="451">
        <v>117.8</v>
      </c>
      <c r="N78" s="452">
        <f t="shared" si="12"/>
        <v>41.3</v>
      </c>
      <c r="O78" s="453">
        <v>159.1</v>
      </c>
      <c r="P78" s="451">
        <v>77.8</v>
      </c>
      <c r="Q78" s="452">
        <f t="shared" si="13"/>
        <v>2</v>
      </c>
      <c r="R78" s="453">
        <v>79.8</v>
      </c>
      <c r="S78" s="451">
        <v>3.7</v>
      </c>
      <c r="T78" s="452">
        <f t="shared" si="14"/>
        <v>2.5</v>
      </c>
      <c r="U78" s="453">
        <v>6.2</v>
      </c>
      <c r="V78" s="451">
        <v>1.4</v>
      </c>
      <c r="W78" s="452">
        <f t="shared" si="19"/>
        <v>3.5000000000000004</v>
      </c>
      <c r="X78" s="453">
        <v>4.9000000000000004</v>
      </c>
      <c r="Y78" s="451"/>
      <c r="Z78" s="450" t="str">
        <f t="shared" si="20"/>
        <v/>
      </c>
      <c r="AA78" s="453">
        <v>37.200000000000003</v>
      </c>
      <c r="AB78" s="451"/>
      <c r="AC78" s="452" t="str">
        <f t="shared" si="15"/>
        <v/>
      </c>
      <c r="AD78" s="453">
        <v>0.2</v>
      </c>
      <c r="AE78" s="451">
        <v>20.6</v>
      </c>
      <c r="AF78" s="452">
        <f t="shared" si="16"/>
        <v>12.399999999999999</v>
      </c>
      <c r="AG78" s="453">
        <v>33</v>
      </c>
      <c r="AH78" s="455">
        <v>248.8</v>
      </c>
      <c r="AI78" s="456">
        <f t="shared" si="21"/>
        <v>130.69999999999999</v>
      </c>
      <c r="AJ78" s="457">
        <v>379.5</v>
      </c>
    </row>
    <row r="79" spans="3:36" x14ac:dyDescent="0.25">
      <c r="C79" s="139">
        <v>42705</v>
      </c>
      <c r="D79" s="458">
        <v>10.6</v>
      </c>
      <c r="E79" s="459">
        <f t="shared" si="17"/>
        <v>21.5</v>
      </c>
      <c r="F79" s="459">
        <v>32.1</v>
      </c>
      <c r="G79" s="460">
        <v>2.9</v>
      </c>
      <c r="H79" s="461">
        <f t="shared" si="11"/>
        <v>10.5</v>
      </c>
      <c r="I79" s="462">
        <v>13.4</v>
      </c>
      <c r="J79" s="460">
        <v>17</v>
      </c>
      <c r="K79" s="461">
        <f t="shared" si="18"/>
        <v>0.89999999999999858</v>
      </c>
      <c r="L79" s="462">
        <v>17.899999999999999</v>
      </c>
      <c r="M79" s="460">
        <v>132.6</v>
      </c>
      <c r="N79" s="461">
        <f t="shared" si="12"/>
        <v>49.700000000000017</v>
      </c>
      <c r="O79" s="462">
        <v>182.3</v>
      </c>
      <c r="P79" s="460">
        <v>71.400000000000006</v>
      </c>
      <c r="Q79" s="461">
        <f t="shared" si="13"/>
        <v>2.2999999999999972</v>
      </c>
      <c r="R79" s="462">
        <v>73.7</v>
      </c>
      <c r="S79" s="460">
        <v>2.2000000000000002</v>
      </c>
      <c r="T79" s="461">
        <f t="shared" si="14"/>
        <v>2.8999999999999995</v>
      </c>
      <c r="U79" s="462">
        <v>5.0999999999999996</v>
      </c>
      <c r="V79" s="460">
        <v>5</v>
      </c>
      <c r="W79" s="461">
        <f t="shared" si="19"/>
        <v>1.2999999999999998</v>
      </c>
      <c r="X79" s="462">
        <v>6.3</v>
      </c>
      <c r="Y79" s="460"/>
      <c r="Z79" s="459" t="str">
        <f t="shared" si="20"/>
        <v/>
      </c>
      <c r="AA79" s="462">
        <v>33.299999999999997</v>
      </c>
      <c r="AB79" s="460"/>
      <c r="AC79" s="461" t="str">
        <f t="shared" si="15"/>
        <v/>
      </c>
      <c r="AD79" s="462">
        <v>0.5</v>
      </c>
      <c r="AE79" s="460">
        <v>21.8</v>
      </c>
      <c r="AF79" s="461">
        <f t="shared" si="16"/>
        <v>14.999999999999996</v>
      </c>
      <c r="AG79" s="462">
        <v>36.799999999999997</v>
      </c>
      <c r="AH79" s="463">
        <v>263.5</v>
      </c>
      <c r="AI79" s="464">
        <f t="shared" si="21"/>
        <v>139.60000000000002</v>
      </c>
      <c r="AJ79" s="465">
        <v>403.1</v>
      </c>
    </row>
    <row r="80" spans="3:36" x14ac:dyDescent="0.25">
      <c r="C80" s="139">
        <v>42795</v>
      </c>
      <c r="D80" s="449">
        <v>7.4</v>
      </c>
      <c r="E80" s="450">
        <f t="shared" si="17"/>
        <v>19.299999999999997</v>
      </c>
      <c r="F80" s="450">
        <v>26.7</v>
      </c>
      <c r="G80" s="451">
        <v>1.7</v>
      </c>
      <c r="H80" s="452">
        <f t="shared" si="11"/>
        <v>6</v>
      </c>
      <c r="I80" s="453">
        <v>7.7</v>
      </c>
      <c r="J80" s="451">
        <v>17.5</v>
      </c>
      <c r="K80" s="452">
        <f t="shared" si="18"/>
        <v>2.5</v>
      </c>
      <c r="L80" s="453">
        <v>20</v>
      </c>
      <c r="M80" s="451">
        <v>117.2</v>
      </c>
      <c r="N80" s="452">
        <f t="shared" si="12"/>
        <v>37.999999999999986</v>
      </c>
      <c r="O80" s="453">
        <v>155.19999999999999</v>
      </c>
      <c r="P80" s="451">
        <v>51.2</v>
      </c>
      <c r="Q80" s="452">
        <f t="shared" si="13"/>
        <v>2.2999999999999972</v>
      </c>
      <c r="R80" s="453">
        <v>53.5</v>
      </c>
      <c r="S80" s="451">
        <v>3.4</v>
      </c>
      <c r="T80" s="452">
        <f t="shared" si="14"/>
        <v>1.6</v>
      </c>
      <c r="U80" s="453">
        <v>5</v>
      </c>
      <c r="V80" s="451">
        <v>1.8</v>
      </c>
      <c r="W80" s="452">
        <f t="shared" si="19"/>
        <v>3.3</v>
      </c>
      <c r="X80" s="453">
        <v>5.0999999999999996</v>
      </c>
      <c r="Y80" s="451"/>
      <c r="Z80" s="450" t="str">
        <f t="shared" si="20"/>
        <v/>
      </c>
      <c r="AA80" s="453">
        <v>23.9</v>
      </c>
      <c r="AB80" s="451"/>
      <c r="AC80" s="452" t="str">
        <f t="shared" si="15"/>
        <v/>
      </c>
      <c r="AD80" s="453">
        <v>0.4</v>
      </c>
      <c r="AE80" s="451">
        <v>24.3</v>
      </c>
      <c r="AF80" s="452">
        <f t="shared" si="16"/>
        <v>12.8</v>
      </c>
      <c r="AG80" s="453">
        <v>37.1</v>
      </c>
      <c r="AH80" s="455">
        <v>225</v>
      </c>
      <c r="AI80" s="456">
        <f t="shared" si="21"/>
        <v>112.60000000000002</v>
      </c>
      <c r="AJ80" s="457">
        <v>337.6</v>
      </c>
    </row>
    <row r="81" spans="3:36" x14ac:dyDescent="0.25">
      <c r="C81" s="139">
        <v>42887</v>
      </c>
      <c r="D81" s="458">
        <v>10.9</v>
      </c>
      <c r="E81" s="459">
        <f t="shared" si="17"/>
        <v>31.300000000000004</v>
      </c>
      <c r="F81" s="459">
        <v>42.2</v>
      </c>
      <c r="G81" s="460">
        <v>2.9</v>
      </c>
      <c r="H81" s="461">
        <f t="shared" si="11"/>
        <v>18.700000000000003</v>
      </c>
      <c r="I81" s="462">
        <v>21.6</v>
      </c>
      <c r="J81" s="460">
        <v>22.4</v>
      </c>
      <c r="K81" s="461">
        <f t="shared" si="18"/>
        <v>8</v>
      </c>
      <c r="L81" s="462">
        <v>30.4</v>
      </c>
      <c r="M81" s="460">
        <v>141.9</v>
      </c>
      <c r="N81" s="461">
        <f t="shared" si="12"/>
        <v>50.699999999999989</v>
      </c>
      <c r="O81" s="462">
        <v>192.6</v>
      </c>
      <c r="P81" s="460">
        <v>81.2</v>
      </c>
      <c r="Q81" s="461">
        <f t="shared" si="13"/>
        <v>3.0999999999999943</v>
      </c>
      <c r="R81" s="462">
        <v>84.3</v>
      </c>
      <c r="S81" s="460">
        <v>1.9</v>
      </c>
      <c r="T81" s="461">
        <f t="shared" si="14"/>
        <v>1.9</v>
      </c>
      <c r="U81" s="462">
        <v>3.8</v>
      </c>
      <c r="V81" s="460">
        <v>4.0999999999999996</v>
      </c>
      <c r="W81" s="461">
        <f t="shared" si="19"/>
        <v>1.1000000000000005</v>
      </c>
      <c r="X81" s="462">
        <v>5.2</v>
      </c>
      <c r="Y81" s="460"/>
      <c r="Z81" s="459" t="str">
        <f t="shared" si="20"/>
        <v/>
      </c>
      <c r="AA81" s="462">
        <v>26</v>
      </c>
      <c r="AB81" s="460"/>
      <c r="AC81" s="461" t="str">
        <f t="shared" si="15"/>
        <v/>
      </c>
      <c r="AD81" s="462">
        <v>0.6</v>
      </c>
      <c r="AE81" s="460">
        <v>25.4</v>
      </c>
      <c r="AF81" s="461">
        <f t="shared" si="16"/>
        <v>12.899999999999999</v>
      </c>
      <c r="AG81" s="462">
        <v>38.299999999999997</v>
      </c>
      <c r="AH81" s="463">
        <v>291</v>
      </c>
      <c r="AI81" s="464">
        <f t="shared" si="21"/>
        <v>153.89999999999998</v>
      </c>
      <c r="AJ81" s="465">
        <v>444.9</v>
      </c>
    </row>
    <row r="82" spans="3:36" x14ac:dyDescent="0.25">
      <c r="C82" s="139">
        <v>42979</v>
      </c>
      <c r="D82" s="449">
        <v>14.5</v>
      </c>
      <c r="E82" s="450">
        <f t="shared" si="17"/>
        <v>30</v>
      </c>
      <c r="F82" s="450">
        <v>44.5</v>
      </c>
      <c r="G82" s="451">
        <v>2.9</v>
      </c>
      <c r="H82" s="452">
        <f t="shared" si="11"/>
        <v>24.700000000000003</v>
      </c>
      <c r="I82" s="453">
        <v>27.6</v>
      </c>
      <c r="J82" s="451">
        <v>25.7</v>
      </c>
      <c r="K82" s="452">
        <f t="shared" si="18"/>
        <v>14.000000000000004</v>
      </c>
      <c r="L82" s="453">
        <v>39.700000000000003</v>
      </c>
      <c r="M82" s="451">
        <v>137</v>
      </c>
      <c r="N82" s="452">
        <f t="shared" si="12"/>
        <v>55.900000000000006</v>
      </c>
      <c r="O82" s="453">
        <v>192.9</v>
      </c>
      <c r="P82" s="451">
        <v>81.5</v>
      </c>
      <c r="Q82" s="452">
        <f t="shared" si="13"/>
        <v>2.2999999999999972</v>
      </c>
      <c r="R82" s="453">
        <v>83.8</v>
      </c>
      <c r="S82" s="451">
        <v>3.2</v>
      </c>
      <c r="T82" s="452">
        <f t="shared" si="14"/>
        <v>2.8</v>
      </c>
      <c r="U82" s="453">
        <v>6</v>
      </c>
      <c r="V82" s="451">
        <v>5.0999999999999996</v>
      </c>
      <c r="W82" s="452">
        <f t="shared" si="19"/>
        <v>1.5</v>
      </c>
      <c r="X82" s="453">
        <v>6.6</v>
      </c>
      <c r="Y82" s="451">
        <v>0.8</v>
      </c>
      <c r="Z82" s="450">
        <f t="shared" si="20"/>
        <v>34.300000000000004</v>
      </c>
      <c r="AA82" s="453">
        <v>35.1</v>
      </c>
      <c r="AB82" s="451">
        <v>0.7</v>
      </c>
      <c r="AC82" s="452">
        <f t="shared" si="15"/>
        <v>0.30000000000000004</v>
      </c>
      <c r="AD82" s="453">
        <v>1</v>
      </c>
      <c r="AE82" s="451">
        <v>23.1</v>
      </c>
      <c r="AF82" s="452">
        <f t="shared" si="16"/>
        <v>14.899999999999999</v>
      </c>
      <c r="AG82" s="453">
        <v>38</v>
      </c>
      <c r="AH82" s="455">
        <v>294.2</v>
      </c>
      <c r="AI82" s="456">
        <f t="shared" si="21"/>
        <v>181</v>
      </c>
      <c r="AJ82" s="457">
        <v>475.2</v>
      </c>
    </row>
    <row r="83" spans="3:36" x14ac:dyDescent="0.25">
      <c r="C83" s="139">
        <v>43070</v>
      </c>
      <c r="D83" s="458">
        <v>13.6</v>
      </c>
      <c r="E83" s="459">
        <f t="shared" si="17"/>
        <v>28.799999999999997</v>
      </c>
      <c r="F83" s="459">
        <v>42.4</v>
      </c>
      <c r="G83" s="460">
        <v>6.5</v>
      </c>
      <c r="H83" s="461">
        <f t="shared" si="11"/>
        <v>22.8</v>
      </c>
      <c r="I83" s="462">
        <v>29.3</v>
      </c>
      <c r="J83" s="460">
        <v>28.7</v>
      </c>
      <c r="K83" s="461">
        <f t="shared" si="18"/>
        <v>20.2</v>
      </c>
      <c r="L83" s="462">
        <v>48.9</v>
      </c>
      <c r="M83" s="460">
        <v>154.30000000000001</v>
      </c>
      <c r="N83" s="461">
        <f t="shared" si="12"/>
        <v>54.599999999999994</v>
      </c>
      <c r="O83" s="462">
        <v>208.9</v>
      </c>
      <c r="P83" s="460">
        <v>66.3</v>
      </c>
      <c r="Q83" s="461">
        <f t="shared" si="13"/>
        <v>2.6000000000000085</v>
      </c>
      <c r="R83" s="462">
        <v>68.900000000000006</v>
      </c>
      <c r="S83" s="460">
        <v>1.7</v>
      </c>
      <c r="T83" s="461">
        <f t="shared" si="14"/>
        <v>4.3</v>
      </c>
      <c r="U83" s="462">
        <v>6</v>
      </c>
      <c r="V83" s="460">
        <v>0.4</v>
      </c>
      <c r="W83" s="461">
        <f t="shared" si="19"/>
        <v>2.5</v>
      </c>
      <c r="X83" s="462">
        <v>2.9</v>
      </c>
      <c r="Y83" s="460">
        <v>0.2</v>
      </c>
      <c r="Z83" s="459">
        <f t="shared" si="20"/>
        <v>38.799999999999997</v>
      </c>
      <c r="AA83" s="462">
        <v>39</v>
      </c>
      <c r="AB83" s="460">
        <v>2.5</v>
      </c>
      <c r="AC83" s="461">
        <f t="shared" si="15"/>
        <v>1</v>
      </c>
      <c r="AD83" s="462">
        <v>3.5</v>
      </c>
      <c r="AE83" s="460">
        <v>24.5</v>
      </c>
      <c r="AF83" s="461">
        <f t="shared" si="16"/>
        <v>21</v>
      </c>
      <c r="AG83" s="462">
        <v>45.5</v>
      </c>
      <c r="AH83" s="463">
        <v>298.5</v>
      </c>
      <c r="AI83" s="464">
        <f t="shared" si="21"/>
        <v>197.60000000000002</v>
      </c>
      <c r="AJ83" s="465">
        <v>496.1</v>
      </c>
    </row>
    <row r="84" spans="3:36" x14ac:dyDescent="0.25">
      <c r="C84" s="139">
        <v>43160</v>
      </c>
      <c r="D84" s="449">
        <v>11.3</v>
      </c>
      <c r="E84" s="450">
        <f t="shared" si="17"/>
        <v>34.900000000000006</v>
      </c>
      <c r="F84" s="450">
        <v>46.2</v>
      </c>
      <c r="G84" s="451">
        <v>3.7</v>
      </c>
      <c r="H84" s="452">
        <f t="shared" si="11"/>
        <v>14.900000000000002</v>
      </c>
      <c r="I84" s="453">
        <v>18.600000000000001</v>
      </c>
      <c r="J84" s="451">
        <v>27.6</v>
      </c>
      <c r="K84" s="452">
        <f t="shared" si="18"/>
        <v>18.399999999999999</v>
      </c>
      <c r="L84" s="453">
        <v>46</v>
      </c>
      <c r="M84" s="451">
        <v>137.80000000000001</v>
      </c>
      <c r="N84" s="452">
        <f t="shared" si="12"/>
        <v>49.599999999999994</v>
      </c>
      <c r="O84" s="453">
        <v>187.4</v>
      </c>
      <c r="P84" s="451">
        <v>47.5</v>
      </c>
      <c r="Q84" s="452">
        <f t="shared" si="13"/>
        <v>2.6000000000000014</v>
      </c>
      <c r="R84" s="453">
        <v>50.1</v>
      </c>
      <c r="S84" s="451">
        <v>2.5</v>
      </c>
      <c r="T84" s="452">
        <f t="shared" si="14"/>
        <v>3.7</v>
      </c>
      <c r="U84" s="453">
        <v>6.2</v>
      </c>
      <c r="V84" s="451"/>
      <c r="W84" s="452" t="str">
        <f t="shared" si="19"/>
        <v/>
      </c>
      <c r="X84" s="453">
        <v>1.9</v>
      </c>
      <c r="Y84" s="451"/>
      <c r="Z84" s="450" t="str">
        <f t="shared" si="20"/>
        <v/>
      </c>
      <c r="AA84" s="453">
        <v>36.4</v>
      </c>
      <c r="AB84" s="451"/>
      <c r="AC84" s="452" t="str">
        <f t="shared" si="15"/>
        <v/>
      </c>
      <c r="AD84" s="453">
        <v>2</v>
      </c>
      <c r="AE84" s="451">
        <v>28.8</v>
      </c>
      <c r="AF84" s="452">
        <f t="shared" si="16"/>
        <v>14.999999999999996</v>
      </c>
      <c r="AG84" s="453">
        <v>43.8</v>
      </c>
      <c r="AH84" s="455">
        <v>261</v>
      </c>
      <c r="AI84" s="456">
        <f t="shared" si="21"/>
        <v>177.7</v>
      </c>
      <c r="AJ84" s="457">
        <v>438.7</v>
      </c>
    </row>
    <row r="85" spans="3:36" x14ac:dyDescent="0.25">
      <c r="C85" s="139">
        <v>43252</v>
      </c>
      <c r="D85" s="458">
        <v>16.399999999999999</v>
      </c>
      <c r="E85" s="459">
        <f t="shared" si="17"/>
        <v>43.4</v>
      </c>
      <c r="F85" s="459">
        <v>59.8</v>
      </c>
      <c r="G85" s="460">
        <v>6.3</v>
      </c>
      <c r="H85" s="461">
        <f t="shared" si="11"/>
        <v>21.5</v>
      </c>
      <c r="I85" s="462">
        <v>27.8</v>
      </c>
      <c r="J85" s="460">
        <v>39.299999999999997</v>
      </c>
      <c r="K85" s="461">
        <f t="shared" si="18"/>
        <v>26.200000000000003</v>
      </c>
      <c r="L85" s="462">
        <v>65.5</v>
      </c>
      <c r="M85" s="460">
        <v>162.4</v>
      </c>
      <c r="N85" s="461">
        <f t="shared" si="12"/>
        <v>58.5</v>
      </c>
      <c r="O85" s="462">
        <v>220.9</v>
      </c>
      <c r="P85" s="460">
        <v>86.1</v>
      </c>
      <c r="Q85" s="461">
        <f t="shared" si="13"/>
        <v>2.9000000000000057</v>
      </c>
      <c r="R85" s="462">
        <v>89</v>
      </c>
      <c r="S85" s="460"/>
      <c r="T85" s="461" t="str">
        <f t="shared" si="14"/>
        <v/>
      </c>
      <c r="U85" s="462">
        <v>8.9</v>
      </c>
      <c r="V85" s="460">
        <v>0.2</v>
      </c>
      <c r="W85" s="461">
        <f t="shared" si="19"/>
        <v>1.4000000000000001</v>
      </c>
      <c r="X85" s="462">
        <v>1.6</v>
      </c>
      <c r="Y85" s="460"/>
      <c r="Z85" s="459" t="str">
        <f t="shared" si="20"/>
        <v/>
      </c>
      <c r="AA85" s="462">
        <v>43.6</v>
      </c>
      <c r="AB85" s="460">
        <v>1.7</v>
      </c>
      <c r="AC85" s="461">
        <f t="shared" si="15"/>
        <v>0.19999999999999996</v>
      </c>
      <c r="AD85" s="462">
        <v>1.9</v>
      </c>
      <c r="AE85" s="460">
        <v>33.9</v>
      </c>
      <c r="AF85" s="461">
        <f t="shared" si="16"/>
        <v>14.899999999999999</v>
      </c>
      <c r="AG85" s="462">
        <v>48.8</v>
      </c>
      <c r="AH85" s="463">
        <v>349.8</v>
      </c>
      <c r="AI85" s="464">
        <f t="shared" si="21"/>
        <v>217.99999999999994</v>
      </c>
      <c r="AJ85" s="465">
        <v>567.79999999999995</v>
      </c>
    </row>
    <row r="86" spans="3:36" x14ac:dyDescent="0.25">
      <c r="C86" s="139">
        <v>43344</v>
      </c>
      <c r="D86" s="449">
        <v>27.1</v>
      </c>
      <c r="E86" s="450">
        <f t="shared" si="17"/>
        <v>46.1</v>
      </c>
      <c r="F86" s="450">
        <v>73.2</v>
      </c>
      <c r="G86" s="451">
        <v>6.3</v>
      </c>
      <c r="H86" s="452">
        <f t="shared" si="11"/>
        <v>19.7</v>
      </c>
      <c r="I86" s="453">
        <v>26</v>
      </c>
      <c r="J86" s="451">
        <v>27.8</v>
      </c>
      <c r="K86" s="452">
        <f t="shared" si="18"/>
        <v>19.2</v>
      </c>
      <c r="L86" s="453">
        <v>47</v>
      </c>
      <c r="M86" s="451">
        <v>174</v>
      </c>
      <c r="N86" s="452">
        <f t="shared" si="12"/>
        <v>65.699999999999989</v>
      </c>
      <c r="O86" s="453">
        <v>239.7</v>
      </c>
      <c r="P86" s="451">
        <v>84.6</v>
      </c>
      <c r="Q86" s="452">
        <f t="shared" si="13"/>
        <v>1.7000000000000028</v>
      </c>
      <c r="R86" s="453">
        <v>86.3</v>
      </c>
      <c r="S86" s="451"/>
      <c r="T86" s="452" t="str">
        <f t="shared" si="14"/>
        <v/>
      </c>
      <c r="U86" s="453">
        <v>10</v>
      </c>
      <c r="V86" s="451"/>
      <c r="W86" s="452" t="str">
        <f t="shared" si="19"/>
        <v/>
      </c>
      <c r="X86" s="453">
        <v>5.2</v>
      </c>
      <c r="Y86" s="451"/>
      <c r="Z86" s="450" t="str">
        <f t="shared" si="20"/>
        <v/>
      </c>
      <c r="AA86" s="453">
        <v>43.6</v>
      </c>
      <c r="AB86" s="451">
        <v>3.2</v>
      </c>
      <c r="AC86" s="452">
        <f t="shared" si="15"/>
        <v>9.9999999999999645E-2</v>
      </c>
      <c r="AD86" s="453">
        <v>3.3</v>
      </c>
      <c r="AE86" s="451">
        <v>33.799999999999997</v>
      </c>
      <c r="AF86" s="452">
        <f t="shared" si="16"/>
        <v>17.100000000000001</v>
      </c>
      <c r="AG86" s="453">
        <v>50.9</v>
      </c>
      <c r="AH86" s="455">
        <v>361</v>
      </c>
      <c r="AI86" s="456">
        <f t="shared" si="21"/>
        <v>223.39999999999998</v>
      </c>
      <c r="AJ86" s="457">
        <v>584.4</v>
      </c>
    </row>
    <row r="87" spans="3:36" x14ac:dyDescent="0.25">
      <c r="C87" s="139">
        <v>43435</v>
      </c>
      <c r="D87" s="458">
        <v>35.1</v>
      </c>
      <c r="E87" s="459">
        <f t="shared" si="17"/>
        <v>46.499999999999993</v>
      </c>
      <c r="F87" s="459">
        <v>81.599999999999994</v>
      </c>
      <c r="G87" s="460">
        <v>5.8</v>
      </c>
      <c r="H87" s="461">
        <f t="shared" si="11"/>
        <v>20.2</v>
      </c>
      <c r="I87" s="462">
        <v>26</v>
      </c>
      <c r="J87" s="460">
        <v>29.1</v>
      </c>
      <c r="K87" s="461">
        <f t="shared" si="18"/>
        <v>21.1</v>
      </c>
      <c r="L87" s="462">
        <v>50.2</v>
      </c>
      <c r="M87" s="460">
        <v>167.3</v>
      </c>
      <c r="N87" s="461">
        <f t="shared" si="12"/>
        <v>76.799999999999983</v>
      </c>
      <c r="O87" s="462">
        <v>244.1</v>
      </c>
      <c r="P87" s="460">
        <v>71.3</v>
      </c>
      <c r="Q87" s="461">
        <f t="shared" si="13"/>
        <v>4.2000000000000028</v>
      </c>
      <c r="R87" s="462">
        <v>75.5</v>
      </c>
      <c r="S87" s="460">
        <v>2.2000000000000002</v>
      </c>
      <c r="T87" s="461">
        <f t="shared" si="14"/>
        <v>7.2</v>
      </c>
      <c r="U87" s="462">
        <v>9.4</v>
      </c>
      <c r="V87" s="460">
        <v>0.4</v>
      </c>
      <c r="W87" s="461">
        <f t="shared" si="19"/>
        <v>3.2</v>
      </c>
      <c r="X87" s="462">
        <v>3.6</v>
      </c>
      <c r="Y87" s="460"/>
      <c r="Z87" s="459" t="str">
        <f t="shared" si="20"/>
        <v/>
      </c>
      <c r="AA87" s="462">
        <v>50</v>
      </c>
      <c r="AB87" s="460"/>
      <c r="AC87" s="461" t="str">
        <f t="shared" si="15"/>
        <v/>
      </c>
      <c r="AD87" s="462">
        <v>2.2000000000000002</v>
      </c>
      <c r="AE87" s="460">
        <v>32.4</v>
      </c>
      <c r="AF87" s="461">
        <f t="shared" si="16"/>
        <v>17.5</v>
      </c>
      <c r="AG87" s="462">
        <v>49.9</v>
      </c>
      <c r="AH87" s="463">
        <v>346.3</v>
      </c>
      <c r="AI87" s="464">
        <f t="shared" si="21"/>
        <v>246.40000000000003</v>
      </c>
      <c r="AJ87" s="465">
        <v>592.70000000000005</v>
      </c>
    </row>
    <row r="88" spans="3:36" x14ac:dyDescent="0.25">
      <c r="C88" s="139">
        <v>43525</v>
      </c>
      <c r="D88" s="449">
        <v>34.299999999999997</v>
      </c>
      <c r="E88" s="450">
        <f t="shared" si="17"/>
        <v>30.700000000000003</v>
      </c>
      <c r="F88" s="450">
        <v>65</v>
      </c>
      <c r="G88" s="451">
        <v>4.5</v>
      </c>
      <c r="H88" s="452">
        <f t="shared" si="11"/>
        <v>10.3</v>
      </c>
      <c r="I88" s="453">
        <v>14.8</v>
      </c>
      <c r="J88" s="451">
        <v>25.7</v>
      </c>
      <c r="K88" s="452">
        <f t="shared" si="18"/>
        <v>22.599999999999998</v>
      </c>
      <c r="L88" s="453">
        <v>48.3</v>
      </c>
      <c r="M88" s="451">
        <v>158.5</v>
      </c>
      <c r="N88" s="452">
        <f t="shared" si="12"/>
        <v>64.5</v>
      </c>
      <c r="O88" s="453">
        <v>223</v>
      </c>
      <c r="P88" s="451">
        <v>64</v>
      </c>
      <c r="Q88" s="452">
        <f t="shared" si="13"/>
        <v>3.4000000000000057</v>
      </c>
      <c r="R88" s="453">
        <v>67.400000000000006</v>
      </c>
      <c r="S88" s="451">
        <v>1.9</v>
      </c>
      <c r="T88" s="452">
        <f t="shared" si="14"/>
        <v>4.9000000000000004</v>
      </c>
      <c r="U88" s="453">
        <v>6.8</v>
      </c>
      <c r="V88" s="451"/>
      <c r="W88" s="452" t="str">
        <f t="shared" si="19"/>
        <v/>
      </c>
      <c r="X88" s="453">
        <v>2.2999999999999998</v>
      </c>
      <c r="Y88" s="451"/>
      <c r="Z88" s="450" t="str">
        <f t="shared" si="20"/>
        <v/>
      </c>
      <c r="AA88" s="453">
        <v>36</v>
      </c>
      <c r="AB88" s="451"/>
      <c r="AC88" s="452" t="str">
        <f t="shared" si="15"/>
        <v/>
      </c>
      <c r="AD88" s="453">
        <v>1.2</v>
      </c>
      <c r="AE88" s="451">
        <v>27.9</v>
      </c>
      <c r="AF88" s="452">
        <f t="shared" si="16"/>
        <v>11.800000000000004</v>
      </c>
      <c r="AG88" s="453">
        <v>39.700000000000003</v>
      </c>
      <c r="AH88" s="455">
        <v>319.5</v>
      </c>
      <c r="AI88" s="456">
        <f t="shared" si="21"/>
        <v>186.2</v>
      </c>
      <c r="AJ88" s="457">
        <v>505.7</v>
      </c>
    </row>
    <row r="89" spans="3:36" x14ac:dyDescent="0.25">
      <c r="C89" s="139">
        <v>43617</v>
      </c>
      <c r="D89" s="458">
        <v>61.3</v>
      </c>
      <c r="E89" s="459">
        <f t="shared" si="17"/>
        <v>47.7</v>
      </c>
      <c r="F89" s="459">
        <v>109</v>
      </c>
      <c r="G89" s="460">
        <v>7.5</v>
      </c>
      <c r="H89" s="461">
        <f t="shared" si="11"/>
        <v>14.899999999999999</v>
      </c>
      <c r="I89" s="462">
        <v>22.4</v>
      </c>
      <c r="J89" s="460">
        <v>34.200000000000003</v>
      </c>
      <c r="K89" s="461">
        <f t="shared" si="18"/>
        <v>23</v>
      </c>
      <c r="L89" s="462">
        <v>57.2</v>
      </c>
      <c r="M89" s="460">
        <v>175.7</v>
      </c>
      <c r="N89" s="461">
        <f t="shared" si="12"/>
        <v>84.100000000000023</v>
      </c>
      <c r="O89" s="462">
        <v>259.8</v>
      </c>
      <c r="P89" s="460">
        <v>91.5</v>
      </c>
      <c r="Q89" s="461">
        <f t="shared" si="13"/>
        <v>3.2999999999999972</v>
      </c>
      <c r="R89" s="462">
        <v>94.8</v>
      </c>
      <c r="S89" s="460">
        <v>2.8</v>
      </c>
      <c r="T89" s="461">
        <f t="shared" si="14"/>
        <v>6.7</v>
      </c>
      <c r="U89" s="462">
        <v>9.5</v>
      </c>
      <c r="V89" s="460"/>
      <c r="W89" s="461" t="str">
        <f t="shared" si="19"/>
        <v/>
      </c>
      <c r="X89" s="462">
        <v>3.1</v>
      </c>
      <c r="Y89" s="460"/>
      <c r="Z89" s="459" t="str">
        <f t="shared" si="20"/>
        <v/>
      </c>
      <c r="AA89" s="462">
        <v>52.5</v>
      </c>
      <c r="AB89" s="460">
        <v>2.2999999999999998</v>
      </c>
      <c r="AC89" s="461">
        <f t="shared" si="15"/>
        <v>0.40000000000000036</v>
      </c>
      <c r="AD89" s="462">
        <v>2.7</v>
      </c>
      <c r="AE89" s="460">
        <v>39</v>
      </c>
      <c r="AF89" s="461">
        <f t="shared" si="16"/>
        <v>14.899999999999999</v>
      </c>
      <c r="AG89" s="462">
        <v>53.9</v>
      </c>
      <c r="AH89" s="463">
        <v>415.1</v>
      </c>
      <c r="AI89" s="464">
        <f t="shared" si="21"/>
        <v>249.69999999999993</v>
      </c>
      <c r="AJ89" s="465">
        <v>664.8</v>
      </c>
    </row>
    <row r="90" spans="3:36" x14ac:dyDescent="0.25">
      <c r="C90" s="139">
        <v>43709</v>
      </c>
      <c r="D90" s="449">
        <v>70.400000000000006</v>
      </c>
      <c r="E90" s="450">
        <f t="shared" si="17"/>
        <v>46.699999999999989</v>
      </c>
      <c r="F90" s="450">
        <v>117.1</v>
      </c>
      <c r="G90" s="451">
        <v>7</v>
      </c>
      <c r="H90" s="452">
        <f t="shared" si="11"/>
        <v>20.3</v>
      </c>
      <c r="I90" s="453">
        <v>27.3</v>
      </c>
      <c r="J90" s="451">
        <v>42.8</v>
      </c>
      <c r="K90" s="452">
        <f t="shared" si="18"/>
        <v>21.600000000000009</v>
      </c>
      <c r="L90" s="453">
        <v>64.400000000000006</v>
      </c>
      <c r="M90" s="451">
        <v>193</v>
      </c>
      <c r="N90" s="452">
        <f t="shared" si="12"/>
        <v>88.300000000000011</v>
      </c>
      <c r="O90" s="453">
        <v>281.3</v>
      </c>
      <c r="P90" s="451">
        <v>100</v>
      </c>
      <c r="Q90" s="452">
        <f t="shared" si="13"/>
        <v>2.7999999999999972</v>
      </c>
      <c r="R90" s="453">
        <v>102.8</v>
      </c>
      <c r="S90" s="451">
        <v>1.4</v>
      </c>
      <c r="T90" s="452">
        <f t="shared" si="14"/>
        <v>6.1</v>
      </c>
      <c r="U90" s="453">
        <v>7.5</v>
      </c>
      <c r="V90" s="451"/>
      <c r="W90" s="452" t="str">
        <f t="shared" si="19"/>
        <v/>
      </c>
      <c r="X90" s="453">
        <v>2.5</v>
      </c>
      <c r="Y90" s="451"/>
      <c r="Z90" s="450" t="str">
        <f t="shared" si="20"/>
        <v/>
      </c>
      <c r="AA90" s="453">
        <v>63.2</v>
      </c>
      <c r="AB90" s="451"/>
      <c r="AC90" s="452" t="str">
        <f t="shared" si="15"/>
        <v/>
      </c>
      <c r="AD90" s="453">
        <v>2.1</v>
      </c>
      <c r="AE90" s="451">
        <v>43.2</v>
      </c>
      <c r="AF90" s="452">
        <f t="shared" si="16"/>
        <v>13.699999999999996</v>
      </c>
      <c r="AG90" s="453">
        <v>56.9</v>
      </c>
      <c r="AH90" s="455">
        <v>459.7</v>
      </c>
      <c r="AI90" s="456">
        <f t="shared" si="21"/>
        <v>265.09999999999997</v>
      </c>
      <c r="AJ90" s="457">
        <v>724.8</v>
      </c>
    </row>
    <row r="91" spans="3:36" x14ac:dyDescent="0.25">
      <c r="C91" s="139">
        <v>43800</v>
      </c>
      <c r="D91" s="458">
        <v>67.900000000000006</v>
      </c>
      <c r="E91" s="459">
        <f t="shared" si="17"/>
        <v>55.899999999999991</v>
      </c>
      <c r="F91" s="459">
        <v>123.8</v>
      </c>
      <c r="G91" s="460">
        <v>3.7</v>
      </c>
      <c r="H91" s="461">
        <f t="shared" si="11"/>
        <v>12.3</v>
      </c>
      <c r="I91" s="462">
        <v>16</v>
      </c>
      <c r="J91" s="460">
        <v>42.9</v>
      </c>
      <c r="K91" s="461">
        <f t="shared" si="18"/>
        <v>16.899999999999999</v>
      </c>
      <c r="L91" s="462">
        <v>59.8</v>
      </c>
      <c r="M91" s="460">
        <v>199.9</v>
      </c>
      <c r="N91" s="461">
        <f t="shared" si="12"/>
        <v>103.99999999999997</v>
      </c>
      <c r="O91" s="462">
        <v>303.89999999999998</v>
      </c>
      <c r="P91" s="460">
        <v>81</v>
      </c>
      <c r="Q91" s="461">
        <f t="shared" si="13"/>
        <v>3.5999999999999943</v>
      </c>
      <c r="R91" s="462">
        <v>84.6</v>
      </c>
      <c r="S91" s="460">
        <v>2.2999999999999998</v>
      </c>
      <c r="T91" s="461">
        <f t="shared" si="14"/>
        <v>8.6000000000000014</v>
      </c>
      <c r="U91" s="462">
        <v>10.9</v>
      </c>
      <c r="V91" s="460"/>
      <c r="W91" s="461" t="str">
        <f t="shared" si="19"/>
        <v/>
      </c>
      <c r="X91" s="462">
        <v>2.2999999999999998</v>
      </c>
      <c r="Y91" s="460"/>
      <c r="Z91" s="459" t="str">
        <f t="shared" si="20"/>
        <v/>
      </c>
      <c r="AA91" s="462">
        <v>77.599999999999994</v>
      </c>
      <c r="AB91" s="460">
        <v>1.6</v>
      </c>
      <c r="AC91" s="461">
        <f t="shared" si="15"/>
        <v>0.19999999999999996</v>
      </c>
      <c r="AD91" s="462">
        <v>1.8</v>
      </c>
      <c r="AE91" s="460">
        <v>53.9</v>
      </c>
      <c r="AF91" s="461">
        <f t="shared" si="16"/>
        <v>18.600000000000001</v>
      </c>
      <c r="AG91" s="462">
        <v>72.5</v>
      </c>
      <c r="AH91" s="463">
        <v>453.9</v>
      </c>
      <c r="AI91" s="464">
        <f t="shared" si="21"/>
        <v>299.20000000000005</v>
      </c>
      <c r="AJ91" s="465">
        <v>753.1</v>
      </c>
    </row>
    <row r="92" spans="3:36" x14ac:dyDescent="0.25">
      <c r="C92" s="139">
        <v>43891</v>
      </c>
      <c r="D92" s="449">
        <v>50.9</v>
      </c>
      <c r="E92" s="450">
        <f t="shared" si="17"/>
        <v>45.000000000000007</v>
      </c>
      <c r="F92" s="450">
        <v>95.9</v>
      </c>
      <c r="G92" s="451">
        <v>1.8</v>
      </c>
      <c r="H92" s="452">
        <f t="shared" si="11"/>
        <v>5</v>
      </c>
      <c r="I92" s="453">
        <v>6.8</v>
      </c>
      <c r="J92" s="451">
        <v>29.5</v>
      </c>
      <c r="K92" s="452">
        <f t="shared" si="18"/>
        <v>7.2999999999999972</v>
      </c>
      <c r="L92" s="453">
        <v>36.799999999999997</v>
      </c>
      <c r="M92" s="451">
        <v>183.3</v>
      </c>
      <c r="N92" s="452">
        <f t="shared" si="12"/>
        <v>89</v>
      </c>
      <c r="O92" s="453">
        <v>272.3</v>
      </c>
      <c r="P92" s="451">
        <v>72.3</v>
      </c>
      <c r="Q92" s="452">
        <f t="shared" si="13"/>
        <v>2.9000000000000057</v>
      </c>
      <c r="R92" s="453">
        <v>75.2</v>
      </c>
      <c r="S92" s="451">
        <v>1.7</v>
      </c>
      <c r="T92" s="452">
        <f t="shared" si="14"/>
        <v>7.1000000000000005</v>
      </c>
      <c r="U92" s="453">
        <v>8.8000000000000007</v>
      </c>
      <c r="V92" s="451"/>
      <c r="W92" s="452" t="str">
        <f t="shared" si="19"/>
        <v/>
      </c>
      <c r="X92" s="453">
        <v>1.1000000000000001</v>
      </c>
      <c r="Y92" s="451"/>
      <c r="Z92" s="450" t="str">
        <f t="shared" si="20"/>
        <v/>
      </c>
      <c r="AA92" s="453">
        <v>75.099999999999994</v>
      </c>
      <c r="AB92" s="451"/>
      <c r="AC92" s="452" t="str">
        <f t="shared" si="15"/>
        <v/>
      </c>
      <c r="AD92" s="453">
        <v>0.5</v>
      </c>
      <c r="AE92" s="451">
        <v>26.7</v>
      </c>
      <c r="AF92" s="452">
        <f t="shared" si="16"/>
        <v>11.3</v>
      </c>
      <c r="AG92" s="453">
        <v>38</v>
      </c>
      <c r="AH92" s="455">
        <v>367.1</v>
      </c>
      <c r="AI92" s="456">
        <f t="shared" si="21"/>
        <v>243.5</v>
      </c>
      <c r="AJ92" s="457">
        <v>610.6</v>
      </c>
    </row>
    <row r="93" spans="3:36" x14ac:dyDescent="0.25">
      <c r="C93" s="139">
        <v>43983</v>
      </c>
      <c r="D93" s="458">
        <v>34.700000000000003</v>
      </c>
      <c r="E93" s="459">
        <f t="shared" si="17"/>
        <v>48.599999999999994</v>
      </c>
      <c r="F93" s="459">
        <v>83.3</v>
      </c>
      <c r="G93" s="460">
        <v>1.9</v>
      </c>
      <c r="H93" s="461">
        <f t="shared" si="11"/>
        <v>6.5</v>
      </c>
      <c r="I93" s="462">
        <v>8.4</v>
      </c>
      <c r="J93" s="460">
        <v>33.9</v>
      </c>
      <c r="K93" s="461">
        <f t="shared" si="18"/>
        <v>7.8000000000000043</v>
      </c>
      <c r="L93" s="462">
        <v>41.7</v>
      </c>
      <c r="M93" s="460">
        <v>209.4</v>
      </c>
      <c r="N93" s="461">
        <f t="shared" si="12"/>
        <v>94.999999999999972</v>
      </c>
      <c r="O93" s="462">
        <v>304.39999999999998</v>
      </c>
      <c r="P93" s="460">
        <v>96.1</v>
      </c>
      <c r="Q93" s="461">
        <f t="shared" si="13"/>
        <v>2.6000000000000085</v>
      </c>
      <c r="R93" s="462">
        <v>98.7</v>
      </c>
      <c r="S93" s="460">
        <v>1.4</v>
      </c>
      <c r="T93" s="461">
        <f t="shared" si="14"/>
        <v>8.6</v>
      </c>
      <c r="U93" s="462">
        <v>10</v>
      </c>
      <c r="V93" s="460"/>
      <c r="W93" s="461" t="str">
        <f t="shared" si="19"/>
        <v/>
      </c>
      <c r="X93" s="462">
        <v>1.6</v>
      </c>
      <c r="Y93" s="460"/>
      <c r="Z93" s="459" t="str">
        <f t="shared" si="20"/>
        <v/>
      </c>
      <c r="AA93" s="462">
        <v>87.2</v>
      </c>
      <c r="AB93" s="460"/>
      <c r="AC93" s="461" t="str">
        <f t="shared" si="15"/>
        <v/>
      </c>
      <c r="AD93" s="462">
        <v>0.5</v>
      </c>
      <c r="AE93" s="460">
        <v>34</v>
      </c>
      <c r="AF93" s="461">
        <f t="shared" si="16"/>
        <v>13.399999999999999</v>
      </c>
      <c r="AG93" s="462">
        <v>47.4</v>
      </c>
      <c r="AH93" s="463">
        <v>412.4</v>
      </c>
      <c r="AI93" s="464">
        <f t="shared" si="21"/>
        <v>270.89999999999998</v>
      </c>
      <c r="AJ93" s="465">
        <v>683.3</v>
      </c>
    </row>
    <row r="94" spans="3:36" x14ac:dyDescent="0.25">
      <c r="C94" s="139">
        <v>44075</v>
      </c>
      <c r="D94" s="449">
        <v>26.2</v>
      </c>
      <c r="E94" s="450">
        <f t="shared" si="17"/>
        <v>49.599999999999994</v>
      </c>
      <c r="F94" s="450">
        <v>75.8</v>
      </c>
      <c r="G94" s="451">
        <v>4.3</v>
      </c>
      <c r="H94" s="452">
        <f t="shared" si="11"/>
        <v>8.8000000000000007</v>
      </c>
      <c r="I94" s="453">
        <v>13.1</v>
      </c>
      <c r="J94" s="451">
        <v>42.2</v>
      </c>
      <c r="K94" s="452">
        <f t="shared" si="18"/>
        <v>6.6999999999999957</v>
      </c>
      <c r="L94" s="453">
        <v>48.9</v>
      </c>
      <c r="M94" s="451">
        <v>259.7</v>
      </c>
      <c r="N94" s="452">
        <f t="shared" si="12"/>
        <v>96.400000000000034</v>
      </c>
      <c r="O94" s="453">
        <v>356.1</v>
      </c>
      <c r="P94" s="451">
        <v>108.8</v>
      </c>
      <c r="Q94" s="452">
        <f t="shared" si="13"/>
        <v>2.2000000000000028</v>
      </c>
      <c r="R94" s="453">
        <v>111</v>
      </c>
      <c r="S94" s="451">
        <v>3.1</v>
      </c>
      <c r="T94" s="452">
        <f t="shared" si="14"/>
        <v>6.1</v>
      </c>
      <c r="U94" s="453">
        <v>9.1999999999999993</v>
      </c>
      <c r="V94" s="451"/>
      <c r="W94" s="452" t="str">
        <f t="shared" si="19"/>
        <v/>
      </c>
      <c r="X94" s="453">
        <v>1.8</v>
      </c>
      <c r="Y94" s="451"/>
      <c r="Z94" s="450" t="str">
        <f t="shared" si="20"/>
        <v/>
      </c>
      <c r="AA94" s="453">
        <v>73.099999999999994</v>
      </c>
      <c r="AB94" s="451"/>
      <c r="AC94" s="452" t="str">
        <f t="shared" si="15"/>
        <v/>
      </c>
      <c r="AD94" s="453">
        <v>1.2</v>
      </c>
      <c r="AE94" s="451">
        <v>37.299999999999997</v>
      </c>
      <c r="AF94" s="452">
        <f t="shared" si="16"/>
        <v>17.200000000000003</v>
      </c>
      <c r="AG94" s="453">
        <v>54.5</v>
      </c>
      <c r="AH94" s="455">
        <v>483.3</v>
      </c>
      <c r="AI94" s="456">
        <f t="shared" si="21"/>
        <v>261.59999999999997</v>
      </c>
      <c r="AJ94" s="457">
        <v>744.9</v>
      </c>
    </row>
    <row r="95" spans="3:36" x14ac:dyDescent="0.25">
      <c r="C95" s="139">
        <v>44166</v>
      </c>
      <c r="D95" s="458">
        <v>24.3</v>
      </c>
      <c r="E95" s="459">
        <f t="shared" si="17"/>
        <v>54.400000000000006</v>
      </c>
      <c r="F95" s="459">
        <v>78.7</v>
      </c>
      <c r="G95" s="460">
        <v>7.9</v>
      </c>
      <c r="H95" s="461">
        <f t="shared" si="11"/>
        <v>15.200000000000001</v>
      </c>
      <c r="I95" s="462">
        <v>23.1</v>
      </c>
      <c r="J95" s="460">
        <v>47.1</v>
      </c>
      <c r="K95" s="461">
        <f t="shared" si="18"/>
        <v>6.8999999999999986</v>
      </c>
      <c r="L95" s="462">
        <v>54</v>
      </c>
      <c r="M95" s="460">
        <v>269.2</v>
      </c>
      <c r="N95" s="461">
        <f t="shared" si="12"/>
        <v>114.30000000000001</v>
      </c>
      <c r="O95" s="462">
        <v>383.5</v>
      </c>
      <c r="P95" s="460">
        <v>105.9</v>
      </c>
      <c r="Q95" s="461">
        <f t="shared" si="13"/>
        <v>4.2999999999999972</v>
      </c>
      <c r="R95" s="462">
        <v>110.2</v>
      </c>
      <c r="S95" s="460">
        <v>3.7</v>
      </c>
      <c r="T95" s="461">
        <f t="shared" si="14"/>
        <v>4.8</v>
      </c>
      <c r="U95" s="462">
        <v>8.5</v>
      </c>
      <c r="V95" s="460"/>
      <c r="W95" s="461" t="str">
        <f t="shared" si="19"/>
        <v/>
      </c>
      <c r="X95" s="462">
        <v>2.2000000000000002</v>
      </c>
      <c r="Y95" s="460"/>
      <c r="Z95" s="459" t="str">
        <f t="shared" si="20"/>
        <v/>
      </c>
      <c r="AA95" s="462">
        <v>56.2</v>
      </c>
      <c r="AB95" s="460"/>
      <c r="AC95" s="461" t="str">
        <f t="shared" si="15"/>
        <v/>
      </c>
      <c r="AD95" s="462">
        <v>0.8</v>
      </c>
      <c r="AE95" s="460">
        <v>34.9</v>
      </c>
      <c r="AF95" s="461">
        <f t="shared" si="16"/>
        <v>18</v>
      </c>
      <c r="AG95" s="462">
        <v>52.9</v>
      </c>
      <c r="AH95" s="463">
        <v>494.7</v>
      </c>
      <c r="AI95" s="464">
        <f t="shared" si="21"/>
        <v>275.3</v>
      </c>
      <c r="AJ95" s="465">
        <v>770</v>
      </c>
    </row>
    <row r="96" spans="3:36" x14ac:dyDescent="0.25">
      <c r="C96" s="139">
        <v>44256</v>
      </c>
      <c r="D96" s="449">
        <v>51.7</v>
      </c>
      <c r="E96" s="450">
        <f t="shared" si="17"/>
        <v>51.099999999999994</v>
      </c>
      <c r="F96" s="450">
        <v>102.8</v>
      </c>
      <c r="G96" s="451">
        <v>4.0999999999999996</v>
      </c>
      <c r="H96" s="452">
        <f t="shared" si="11"/>
        <v>9.3000000000000007</v>
      </c>
      <c r="I96" s="453">
        <v>13.4</v>
      </c>
      <c r="J96" s="451">
        <v>40.700000000000003</v>
      </c>
      <c r="K96" s="452">
        <f t="shared" si="18"/>
        <v>5</v>
      </c>
      <c r="L96" s="453">
        <v>45.7</v>
      </c>
      <c r="M96" s="451">
        <v>246.9</v>
      </c>
      <c r="N96" s="452">
        <f t="shared" si="12"/>
        <v>113.29999999999998</v>
      </c>
      <c r="O96" s="453">
        <v>360.2</v>
      </c>
      <c r="P96" s="451">
        <v>96.4</v>
      </c>
      <c r="Q96" s="452">
        <f t="shared" si="13"/>
        <v>4.7999999999999972</v>
      </c>
      <c r="R96" s="453">
        <v>101.2</v>
      </c>
      <c r="S96" s="451">
        <v>4.5999999999999996</v>
      </c>
      <c r="T96" s="452">
        <f t="shared" si="14"/>
        <v>5.2000000000000011</v>
      </c>
      <c r="U96" s="453">
        <v>9.8000000000000007</v>
      </c>
      <c r="V96" s="451">
        <v>0.3</v>
      </c>
      <c r="W96" s="452">
        <f t="shared" si="19"/>
        <v>1.5</v>
      </c>
      <c r="X96" s="453">
        <v>1.8</v>
      </c>
      <c r="Y96" s="451"/>
      <c r="Z96" s="450" t="str">
        <f t="shared" si="20"/>
        <v/>
      </c>
      <c r="AA96" s="453">
        <v>50.8</v>
      </c>
      <c r="AB96" s="451"/>
      <c r="AC96" s="452" t="str">
        <f t="shared" si="15"/>
        <v/>
      </c>
      <c r="AD96" s="453">
        <v>0.5</v>
      </c>
      <c r="AE96" s="451">
        <v>32.6</v>
      </c>
      <c r="AF96" s="452">
        <f t="shared" si="16"/>
        <v>16.299999999999997</v>
      </c>
      <c r="AG96" s="453">
        <v>48.9</v>
      </c>
      <c r="AH96" s="455">
        <v>480.2</v>
      </c>
      <c r="AI96" s="456">
        <f t="shared" si="21"/>
        <v>254.59999999999997</v>
      </c>
      <c r="AJ96" s="457">
        <v>734.8</v>
      </c>
    </row>
    <row r="97" spans="3:36" x14ac:dyDescent="0.25">
      <c r="C97" s="139">
        <v>44348</v>
      </c>
      <c r="D97" s="458">
        <v>45.3</v>
      </c>
      <c r="E97" s="459">
        <f t="shared" si="17"/>
        <v>74.3</v>
      </c>
      <c r="F97" s="459">
        <v>119.6</v>
      </c>
      <c r="G97" s="460">
        <v>4.7</v>
      </c>
      <c r="H97" s="461">
        <f t="shared" si="11"/>
        <v>10.3</v>
      </c>
      <c r="I97" s="462">
        <v>15</v>
      </c>
      <c r="J97" s="460">
        <v>55.2</v>
      </c>
      <c r="K97" s="461">
        <f t="shared" si="18"/>
        <v>6.0999999999999943</v>
      </c>
      <c r="L97" s="462">
        <v>61.3</v>
      </c>
      <c r="M97" s="460">
        <v>295.7</v>
      </c>
      <c r="N97" s="461">
        <f t="shared" si="12"/>
        <v>134.10000000000002</v>
      </c>
      <c r="O97" s="462">
        <v>429.8</v>
      </c>
      <c r="P97" s="460">
        <v>143.9</v>
      </c>
      <c r="Q97" s="461">
        <f t="shared" si="13"/>
        <v>6.9000000000000057</v>
      </c>
      <c r="R97" s="462">
        <v>150.80000000000001</v>
      </c>
      <c r="S97" s="460">
        <v>2.2999999999999998</v>
      </c>
      <c r="T97" s="461">
        <f t="shared" si="14"/>
        <v>7.0000000000000009</v>
      </c>
      <c r="U97" s="462">
        <v>9.3000000000000007</v>
      </c>
      <c r="V97" s="460"/>
      <c r="W97" s="461" t="str">
        <f t="shared" si="19"/>
        <v/>
      </c>
      <c r="X97" s="462">
        <v>3.9</v>
      </c>
      <c r="Y97" s="460"/>
      <c r="Z97" s="459" t="str">
        <f t="shared" si="20"/>
        <v/>
      </c>
      <c r="AA97" s="462">
        <v>54.9</v>
      </c>
      <c r="AB97" s="460"/>
      <c r="AC97" s="461" t="str">
        <f t="shared" si="15"/>
        <v/>
      </c>
      <c r="AD97" s="462">
        <v>1.5</v>
      </c>
      <c r="AE97" s="460">
        <v>43.6</v>
      </c>
      <c r="AF97" s="461">
        <f t="shared" si="16"/>
        <v>22.499999999999993</v>
      </c>
      <c r="AG97" s="462">
        <v>66.099999999999994</v>
      </c>
      <c r="AH97" s="463">
        <v>593.9</v>
      </c>
      <c r="AI97" s="464">
        <f t="shared" si="21"/>
        <v>318.10000000000002</v>
      </c>
      <c r="AJ97" s="465">
        <v>912</v>
      </c>
    </row>
    <row r="98" spans="3:36" x14ac:dyDescent="0.25">
      <c r="C98" s="139">
        <v>44440</v>
      </c>
      <c r="D98" s="449">
        <v>80.5</v>
      </c>
      <c r="E98" s="450">
        <f t="shared" si="17"/>
        <v>74.800000000000011</v>
      </c>
      <c r="F98" s="450">
        <v>155.30000000000001</v>
      </c>
      <c r="G98" s="451">
        <v>7</v>
      </c>
      <c r="H98" s="452">
        <f t="shared" si="11"/>
        <v>13</v>
      </c>
      <c r="I98" s="453">
        <v>20</v>
      </c>
      <c r="J98" s="451">
        <v>56.6</v>
      </c>
      <c r="K98" s="452">
        <f t="shared" si="18"/>
        <v>4.8999999999999986</v>
      </c>
      <c r="L98" s="453">
        <v>61.5</v>
      </c>
      <c r="M98" s="451">
        <v>297.10000000000002</v>
      </c>
      <c r="N98" s="452">
        <f t="shared" si="12"/>
        <v>120.79999999999995</v>
      </c>
      <c r="O98" s="453">
        <v>417.9</v>
      </c>
      <c r="P98" s="451">
        <v>168.3</v>
      </c>
      <c r="Q98" s="452">
        <f t="shared" si="13"/>
        <v>6.2999999999999829</v>
      </c>
      <c r="R98" s="453">
        <v>174.6</v>
      </c>
      <c r="S98" s="451">
        <v>1.9</v>
      </c>
      <c r="T98" s="452">
        <f t="shared" si="14"/>
        <v>11.299999999999999</v>
      </c>
      <c r="U98" s="453">
        <v>13.2</v>
      </c>
      <c r="V98" s="451"/>
      <c r="W98" s="452" t="str">
        <f t="shared" si="19"/>
        <v/>
      </c>
      <c r="X98" s="453">
        <v>3.4</v>
      </c>
      <c r="Y98" s="451"/>
      <c r="Z98" s="450" t="str">
        <f t="shared" si="20"/>
        <v/>
      </c>
      <c r="AA98" s="453">
        <v>66.5</v>
      </c>
      <c r="AB98" s="451"/>
      <c r="AC98" s="452" t="str">
        <f t="shared" si="15"/>
        <v/>
      </c>
      <c r="AD98" s="453">
        <v>2.2000000000000002</v>
      </c>
      <c r="AE98" s="451">
        <v>56.7</v>
      </c>
      <c r="AF98" s="452">
        <f t="shared" si="16"/>
        <v>26.299999999999997</v>
      </c>
      <c r="AG98" s="453">
        <v>83</v>
      </c>
      <c r="AH98" s="455">
        <v>670.5</v>
      </c>
      <c r="AI98" s="456">
        <f t="shared" si="21"/>
        <v>327.10000000000002</v>
      </c>
      <c r="AJ98" s="457">
        <v>997.6</v>
      </c>
    </row>
    <row r="99" spans="3:36" x14ac:dyDescent="0.25">
      <c r="C99" s="139">
        <v>44531</v>
      </c>
      <c r="D99" s="458">
        <v>79.099999999999994</v>
      </c>
      <c r="E99" s="459">
        <f t="shared" si="17"/>
        <v>93.4</v>
      </c>
      <c r="F99" s="459">
        <v>172.5</v>
      </c>
      <c r="G99" s="460">
        <v>9.9</v>
      </c>
      <c r="H99" s="461">
        <f t="shared" si="11"/>
        <v>14.4</v>
      </c>
      <c r="I99" s="462">
        <v>24.3</v>
      </c>
      <c r="J99" s="460">
        <v>62.2</v>
      </c>
      <c r="K99" s="461">
        <f t="shared" si="18"/>
        <v>6</v>
      </c>
      <c r="L99" s="462">
        <v>68.2</v>
      </c>
      <c r="M99" s="460">
        <v>276.39999999999998</v>
      </c>
      <c r="N99" s="461">
        <f t="shared" si="12"/>
        <v>114.40000000000003</v>
      </c>
      <c r="O99" s="462">
        <v>390.8</v>
      </c>
      <c r="P99" s="460">
        <v>118.5</v>
      </c>
      <c r="Q99" s="461">
        <f t="shared" si="13"/>
        <v>12.300000000000011</v>
      </c>
      <c r="R99" s="462">
        <v>130.80000000000001</v>
      </c>
      <c r="S99" s="460">
        <v>2</v>
      </c>
      <c r="T99" s="461">
        <f t="shared" si="14"/>
        <v>11.3</v>
      </c>
      <c r="U99" s="462">
        <v>13.3</v>
      </c>
      <c r="V99" s="460">
        <v>0.6</v>
      </c>
      <c r="W99" s="461">
        <f t="shared" si="19"/>
        <v>2.6</v>
      </c>
      <c r="X99" s="462">
        <v>3.2</v>
      </c>
      <c r="Y99" s="460"/>
      <c r="Z99" s="459" t="str">
        <f t="shared" si="20"/>
        <v/>
      </c>
      <c r="AA99" s="462">
        <v>54</v>
      </c>
      <c r="AB99" s="460"/>
      <c r="AC99" s="461" t="str">
        <f t="shared" si="15"/>
        <v/>
      </c>
      <c r="AD99" s="462">
        <v>1.4</v>
      </c>
      <c r="AE99" s="460">
        <v>57.3</v>
      </c>
      <c r="AF99" s="461">
        <f t="shared" si="16"/>
        <v>35.900000000000006</v>
      </c>
      <c r="AG99" s="462">
        <v>93.2</v>
      </c>
      <c r="AH99" s="463">
        <v>606.79999999999995</v>
      </c>
      <c r="AI99" s="464">
        <f t="shared" si="21"/>
        <v>344.90000000000009</v>
      </c>
      <c r="AJ99" s="465">
        <v>951.7</v>
      </c>
    </row>
    <row r="100" spans="3:36" x14ac:dyDescent="0.25">
      <c r="C100" s="139">
        <v>44621</v>
      </c>
      <c r="D100" s="449">
        <v>43.9</v>
      </c>
      <c r="E100" s="450">
        <f t="shared" si="17"/>
        <v>78.400000000000006</v>
      </c>
      <c r="F100" s="450">
        <v>122.3</v>
      </c>
      <c r="G100" s="451">
        <v>5.0999999999999996</v>
      </c>
      <c r="H100" s="452">
        <f t="shared" si="11"/>
        <v>16.100000000000001</v>
      </c>
      <c r="I100" s="453">
        <v>21.2</v>
      </c>
      <c r="J100" s="451">
        <v>53.7</v>
      </c>
      <c r="K100" s="452">
        <f t="shared" si="18"/>
        <v>10.799999999999997</v>
      </c>
      <c r="L100" s="453">
        <v>64.5</v>
      </c>
      <c r="M100" s="451">
        <v>253</v>
      </c>
      <c r="N100" s="452">
        <f t="shared" si="12"/>
        <v>110.60000000000002</v>
      </c>
      <c r="O100" s="453">
        <v>363.6</v>
      </c>
      <c r="P100" s="451">
        <v>123</v>
      </c>
      <c r="Q100" s="452">
        <f t="shared" si="13"/>
        <v>16.5</v>
      </c>
      <c r="R100" s="453">
        <v>139.5</v>
      </c>
      <c r="S100" s="451">
        <v>1.2</v>
      </c>
      <c r="T100" s="452">
        <f t="shared" si="14"/>
        <v>9.4</v>
      </c>
      <c r="U100" s="453">
        <v>10.6</v>
      </c>
      <c r="V100" s="451"/>
      <c r="W100" s="452" t="str">
        <f t="shared" si="19"/>
        <v/>
      </c>
      <c r="X100" s="453">
        <v>3.7</v>
      </c>
      <c r="Y100" s="451"/>
      <c r="Z100" s="450" t="str">
        <f t="shared" si="20"/>
        <v/>
      </c>
      <c r="AA100" s="453">
        <v>43.3</v>
      </c>
      <c r="AB100" s="451"/>
      <c r="AC100" s="452" t="str">
        <f t="shared" si="15"/>
        <v/>
      </c>
      <c r="AD100" s="453">
        <v>0.7</v>
      </c>
      <c r="AE100" s="451">
        <v>46.2</v>
      </c>
      <c r="AF100" s="452">
        <f t="shared" si="16"/>
        <v>39.899999999999991</v>
      </c>
      <c r="AG100" s="453">
        <v>86.1</v>
      </c>
      <c r="AH100" s="455">
        <v>526.5</v>
      </c>
      <c r="AI100" s="456">
        <f t="shared" si="21"/>
        <v>328.79999999999995</v>
      </c>
      <c r="AJ100" s="457">
        <v>855.3</v>
      </c>
    </row>
    <row r="101" spans="3:36" x14ac:dyDescent="0.25">
      <c r="C101" s="139">
        <v>44713</v>
      </c>
      <c r="D101" s="458">
        <v>50.4</v>
      </c>
      <c r="E101" s="459">
        <f t="shared" si="17"/>
        <v>84.199999999999989</v>
      </c>
      <c r="F101" s="459">
        <v>134.6</v>
      </c>
      <c r="G101" s="460">
        <v>6.3</v>
      </c>
      <c r="H101" s="461">
        <f t="shared" si="11"/>
        <v>18.8</v>
      </c>
      <c r="I101" s="462">
        <v>25.1</v>
      </c>
      <c r="J101" s="460">
        <v>69.5</v>
      </c>
      <c r="K101" s="461">
        <f t="shared" si="18"/>
        <v>12</v>
      </c>
      <c r="L101" s="462">
        <v>81.5</v>
      </c>
      <c r="M101" s="460">
        <v>300.60000000000002</v>
      </c>
      <c r="N101" s="461">
        <f t="shared" si="12"/>
        <v>121.09999999999997</v>
      </c>
      <c r="O101" s="462">
        <v>421.7</v>
      </c>
      <c r="P101" s="460">
        <v>181.8</v>
      </c>
      <c r="Q101" s="461">
        <f t="shared" si="13"/>
        <v>19.199999999999989</v>
      </c>
      <c r="R101" s="462">
        <v>201</v>
      </c>
      <c r="S101" s="460">
        <v>2</v>
      </c>
      <c r="T101" s="461">
        <f t="shared" si="14"/>
        <v>19.2</v>
      </c>
      <c r="U101" s="462">
        <v>21.2</v>
      </c>
      <c r="V101" s="460">
        <v>0.5</v>
      </c>
      <c r="W101" s="461">
        <f t="shared" si="19"/>
        <v>5.9</v>
      </c>
      <c r="X101" s="462">
        <v>6.4</v>
      </c>
      <c r="Y101" s="460"/>
      <c r="Z101" s="459" t="str">
        <f t="shared" si="20"/>
        <v/>
      </c>
      <c r="AA101" s="462">
        <v>61.7</v>
      </c>
      <c r="AB101" s="460"/>
      <c r="AC101" s="461" t="str">
        <f t="shared" si="15"/>
        <v/>
      </c>
      <c r="AD101" s="462">
        <v>0.9</v>
      </c>
      <c r="AE101" s="460">
        <v>62.9</v>
      </c>
      <c r="AF101" s="461">
        <f t="shared" si="16"/>
        <v>40.1</v>
      </c>
      <c r="AG101" s="462">
        <v>103</v>
      </c>
      <c r="AH101" s="463">
        <v>674.8</v>
      </c>
      <c r="AI101" s="464">
        <f t="shared" si="21"/>
        <v>382.5</v>
      </c>
      <c r="AJ101" s="465">
        <v>1057.3</v>
      </c>
    </row>
    <row r="102" spans="3:36" x14ac:dyDescent="0.25">
      <c r="C102" s="139">
        <v>44805</v>
      </c>
      <c r="D102" s="449">
        <v>59.4</v>
      </c>
      <c r="E102" s="450">
        <f t="shared" si="17"/>
        <v>106.5</v>
      </c>
      <c r="F102" s="450">
        <v>165.9</v>
      </c>
      <c r="G102" s="451">
        <v>7.7</v>
      </c>
      <c r="H102" s="452">
        <f t="shared" si="11"/>
        <v>21.900000000000002</v>
      </c>
      <c r="I102" s="453">
        <v>29.6</v>
      </c>
      <c r="J102" s="451">
        <v>69.599999999999994</v>
      </c>
      <c r="K102" s="452">
        <f t="shared" si="18"/>
        <v>9.6000000000000085</v>
      </c>
      <c r="L102" s="453">
        <v>79.2</v>
      </c>
      <c r="M102" s="451">
        <v>286</v>
      </c>
      <c r="N102" s="452">
        <f t="shared" si="12"/>
        <v>94.5</v>
      </c>
      <c r="O102" s="453">
        <v>380.5</v>
      </c>
      <c r="P102" s="451">
        <v>182.4</v>
      </c>
      <c r="Q102" s="452">
        <f t="shared" si="13"/>
        <v>17.599999999999994</v>
      </c>
      <c r="R102" s="453">
        <v>200</v>
      </c>
      <c r="S102" s="451">
        <v>1.8</v>
      </c>
      <c r="T102" s="452">
        <f t="shared" si="14"/>
        <v>16.8</v>
      </c>
      <c r="U102" s="453">
        <v>18.600000000000001</v>
      </c>
      <c r="V102" s="451">
        <v>0.2</v>
      </c>
      <c r="W102" s="452" t="str">
        <f t="shared" si="19"/>
        <v/>
      </c>
      <c r="X102" s="453"/>
      <c r="Y102" s="451"/>
      <c r="Z102" s="450" t="str">
        <f t="shared" si="20"/>
        <v/>
      </c>
      <c r="AA102" s="453">
        <v>64.8</v>
      </c>
      <c r="AB102" s="451"/>
      <c r="AC102" s="452" t="str">
        <f t="shared" si="15"/>
        <v/>
      </c>
      <c r="AD102" s="453"/>
      <c r="AE102" s="451">
        <v>91.8</v>
      </c>
      <c r="AF102" s="452">
        <f t="shared" si="16"/>
        <v>56.7</v>
      </c>
      <c r="AG102" s="453">
        <v>148.5</v>
      </c>
      <c r="AH102" s="455">
        <v>700.5</v>
      </c>
      <c r="AI102" s="456">
        <f t="shared" si="21"/>
        <v>398.79999999999995</v>
      </c>
      <c r="AJ102" s="457">
        <v>1099.3</v>
      </c>
    </row>
    <row r="103" spans="3:36" x14ac:dyDescent="0.25">
      <c r="C103" s="139">
        <v>44896</v>
      </c>
      <c r="D103" s="458">
        <v>39.4</v>
      </c>
      <c r="E103" s="459">
        <f t="shared" si="17"/>
        <v>109</v>
      </c>
      <c r="F103" s="459">
        <v>148.4</v>
      </c>
      <c r="G103" s="460">
        <v>5.5</v>
      </c>
      <c r="H103" s="461">
        <f t="shared" si="11"/>
        <v>20.9</v>
      </c>
      <c r="I103" s="462">
        <v>26.4</v>
      </c>
      <c r="J103" s="460">
        <v>76.2</v>
      </c>
      <c r="K103" s="461">
        <f t="shared" si="18"/>
        <v>14.099999999999994</v>
      </c>
      <c r="L103" s="462">
        <v>90.3</v>
      </c>
      <c r="M103" s="460">
        <v>264.5</v>
      </c>
      <c r="N103" s="461">
        <f t="shared" si="12"/>
        <v>94.800000000000011</v>
      </c>
      <c r="O103" s="462">
        <v>359.3</v>
      </c>
      <c r="P103" s="460">
        <v>161.30000000000001</v>
      </c>
      <c r="Q103" s="461">
        <f t="shared" si="13"/>
        <v>13.199999999999989</v>
      </c>
      <c r="R103" s="462">
        <v>174.5</v>
      </c>
      <c r="S103" s="460">
        <v>1.5</v>
      </c>
      <c r="T103" s="461">
        <f t="shared" si="14"/>
        <v>15.399999999999999</v>
      </c>
      <c r="U103" s="462">
        <v>16.899999999999999</v>
      </c>
      <c r="V103" s="460"/>
      <c r="W103" s="461" t="str">
        <f t="shared" si="19"/>
        <v/>
      </c>
      <c r="X103" s="462">
        <v>12</v>
      </c>
      <c r="Y103" s="460"/>
      <c r="Z103" s="459" t="str">
        <f t="shared" si="20"/>
        <v/>
      </c>
      <c r="AA103" s="462">
        <v>71.400000000000006</v>
      </c>
      <c r="AB103" s="460"/>
      <c r="AC103" s="461" t="str">
        <f t="shared" si="15"/>
        <v/>
      </c>
      <c r="AD103" s="462">
        <v>1.1000000000000001</v>
      </c>
      <c r="AE103" s="460">
        <v>95</v>
      </c>
      <c r="AF103" s="461">
        <f t="shared" si="16"/>
        <v>53</v>
      </c>
      <c r="AG103" s="462">
        <v>148</v>
      </c>
      <c r="AH103" s="463">
        <v>645</v>
      </c>
      <c r="AI103" s="464">
        <f t="shared" si="21"/>
        <v>403.20000000000005</v>
      </c>
      <c r="AJ103" s="465">
        <v>1048.2</v>
      </c>
    </row>
    <row r="104" spans="3:36" x14ac:dyDescent="0.25">
      <c r="C104" s="139">
        <v>44986</v>
      </c>
      <c r="D104" s="449">
        <v>39.5</v>
      </c>
      <c r="E104" s="450">
        <f t="shared" si="17"/>
        <v>96.1</v>
      </c>
      <c r="F104" s="450">
        <v>135.6</v>
      </c>
      <c r="G104" s="451">
        <v>4.9000000000000004</v>
      </c>
      <c r="H104" s="452">
        <f t="shared" si="11"/>
        <v>16.299999999999997</v>
      </c>
      <c r="I104" s="453">
        <v>21.2</v>
      </c>
      <c r="J104" s="451">
        <v>68.3</v>
      </c>
      <c r="K104" s="452">
        <f t="shared" si="18"/>
        <v>10.299999999999997</v>
      </c>
      <c r="L104" s="453">
        <v>78.599999999999994</v>
      </c>
      <c r="M104" s="451">
        <v>191.6</v>
      </c>
      <c r="N104" s="452">
        <f t="shared" si="12"/>
        <v>83.9</v>
      </c>
      <c r="O104" s="453">
        <v>275.5</v>
      </c>
      <c r="P104" s="451">
        <v>129.80000000000001</v>
      </c>
      <c r="Q104" s="452">
        <f t="shared" si="13"/>
        <v>11.599999999999994</v>
      </c>
      <c r="R104" s="453">
        <v>141.4</v>
      </c>
      <c r="S104" s="451">
        <v>2.7</v>
      </c>
      <c r="T104" s="452">
        <f t="shared" si="14"/>
        <v>16.2</v>
      </c>
      <c r="U104" s="453">
        <v>18.899999999999999</v>
      </c>
      <c r="V104" s="451"/>
      <c r="W104" s="452" t="str">
        <f t="shared" si="19"/>
        <v/>
      </c>
      <c r="X104" s="453">
        <v>9.1999999999999993</v>
      </c>
      <c r="Y104" s="451"/>
      <c r="Z104" s="450" t="str">
        <f t="shared" si="20"/>
        <v/>
      </c>
      <c r="AA104" s="453">
        <v>62.4</v>
      </c>
      <c r="AB104" s="451"/>
      <c r="AC104" s="452" t="str">
        <f t="shared" si="15"/>
        <v/>
      </c>
      <c r="AD104" s="453">
        <v>0.6</v>
      </c>
      <c r="AE104" s="451">
        <v>105.2</v>
      </c>
      <c r="AF104" s="452">
        <f t="shared" si="16"/>
        <v>47.2</v>
      </c>
      <c r="AG104" s="453">
        <v>152.4</v>
      </c>
      <c r="AH104" s="455">
        <v>545.5</v>
      </c>
      <c r="AI104" s="456">
        <f t="shared" si="21"/>
        <v>350.4</v>
      </c>
      <c r="AJ104" s="457">
        <v>895.9</v>
      </c>
    </row>
    <row r="105" spans="3:36" x14ac:dyDescent="0.25">
      <c r="C105" s="139">
        <v>45078</v>
      </c>
      <c r="D105" s="458">
        <v>48.1</v>
      </c>
      <c r="E105" s="459">
        <f t="shared" si="17"/>
        <v>128.1</v>
      </c>
      <c r="F105" s="459">
        <v>176.2</v>
      </c>
      <c r="G105" s="460">
        <v>3.7</v>
      </c>
      <c r="H105" s="461">
        <f t="shared" si="11"/>
        <v>19</v>
      </c>
      <c r="I105" s="462">
        <v>22.7</v>
      </c>
      <c r="J105" s="460">
        <v>73</v>
      </c>
      <c r="K105" s="461">
        <f t="shared" si="18"/>
        <v>10.5</v>
      </c>
      <c r="L105" s="462">
        <v>83.5</v>
      </c>
      <c r="M105" s="460">
        <v>211.3</v>
      </c>
      <c r="N105" s="461">
        <f t="shared" si="12"/>
        <v>99.199999999999989</v>
      </c>
      <c r="O105" s="462">
        <v>310.5</v>
      </c>
      <c r="P105" s="460">
        <v>180.3</v>
      </c>
      <c r="Q105" s="461">
        <f t="shared" si="13"/>
        <v>11.5</v>
      </c>
      <c r="R105" s="462">
        <v>191.8</v>
      </c>
      <c r="S105" s="460">
        <v>2.4</v>
      </c>
      <c r="T105" s="461">
        <f t="shared" si="14"/>
        <v>17.200000000000003</v>
      </c>
      <c r="U105" s="462">
        <v>19.600000000000001</v>
      </c>
      <c r="V105" s="460"/>
      <c r="W105" s="461" t="str">
        <f t="shared" si="19"/>
        <v/>
      </c>
      <c r="X105" s="462">
        <v>13.2</v>
      </c>
      <c r="Y105" s="460"/>
      <c r="Z105" s="459" t="str">
        <f t="shared" si="20"/>
        <v/>
      </c>
      <c r="AA105" s="462">
        <v>82.4</v>
      </c>
      <c r="AB105" s="460"/>
      <c r="AC105" s="461" t="str">
        <f t="shared" si="15"/>
        <v/>
      </c>
      <c r="AD105" s="462">
        <v>1.1000000000000001</v>
      </c>
      <c r="AE105" s="460">
        <v>140.1</v>
      </c>
      <c r="AF105" s="461">
        <f t="shared" si="16"/>
        <v>48.900000000000006</v>
      </c>
      <c r="AG105" s="462">
        <v>189</v>
      </c>
      <c r="AH105" s="463">
        <v>663.9</v>
      </c>
      <c r="AI105" s="464">
        <f t="shared" si="21"/>
        <v>426.1</v>
      </c>
      <c r="AJ105" s="465">
        <v>1090</v>
      </c>
    </row>
    <row r="106" spans="3:36" x14ac:dyDescent="0.25">
      <c r="C106" s="139">
        <v>45170</v>
      </c>
      <c r="D106" s="449">
        <v>51.4</v>
      </c>
      <c r="E106" s="450">
        <f t="shared" si="17"/>
        <v>129.69999999999999</v>
      </c>
      <c r="F106" s="450">
        <v>181.1</v>
      </c>
      <c r="G106" s="451">
        <v>5.0999999999999996</v>
      </c>
      <c r="H106" s="452">
        <f t="shared" si="11"/>
        <v>22.5</v>
      </c>
      <c r="I106" s="453">
        <v>27.6</v>
      </c>
      <c r="J106" s="451">
        <v>76.7</v>
      </c>
      <c r="K106" s="452">
        <f t="shared" si="18"/>
        <v>10.099999999999994</v>
      </c>
      <c r="L106" s="453">
        <v>86.8</v>
      </c>
      <c r="M106" s="451">
        <v>244.3</v>
      </c>
      <c r="N106" s="452">
        <f t="shared" si="12"/>
        <v>89.099999999999966</v>
      </c>
      <c r="O106" s="453">
        <v>333.4</v>
      </c>
      <c r="P106" s="451">
        <v>186.1</v>
      </c>
      <c r="Q106" s="452">
        <f t="shared" si="13"/>
        <v>10.400000000000006</v>
      </c>
      <c r="R106" s="453">
        <v>196.5</v>
      </c>
      <c r="S106" s="451">
        <v>2.1</v>
      </c>
      <c r="T106" s="452">
        <f t="shared" si="14"/>
        <v>16.799999999999997</v>
      </c>
      <c r="U106" s="453">
        <v>18.899999999999999</v>
      </c>
      <c r="V106" s="451"/>
      <c r="W106" s="452" t="str">
        <f t="shared" si="19"/>
        <v/>
      </c>
      <c r="X106" s="453">
        <v>17.5</v>
      </c>
      <c r="Y106" s="451"/>
      <c r="Z106" s="450" t="str">
        <f t="shared" si="20"/>
        <v/>
      </c>
      <c r="AA106" s="453">
        <v>86.6</v>
      </c>
      <c r="AB106" s="451"/>
      <c r="AC106" s="452" t="str">
        <f t="shared" si="15"/>
        <v/>
      </c>
      <c r="AD106" s="453">
        <v>1.5</v>
      </c>
      <c r="AE106" s="451">
        <v>143</v>
      </c>
      <c r="AF106" s="452">
        <f t="shared" si="16"/>
        <v>67</v>
      </c>
      <c r="AG106" s="453">
        <v>210</v>
      </c>
      <c r="AH106" s="455">
        <v>714.9</v>
      </c>
      <c r="AI106" s="456">
        <f t="shared" si="21"/>
        <v>445.00000000000011</v>
      </c>
      <c r="AJ106" s="457">
        <v>1159.9000000000001</v>
      </c>
    </row>
    <row r="107" spans="3:36" x14ac:dyDescent="0.25">
      <c r="C107" s="139">
        <v>45261</v>
      </c>
      <c r="D107" s="458">
        <v>45.9</v>
      </c>
      <c r="E107" s="459">
        <f t="shared" si="17"/>
        <v>122.1</v>
      </c>
      <c r="F107" s="459">
        <v>168</v>
      </c>
      <c r="G107" s="460">
        <v>5.0999999999999996</v>
      </c>
      <c r="H107" s="461">
        <f t="shared" si="11"/>
        <v>25</v>
      </c>
      <c r="I107" s="462">
        <v>30.1</v>
      </c>
      <c r="J107" s="460">
        <v>63.3</v>
      </c>
      <c r="K107" s="461">
        <f t="shared" si="18"/>
        <v>11.400000000000006</v>
      </c>
      <c r="L107" s="462">
        <v>74.7</v>
      </c>
      <c r="M107" s="460">
        <v>229.3</v>
      </c>
      <c r="N107" s="461">
        <f t="shared" si="12"/>
        <v>93.800000000000011</v>
      </c>
      <c r="O107" s="462">
        <v>323.10000000000002</v>
      </c>
      <c r="P107" s="460">
        <v>155.1</v>
      </c>
      <c r="Q107" s="461">
        <f t="shared" si="13"/>
        <v>11.099999999999994</v>
      </c>
      <c r="R107" s="462">
        <v>166.2</v>
      </c>
      <c r="S107" s="460">
        <v>2</v>
      </c>
      <c r="T107" s="461">
        <f t="shared" si="14"/>
        <v>13.1</v>
      </c>
      <c r="U107" s="462">
        <v>15.1</v>
      </c>
      <c r="V107" s="460"/>
      <c r="W107" s="461" t="str">
        <f t="shared" si="19"/>
        <v/>
      </c>
      <c r="X107" s="462">
        <v>15.1</v>
      </c>
      <c r="Y107" s="460"/>
      <c r="Z107" s="459" t="str">
        <f t="shared" si="20"/>
        <v/>
      </c>
      <c r="AA107" s="462">
        <v>90.9</v>
      </c>
      <c r="AB107" s="460"/>
      <c r="AC107" s="461" t="str">
        <f t="shared" si="15"/>
        <v/>
      </c>
      <c r="AD107" s="462">
        <v>1.3</v>
      </c>
      <c r="AE107" s="460">
        <v>172.1</v>
      </c>
      <c r="AF107" s="461">
        <f t="shared" si="16"/>
        <v>58.200000000000017</v>
      </c>
      <c r="AG107" s="462">
        <v>230.3</v>
      </c>
      <c r="AH107" s="463">
        <v>676.9</v>
      </c>
      <c r="AI107" s="464">
        <f t="shared" si="21"/>
        <v>437.9</v>
      </c>
      <c r="AJ107" s="465">
        <v>1114.8</v>
      </c>
    </row>
    <row r="108" spans="3:36" x14ac:dyDescent="0.25">
      <c r="C108" s="139">
        <v>45352</v>
      </c>
      <c r="D108" s="449">
        <v>28.7</v>
      </c>
      <c r="E108" s="450">
        <f t="shared" si="17"/>
        <v>100.10000000000001</v>
      </c>
      <c r="F108" s="450">
        <v>128.80000000000001</v>
      </c>
      <c r="G108" s="451">
        <v>3</v>
      </c>
      <c r="H108" s="452">
        <f t="shared" si="11"/>
        <v>18.2</v>
      </c>
      <c r="I108" s="453">
        <v>21.2</v>
      </c>
      <c r="J108" s="451">
        <v>42.6</v>
      </c>
      <c r="K108" s="452">
        <f t="shared" si="18"/>
        <v>5.8999999999999986</v>
      </c>
      <c r="L108" s="453">
        <v>48.5</v>
      </c>
      <c r="M108" s="451">
        <v>200.4</v>
      </c>
      <c r="N108" s="452">
        <f t="shared" si="12"/>
        <v>83.999999999999972</v>
      </c>
      <c r="O108" s="453">
        <v>284.39999999999998</v>
      </c>
      <c r="P108" s="451">
        <v>142.9</v>
      </c>
      <c r="Q108" s="452">
        <f t="shared" si="13"/>
        <v>7.4000000000000057</v>
      </c>
      <c r="R108" s="453">
        <v>150.30000000000001</v>
      </c>
      <c r="S108" s="451">
        <v>3.6</v>
      </c>
      <c r="T108" s="452">
        <f t="shared" si="14"/>
        <v>10.700000000000001</v>
      </c>
      <c r="U108" s="453">
        <v>14.3</v>
      </c>
      <c r="V108" s="451">
        <v>1.8</v>
      </c>
      <c r="W108" s="452">
        <f t="shared" si="19"/>
        <v>8.3999999999999986</v>
      </c>
      <c r="X108" s="453">
        <v>10.199999999999999</v>
      </c>
      <c r="Y108" s="451"/>
      <c r="Z108" s="450" t="str">
        <f t="shared" si="20"/>
        <v/>
      </c>
      <c r="AA108" s="453">
        <v>79.3</v>
      </c>
      <c r="AB108" s="451"/>
      <c r="AC108" s="452" t="str">
        <f t="shared" si="15"/>
        <v/>
      </c>
      <c r="AD108" s="453">
        <v>0.7</v>
      </c>
      <c r="AE108" s="451">
        <v>129</v>
      </c>
      <c r="AF108" s="452">
        <f t="shared" si="16"/>
        <v>43.099999999999994</v>
      </c>
      <c r="AG108" s="453">
        <v>172.1</v>
      </c>
      <c r="AH108" s="455">
        <v>553.6</v>
      </c>
      <c r="AI108" s="456">
        <f t="shared" si="21"/>
        <v>356</v>
      </c>
      <c r="AJ108" s="457">
        <v>909.6</v>
      </c>
    </row>
    <row r="109" spans="3:36" x14ac:dyDescent="0.25">
      <c r="C109" s="139">
        <v>45444</v>
      </c>
      <c r="D109" s="458">
        <v>37.4</v>
      </c>
      <c r="E109" s="459">
        <f t="shared" si="17"/>
        <v>113.29999999999998</v>
      </c>
      <c r="F109" s="459">
        <v>150.69999999999999</v>
      </c>
      <c r="G109" s="460">
        <v>2.6</v>
      </c>
      <c r="H109" s="461">
        <f t="shared" si="11"/>
        <v>22.799999999999997</v>
      </c>
      <c r="I109" s="462">
        <v>25.4</v>
      </c>
      <c r="J109" s="460">
        <v>50.5</v>
      </c>
      <c r="K109" s="461">
        <f t="shared" si="18"/>
        <v>4.7000000000000028</v>
      </c>
      <c r="L109" s="462">
        <v>55.2</v>
      </c>
      <c r="M109" s="460">
        <v>210.3</v>
      </c>
      <c r="N109" s="461">
        <f t="shared" si="12"/>
        <v>85.699999999999989</v>
      </c>
      <c r="O109" s="462">
        <v>296</v>
      </c>
      <c r="P109" s="460">
        <v>189.6</v>
      </c>
      <c r="Q109" s="461">
        <f t="shared" si="13"/>
        <v>5.8000000000000114</v>
      </c>
      <c r="R109" s="462">
        <v>195.4</v>
      </c>
      <c r="S109" s="460">
        <v>3.2</v>
      </c>
      <c r="T109" s="461">
        <f t="shared" si="14"/>
        <v>15.100000000000001</v>
      </c>
      <c r="U109" s="462">
        <v>18.3</v>
      </c>
      <c r="V109" s="460"/>
      <c r="W109" s="461" t="str">
        <f t="shared" si="19"/>
        <v/>
      </c>
      <c r="X109" s="462">
        <v>15.1</v>
      </c>
      <c r="Y109" s="460"/>
      <c r="Z109" s="459" t="str">
        <f t="shared" si="20"/>
        <v/>
      </c>
      <c r="AA109" s="462">
        <v>87</v>
      </c>
      <c r="AB109" s="460"/>
      <c r="AC109" s="461" t="str">
        <f t="shared" si="15"/>
        <v/>
      </c>
      <c r="AD109" s="462">
        <v>1.4</v>
      </c>
      <c r="AE109" s="460">
        <v>139.80000000000001</v>
      </c>
      <c r="AF109" s="461">
        <f t="shared" si="16"/>
        <v>46.099999999999994</v>
      </c>
      <c r="AG109" s="462">
        <v>185.9</v>
      </c>
      <c r="AH109" s="463">
        <v>638.1</v>
      </c>
      <c r="AI109" s="464">
        <f t="shared" si="21"/>
        <v>392.30000000000007</v>
      </c>
      <c r="AJ109" s="465">
        <v>1030.4000000000001</v>
      </c>
    </row>
    <row r="110" spans="3:36" x14ac:dyDescent="0.25">
      <c r="C110" s="139">
        <v>45536</v>
      </c>
      <c r="D110" s="449">
        <v>38.299999999999997</v>
      </c>
      <c r="E110" s="450">
        <f t="shared" si="17"/>
        <v>108.00000000000001</v>
      </c>
      <c r="F110" s="450">
        <v>146.30000000000001</v>
      </c>
      <c r="G110" s="451">
        <v>2.1</v>
      </c>
      <c r="H110" s="452">
        <f t="shared" si="11"/>
        <v>13.1</v>
      </c>
      <c r="I110" s="453">
        <v>15.2</v>
      </c>
      <c r="J110" s="451">
        <v>51.1</v>
      </c>
      <c r="K110" s="452">
        <f t="shared" si="18"/>
        <v>2.8999999999999986</v>
      </c>
      <c r="L110" s="453">
        <v>54</v>
      </c>
      <c r="M110" s="451">
        <v>234</v>
      </c>
      <c r="N110" s="452">
        <f t="shared" si="12"/>
        <v>63.5</v>
      </c>
      <c r="O110" s="453">
        <v>297.5</v>
      </c>
      <c r="P110" s="451">
        <v>212.8</v>
      </c>
      <c r="Q110" s="452">
        <f t="shared" si="13"/>
        <v>3.1999999999999886</v>
      </c>
      <c r="R110" s="453">
        <v>216</v>
      </c>
      <c r="S110" s="451">
        <v>3.1</v>
      </c>
      <c r="T110" s="452" t="str">
        <f t="shared" si="14"/>
        <v/>
      </c>
      <c r="U110" s="453"/>
      <c r="V110" s="451"/>
      <c r="W110" s="452" t="str">
        <f t="shared" si="19"/>
        <v/>
      </c>
      <c r="X110" s="453">
        <v>26.7</v>
      </c>
      <c r="Y110" s="451"/>
      <c r="Z110" s="450" t="str">
        <f t="shared" si="20"/>
        <v/>
      </c>
      <c r="AA110" s="453">
        <v>79.599999999999994</v>
      </c>
      <c r="AB110" s="451"/>
      <c r="AC110" s="452" t="str">
        <f t="shared" si="15"/>
        <v/>
      </c>
      <c r="AD110" s="453"/>
      <c r="AE110" s="451">
        <v>117</v>
      </c>
      <c r="AF110" s="452">
        <f t="shared" si="16"/>
        <v>46.599999999999994</v>
      </c>
      <c r="AG110" s="453">
        <v>163.6</v>
      </c>
      <c r="AH110" s="455">
        <v>663.9</v>
      </c>
      <c r="AI110" s="456">
        <f t="shared" si="21"/>
        <v>352.80000000000007</v>
      </c>
      <c r="AJ110" s="457">
        <v>1016.7</v>
      </c>
    </row>
    <row r="111" spans="3:36" x14ac:dyDescent="0.25">
      <c r="C111" s="139">
        <v>45627</v>
      </c>
      <c r="D111" s="458">
        <v>47</v>
      </c>
      <c r="E111" s="459">
        <f t="shared" si="17"/>
        <v>103.5</v>
      </c>
      <c r="F111" s="459">
        <v>150.5</v>
      </c>
      <c r="G111" s="460">
        <v>3.2</v>
      </c>
      <c r="H111" s="461">
        <f t="shared" si="11"/>
        <v>9.6000000000000014</v>
      </c>
      <c r="I111" s="462">
        <v>12.8</v>
      </c>
      <c r="J111" s="460">
        <v>48.1</v>
      </c>
      <c r="K111" s="461">
        <f t="shared" si="18"/>
        <v>2.6999999999999957</v>
      </c>
      <c r="L111" s="462">
        <v>50.8</v>
      </c>
      <c r="M111" s="460">
        <v>245.6</v>
      </c>
      <c r="N111" s="461">
        <f t="shared" si="12"/>
        <v>68.700000000000017</v>
      </c>
      <c r="O111" s="462">
        <v>314.3</v>
      </c>
      <c r="P111" s="460">
        <v>204.9</v>
      </c>
      <c r="Q111" s="461">
        <f t="shared" si="13"/>
        <v>3.0999999999999943</v>
      </c>
      <c r="R111" s="462">
        <v>208</v>
      </c>
      <c r="S111" s="460">
        <v>4.2</v>
      </c>
      <c r="T111" s="461">
        <f t="shared" si="14"/>
        <v>7.9999999999999991</v>
      </c>
      <c r="U111" s="462">
        <v>12.2</v>
      </c>
      <c r="V111" s="460"/>
      <c r="W111" s="461" t="str">
        <f t="shared" si="19"/>
        <v/>
      </c>
      <c r="X111" s="462">
        <v>19.5</v>
      </c>
      <c r="Y111" s="460"/>
      <c r="Z111" s="459" t="str">
        <f t="shared" si="20"/>
        <v/>
      </c>
      <c r="AA111" s="462">
        <v>76.099999999999994</v>
      </c>
      <c r="AB111" s="460"/>
      <c r="AC111" s="461" t="str">
        <f t="shared" si="15"/>
        <v/>
      </c>
      <c r="AD111" s="462">
        <v>0.5</v>
      </c>
      <c r="AE111" s="460">
        <v>100</v>
      </c>
      <c r="AF111" s="461">
        <f t="shared" si="16"/>
        <v>41.300000000000011</v>
      </c>
      <c r="AG111" s="462">
        <v>141.30000000000001</v>
      </c>
      <c r="AH111" s="463">
        <v>659</v>
      </c>
      <c r="AI111" s="464">
        <f t="shared" si="21"/>
        <v>327</v>
      </c>
      <c r="AJ111" s="465">
        <v>986</v>
      </c>
    </row>
    <row r="112" spans="3:36" x14ac:dyDescent="0.25">
      <c r="C112" s="139">
        <v>45717</v>
      </c>
      <c r="D112" s="449">
        <v>25.8</v>
      </c>
      <c r="E112" s="450">
        <f t="shared" si="17"/>
        <v>87.600000000000009</v>
      </c>
      <c r="F112" s="450">
        <v>113.4</v>
      </c>
      <c r="G112" s="451">
        <v>1.8</v>
      </c>
      <c r="H112" s="452">
        <f t="shared" si="11"/>
        <v>12.899999999999999</v>
      </c>
      <c r="I112" s="453">
        <v>14.7</v>
      </c>
      <c r="J112" s="451">
        <v>41.7</v>
      </c>
      <c r="K112" s="452">
        <f t="shared" si="18"/>
        <v>1.8999999999999986</v>
      </c>
      <c r="L112" s="453">
        <v>43.6</v>
      </c>
      <c r="M112" s="451">
        <v>233.7</v>
      </c>
      <c r="N112" s="452">
        <f t="shared" si="12"/>
        <v>60.199999999999989</v>
      </c>
      <c r="O112" s="453">
        <v>293.89999999999998</v>
      </c>
      <c r="P112" s="451">
        <v>174.3</v>
      </c>
      <c r="Q112" s="452">
        <f t="shared" si="13"/>
        <v>3.2999999999999829</v>
      </c>
      <c r="R112" s="453">
        <v>177.6</v>
      </c>
      <c r="S112" s="451">
        <v>3.5</v>
      </c>
      <c r="T112" s="452" t="str">
        <f t="shared" si="14"/>
        <v/>
      </c>
      <c r="U112" s="453"/>
      <c r="V112" s="451"/>
      <c r="W112" s="452" t="str">
        <f t="shared" si="19"/>
        <v/>
      </c>
      <c r="X112" s="453">
        <v>12.5</v>
      </c>
      <c r="Y112" s="451"/>
      <c r="Z112" s="450" t="str">
        <f t="shared" si="20"/>
        <v/>
      </c>
      <c r="AA112" s="453">
        <v>55.9</v>
      </c>
      <c r="AB112" s="451"/>
      <c r="AC112" s="452" t="str">
        <f t="shared" si="15"/>
        <v/>
      </c>
      <c r="AD112" s="453"/>
      <c r="AE112" s="451">
        <v>60</v>
      </c>
      <c r="AF112" s="452">
        <f t="shared" si="16"/>
        <v>29.799999999999997</v>
      </c>
      <c r="AG112" s="453">
        <v>89.8</v>
      </c>
      <c r="AH112" s="455">
        <v>543.6</v>
      </c>
      <c r="AI112" s="456">
        <f t="shared" si="21"/>
        <v>272.60000000000002</v>
      </c>
      <c r="AJ112" s="457">
        <v>816.2</v>
      </c>
    </row>
    <row r="113" spans="3:36" x14ac:dyDescent="0.25">
      <c r="C113" s="139">
        <v>45809</v>
      </c>
      <c r="D113" s="458">
        <v>36.9</v>
      </c>
      <c r="E113" s="459">
        <f t="shared" si="17"/>
        <v>85.699999999999989</v>
      </c>
      <c r="F113" s="459">
        <v>122.6</v>
      </c>
      <c r="G113" s="460">
        <v>3.5</v>
      </c>
      <c r="H113" s="461">
        <f t="shared" si="11"/>
        <v>17.399999999999999</v>
      </c>
      <c r="I113" s="462">
        <v>20.9</v>
      </c>
      <c r="J113" s="460">
        <v>45.5</v>
      </c>
      <c r="K113" s="461">
        <f t="shared" si="18"/>
        <v>2.1000000000000014</v>
      </c>
      <c r="L113" s="462">
        <v>47.6</v>
      </c>
      <c r="M113" s="460">
        <v>322</v>
      </c>
      <c r="N113" s="461">
        <f t="shared" si="12"/>
        <v>80.5</v>
      </c>
      <c r="O113" s="462">
        <v>402.5</v>
      </c>
      <c r="P113" s="460">
        <v>211.4</v>
      </c>
      <c r="Q113" s="461">
        <f t="shared" si="13"/>
        <v>1.6999999999999886</v>
      </c>
      <c r="R113" s="462">
        <v>213.1</v>
      </c>
      <c r="S113" s="460">
        <v>4.8</v>
      </c>
      <c r="T113" s="461">
        <f t="shared" si="14"/>
        <v>18.7</v>
      </c>
      <c r="U113" s="462">
        <v>23.5</v>
      </c>
      <c r="V113" s="460"/>
      <c r="W113" s="461" t="str">
        <f t="shared" si="19"/>
        <v/>
      </c>
      <c r="X113" s="462">
        <v>13.6</v>
      </c>
      <c r="Y113" s="460"/>
      <c r="Z113" s="459" t="str">
        <f t="shared" si="20"/>
        <v/>
      </c>
      <c r="AA113" s="462">
        <v>58.6</v>
      </c>
      <c r="AB113" s="460"/>
      <c r="AC113" s="461" t="str">
        <f t="shared" si="15"/>
        <v/>
      </c>
      <c r="AD113" s="462">
        <v>0.4</v>
      </c>
      <c r="AE113" s="460">
        <v>71.8</v>
      </c>
      <c r="AF113" s="461">
        <f t="shared" si="16"/>
        <v>35.200000000000003</v>
      </c>
      <c r="AG113" s="462">
        <v>107</v>
      </c>
      <c r="AH113" s="463">
        <v>698.4</v>
      </c>
      <c r="AI113" s="464">
        <f t="shared" si="21"/>
        <v>311.5</v>
      </c>
      <c r="AJ113" s="465">
        <v>1009.9</v>
      </c>
    </row>
    <row r="114" spans="3:36" x14ac:dyDescent="0.25">
      <c r="C114" s="139">
        <v>45901</v>
      </c>
      <c r="D114" s="449">
        <v>38.700000000000003</v>
      </c>
      <c r="E114" s="450">
        <f t="shared" si="17"/>
        <v>77.899999999999991</v>
      </c>
      <c r="F114" s="450">
        <v>116.6</v>
      </c>
      <c r="G114" s="451">
        <v>4.0999999999999996</v>
      </c>
      <c r="H114" s="452">
        <f t="shared" si="11"/>
        <v>18.100000000000001</v>
      </c>
      <c r="I114" s="453">
        <v>22.2</v>
      </c>
      <c r="J114" s="451">
        <v>38</v>
      </c>
      <c r="K114" s="452">
        <f t="shared" si="18"/>
        <v>3.1000000000000014</v>
      </c>
      <c r="L114" s="453">
        <v>41.1</v>
      </c>
      <c r="M114" s="451">
        <v>348.9</v>
      </c>
      <c r="N114" s="452">
        <f t="shared" si="12"/>
        <v>82.5</v>
      </c>
      <c r="O114" s="453">
        <v>431.4</v>
      </c>
      <c r="P114" s="451">
        <v>220.6</v>
      </c>
      <c r="Q114" s="452">
        <f t="shared" si="13"/>
        <v>1.7000000000000171</v>
      </c>
      <c r="R114" s="453">
        <v>222.3</v>
      </c>
      <c r="S114" s="451">
        <v>4</v>
      </c>
      <c r="T114" s="452">
        <f t="shared" si="14"/>
        <v>19.899999999999999</v>
      </c>
      <c r="U114" s="453">
        <v>23.9</v>
      </c>
      <c r="V114" s="451"/>
      <c r="W114" s="452" t="str">
        <f t="shared" ref="W114:W115" si="22">IF(OR(ISBLANK(X114), ISBLANK(V114)), "", X114-V114)</f>
        <v/>
      </c>
      <c r="X114" s="453">
        <v>18.2</v>
      </c>
      <c r="Y114" s="451"/>
      <c r="Z114" s="450" t="str">
        <f t="shared" si="20"/>
        <v/>
      </c>
      <c r="AA114" s="453">
        <v>68.3</v>
      </c>
      <c r="AB114" s="451"/>
      <c r="AC114" s="452" t="str">
        <f t="shared" si="15"/>
        <v/>
      </c>
      <c r="AD114" s="453">
        <v>0.2</v>
      </c>
      <c r="AE114" s="451">
        <v>76.2</v>
      </c>
      <c r="AF114" s="452">
        <f t="shared" si="16"/>
        <v>48.899999999999991</v>
      </c>
      <c r="AG114" s="453">
        <v>125.1</v>
      </c>
      <c r="AH114" s="455">
        <v>733.4</v>
      </c>
      <c r="AI114" s="456">
        <f t="shared" si="21"/>
        <v>336.00000000000011</v>
      </c>
      <c r="AJ114" s="457">
        <v>1069.4000000000001</v>
      </c>
    </row>
    <row r="115" spans="3:36" ht="15.75" thickBot="1" x14ac:dyDescent="0.3">
      <c r="C115" s="161">
        <v>45992</v>
      </c>
      <c r="D115" s="466">
        <v>45.5</v>
      </c>
      <c r="E115" s="467">
        <f t="shared" si="17"/>
        <v>71.599999999999994</v>
      </c>
      <c r="F115" s="467">
        <v>117.1</v>
      </c>
      <c r="G115" s="468">
        <v>8</v>
      </c>
      <c r="H115" s="469">
        <f t="shared" si="11"/>
        <v>23.6</v>
      </c>
      <c r="I115" s="470">
        <v>31.6</v>
      </c>
      <c r="J115" s="468">
        <v>24.9</v>
      </c>
      <c r="K115" s="469">
        <f t="shared" si="18"/>
        <v>5.3000000000000007</v>
      </c>
      <c r="L115" s="470">
        <v>30.2</v>
      </c>
      <c r="M115" s="468">
        <v>380.7</v>
      </c>
      <c r="N115" s="469">
        <f t="shared" si="12"/>
        <v>88.600000000000023</v>
      </c>
      <c r="O115" s="470">
        <v>469.3</v>
      </c>
      <c r="P115" s="468">
        <v>178.6</v>
      </c>
      <c r="Q115" s="469">
        <f t="shared" si="13"/>
        <v>2.2000000000000171</v>
      </c>
      <c r="R115" s="470">
        <v>180.8</v>
      </c>
      <c r="S115" s="468">
        <v>3.4</v>
      </c>
      <c r="T115" s="469">
        <f t="shared" si="14"/>
        <v>20.6</v>
      </c>
      <c r="U115" s="470">
        <v>24</v>
      </c>
      <c r="V115" s="468"/>
      <c r="W115" s="469" t="str">
        <f t="shared" si="22"/>
        <v/>
      </c>
      <c r="X115" s="470">
        <v>14.5</v>
      </c>
      <c r="Y115" s="468"/>
      <c r="Z115" s="467" t="str">
        <f t="shared" si="20"/>
        <v/>
      </c>
      <c r="AA115" s="470">
        <v>59.4</v>
      </c>
      <c r="AB115" s="468">
        <v>0.1</v>
      </c>
      <c r="AC115" s="469">
        <f t="shared" si="15"/>
        <v>0</v>
      </c>
      <c r="AD115" s="470">
        <v>0.1</v>
      </c>
      <c r="AE115" s="468">
        <v>79.2</v>
      </c>
      <c r="AF115" s="469">
        <f t="shared" si="16"/>
        <v>47.7</v>
      </c>
      <c r="AG115" s="470">
        <v>126.9</v>
      </c>
      <c r="AH115" s="471">
        <v>723.6</v>
      </c>
      <c r="AI115" s="472">
        <f t="shared" si="21"/>
        <v>330.19999999999993</v>
      </c>
      <c r="AJ115" s="473">
        <v>1053.8</v>
      </c>
    </row>
    <row r="116" spans="3:36" x14ac:dyDescent="0.25">
      <c r="AB116" s="320">
        <v>6.7</v>
      </c>
    </row>
    <row r="121" spans="3:36" x14ac:dyDescent="0.25">
      <c r="AB121" s="320">
        <v>3.2</v>
      </c>
    </row>
    <row r="123" spans="3:36" x14ac:dyDescent="0.25">
      <c r="AB123" s="320">
        <v>1.3</v>
      </c>
    </row>
    <row r="125" spans="3:36" x14ac:dyDescent="0.25">
      <c r="U125" s="320">
        <v>6.5</v>
      </c>
    </row>
    <row r="127" spans="3:36" x14ac:dyDescent="0.25">
      <c r="S127" s="320">
        <v>3.1</v>
      </c>
    </row>
    <row r="128" spans="3:36" x14ac:dyDescent="0.25">
      <c r="S128" s="320">
        <v>2.1</v>
      </c>
      <c r="AB128" s="320">
        <v>0.1</v>
      </c>
    </row>
    <row r="129" spans="19:21" x14ac:dyDescent="0.25">
      <c r="S129" s="320">
        <v>2.4</v>
      </c>
    </row>
    <row r="130" spans="19:21" x14ac:dyDescent="0.25">
      <c r="S130" s="320">
        <v>2.6</v>
      </c>
      <c r="U130" s="320">
        <v>6.2</v>
      </c>
    </row>
    <row r="131" spans="19:21" x14ac:dyDescent="0.25">
      <c r="S131" s="320">
        <v>3.7</v>
      </c>
    </row>
    <row r="132" spans="19:21" x14ac:dyDescent="0.25">
      <c r="S132" s="320">
        <v>2.8</v>
      </c>
    </row>
    <row r="133" spans="19:21" x14ac:dyDescent="0.25">
      <c r="S133" s="320">
        <v>2.6</v>
      </c>
      <c r="U133" s="320">
        <v>11</v>
      </c>
    </row>
    <row r="134" spans="19:21" x14ac:dyDescent="0.25">
      <c r="S134" s="320">
        <v>3.1</v>
      </c>
      <c r="U134" s="320">
        <v>9.3000000000000007</v>
      </c>
    </row>
    <row r="135" spans="19:21" x14ac:dyDescent="0.25">
      <c r="S135" s="320">
        <v>4.2</v>
      </c>
    </row>
    <row r="136" spans="19:21" x14ac:dyDescent="0.25">
      <c r="U136" s="320">
        <v>10.9</v>
      </c>
    </row>
    <row r="137" spans="19:21" x14ac:dyDescent="0.25">
      <c r="U137" s="320">
        <v>11</v>
      </c>
    </row>
    <row r="138" spans="19:21" x14ac:dyDescent="0.25">
      <c r="U138" s="320">
        <v>7.2</v>
      </c>
    </row>
    <row r="139" spans="19:21" x14ac:dyDescent="0.25">
      <c r="S139" s="320">
        <v>3</v>
      </c>
      <c r="U139" s="320">
        <v>8.6999999999999993</v>
      </c>
    </row>
    <row r="140" spans="19:21" x14ac:dyDescent="0.25">
      <c r="S140" s="320">
        <v>4.3</v>
      </c>
    </row>
    <row r="141" spans="19:21" x14ac:dyDescent="0.25">
      <c r="S141" s="320">
        <v>5.6</v>
      </c>
      <c r="U141" s="320">
        <v>8.1</v>
      </c>
    </row>
    <row r="142" spans="19:21" x14ac:dyDescent="0.25">
      <c r="S142" s="320">
        <v>3.7</v>
      </c>
      <c r="U142" s="320">
        <v>6.5</v>
      </c>
    </row>
    <row r="143" spans="19:21" x14ac:dyDescent="0.25">
      <c r="S143" s="320">
        <v>2.8</v>
      </c>
      <c r="U143" s="320">
        <v>6.5</v>
      </c>
    </row>
    <row r="144" spans="19:21" x14ac:dyDescent="0.25">
      <c r="S144" s="320">
        <v>6.3</v>
      </c>
      <c r="U144" s="320">
        <v>10.7</v>
      </c>
    </row>
    <row r="145" spans="19:28" x14ac:dyDescent="0.25">
      <c r="S145" s="320">
        <v>2</v>
      </c>
      <c r="U145" s="320">
        <v>4.4000000000000004</v>
      </c>
    </row>
    <row r="146" spans="19:28" x14ac:dyDescent="0.25">
      <c r="S146" s="320">
        <v>3</v>
      </c>
      <c r="U146" s="320">
        <v>6.2</v>
      </c>
    </row>
    <row r="147" spans="19:28" x14ac:dyDescent="0.25">
      <c r="S147" s="320">
        <v>2.8</v>
      </c>
      <c r="U147" s="320">
        <v>5.8</v>
      </c>
      <c r="AB147" s="320">
        <v>1</v>
      </c>
    </row>
    <row r="148" spans="19:28" x14ac:dyDescent="0.25">
      <c r="S148" s="320">
        <v>3.5</v>
      </c>
      <c r="U148" s="320">
        <v>6.6</v>
      </c>
    </row>
    <row r="149" spans="19:28" x14ac:dyDescent="0.25">
      <c r="S149" s="320">
        <v>2.9</v>
      </c>
      <c r="U149" s="320">
        <v>5.3</v>
      </c>
    </row>
    <row r="150" spans="19:28" x14ac:dyDescent="0.25">
      <c r="S150" s="320">
        <v>1.7</v>
      </c>
      <c r="U150" s="320">
        <v>4.0999999999999996</v>
      </c>
    </row>
    <row r="151" spans="19:28" x14ac:dyDescent="0.25">
      <c r="S151" s="320">
        <v>1.9</v>
      </c>
      <c r="U151" s="320">
        <v>4</v>
      </c>
    </row>
    <row r="152" spans="19:28" x14ac:dyDescent="0.25">
      <c r="S152" s="320">
        <v>3.7</v>
      </c>
      <c r="U152" s="320">
        <v>6.2</v>
      </c>
    </row>
    <row r="153" spans="19:28" x14ac:dyDescent="0.25">
      <c r="S153" s="320">
        <v>2.2000000000000002</v>
      </c>
      <c r="U153" s="320">
        <v>5.0999999999999996</v>
      </c>
    </row>
    <row r="154" spans="19:28" x14ac:dyDescent="0.25">
      <c r="S154" s="320">
        <v>3.4</v>
      </c>
      <c r="U154" s="320">
        <v>5</v>
      </c>
    </row>
    <row r="155" spans="19:28" x14ac:dyDescent="0.25">
      <c r="S155" s="320">
        <v>1.9</v>
      </c>
      <c r="U155" s="320">
        <v>3.8</v>
      </c>
    </row>
    <row r="156" spans="19:28" x14ac:dyDescent="0.25">
      <c r="S156" s="320">
        <v>3.2</v>
      </c>
      <c r="U156" s="320">
        <v>6</v>
      </c>
    </row>
    <row r="157" spans="19:28" x14ac:dyDescent="0.25">
      <c r="S157" s="320">
        <v>1.7</v>
      </c>
      <c r="U157" s="320">
        <v>6</v>
      </c>
    </row>
    <row r="158" spans="19:28" x14ac:dyDescent="0.25">
      <c r="S158" s="320">
        <v>2.5</v>
      </c>
      <c r="U158" s="320">
        <v>6.2</v>
      </c>
    </row>
    <row r="159" spans="19:28" x14ac:dyDescent="0.25">
      <c r="U159" s="320">
        <v>8.9</v>
      </c>
      <c r="AB159" s="320">
        <v>0.7</v>
      </c>
    </row>
    <row r="160" spans="19:28" x14ac:dyDescent="0.25">
      <c r="U160" s="320">
        <v>10</v>
      </c>
      <c r="AB160" s="320">
        <v>2.5</v>
      </c>
    </row>
    <row r="161" spans="19:28" x14ac:dyDescent="0.25">
      <c r="S161" s="320">
        <v>2.2000000000000002</v>
      </c>
      <c r="U161" s="320">
        <v>9.4</v>
      </c>
    </row>
    <row r="162" spans="19:28" x14ac:dyDescent="0.25">
      <c r="S162" s="320">
        <v>1.9</v>
      </c>
      <c r="U162" s="320">
        <v>6.8</v>
      </c>
      <c r="AB162" s="320">
        <v>1.7</v>
      </c>
    </row>
    <row r="163" spans="19:28" x14ac:dyDescent="0.25">
      <c r="S163" s="320">
        <v>2.8</v>
      </c>
      <c r="U163" s="320">
        <v>9.5</v>
      </c>
      <c r="AB163" s="320">
        <v>3.2</v>
      </c>
    </row>
    <row r="164" spans="19:28" x14ac:dyDescent="0.25">
      <c r="S164" s="320">
        <v>1.4</v>
      </c>
      <c r="U164" s="320">
        <v>7.5</v>
      </c>
    </row>
    <row r="165" spans="19:28" x14ac:dyDescent="0.25">
      <c r="S165" s="320">
        <v>2.2999999999999998</v>
      </c>
      <c r="U165" s="320">
        <v>10.9</v>
      </c>
    </row>
    <row r="166" spans="19:28" x14ac:dyDescent="0.25">
      <c r="S166" s="320">
        <v>1.7</v>
      </c>
      <c r="U166" s="320">
        <v>8.8000000000000007</v>
      </c>
      <c r="AB166" s="320">
        <v>2.2999999999999998</v>
      </c>
    </row>
    <row r="167" spans="19:28" x14ac:dyDescent="0.25">
      <c r="S167" s="320">
        <v>1.4</v>
      </c>
      <c r="U167" s="320">
        <v>10</v>
      </c>
    </row>
    <row r="168" spans="19:28" x14ac:dyDescent="0.25">
      <c r="S168" s="320">
        <v>3.1</v>
      </c>
      <c r="U168" s="320">
        <v>9.1999999999999993</v>
      </c>
      <c r="AB168" s="320">
        <v>1.6</v>
      </c>
    </row>
    <row r="169" spans="19:28" x14ac:dyDescent="0.25">
      <c r="S169" s="320">
        <v>3.7</v>
      </c>
      <c r="U169" s="320">
        <v>8.5</v>
      </c>
    </row>
    <row r="170" spans="19:28" x14ac:dyDescent="0.25">
      <c r="S170" s="320">
        <v>4.5999999999999996</v>
      </c>
      <c r="U170" s="320">
        <v>9.8000000000000007</v>
      </c>
    </row>
    <row r="171" spans="19:28" x14ac:dyDescent="0.25">
      <c r="S171" s="320">
        <v>2.2999999999999998</v>
      </c>
      <c r="U171" s="320">
        <v>9.3000000000000007</v>
      </c>
    </row>
    <row r="172" spans="19:28" x14ac:dyDescent="0.25">
      <c r="S172" s="320">
        <v>1.9</v>
      </c>
      <c r="U172" s="320">
        <v>13.2</v>
      </c>
    </row>
    <row r="173" spans="19:28" x14ac:dyDescent="0.25">
      <c r="S173" s="320">
        <v>2</v>
      </c>
      <c r="U173" s="320">
        <v>13.3</v>
      </c>
    </row>
    <row r="174" spans="19:28" x14ac:dyDescent="0.25">
      <c r="S174" s="320">
        <v>1.2</v>
      </c>
      <c r="U174" s="320">
        <v>10.6</v>
      </c>
    </row>
    <row r="175" spans="19:28" x14ac:dyDescent="0.25">
      <c r="S175" s="320">
        <v>2</v>
      </c>
      <c r="U175" s="320">
        <v>21.2</v>
      </c>
    </row>
    <row r="176" spans="19:28" x14ac:dyDescent="0.25">
      <c r="S176" s="320">
        <v>1.8</v>
      </c>
      <c r="U176" s="320">
        <v>18.600000000000001</v>
      </c>
    </row>
    <row r="177" spans="19:28" x14ac:dyDescent="0.25">
      <c r="S177" s="320">
        <v>1.5</v>
      </c>
      <c r="U177" s="320">
        <v>16.899999999999999</v>
      </c>
    </row>
    <row r="178" spans="19:28" x14ac:dyDescent="0.25">
      <c r="S178" s="320">
        <v>2.7</v>
      </c>
      <c r="U178" s="320">
        <v>18.899999999999999</v>
      </c>
    </row>
    <row r="179" spans="19:28" x14ac:dyDescent="0.25">
      <c r="S179" s="320">
        <v>2.4</v>
      </c>
      <c r="U179" s="320">
        <v>19.600000000000001</v>
      </c>
    </row>
    <row r="180" spans="19:28" x14ac:dyDescent="0.25">
      <c r="S180" s="320">
        <v>2.1</v>
      </c>
      <c r="U180" s="320">
        <v>18.899999999999999</v>
      </c>
    </row>
    <row r="181" spans="19:28" x14ac:dyDescent="0.25">
      <c r="S181" s="320">
        <v>2.1</v>
      </c>
      <c r="U181" s="320">
        <v>15.3</v>
      </c>
    </row>
    <row r="192" spans="19:28" x14ac:dyDescent="0.25">
      <c r="AB192" s="320">
        <v>0.1</v>
      </c>
    </row>
  </sheetData>
  <mergeCells count="12">
    <mergeCell ref="AE8:AG8"/>
    <mergeCell ref="AH8:AJ8"/>
    <mergeCell ref="C7:AJ7"/>
    <mergeCell ref="D8:F8"/>
    <mergeCell ref="G8:I8"/>
    <mergeCell ref="J8:L8"/>
    <mergeCell ref="M8:O8"/>
    <mergeCell ref="P8:R8"/>
    <mergeCell ref="S8:U8"/>
    <mergeCell ref="V8:X8"/>
    <mergeCell ref="Y8:AA8"/>
    <mergeCell ref="AB8:AD8"/>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4117D-A4DA-4620-9F88-E9BC3D9D23D8}">
  <sheetPr codeName="Sheet27"/>
  <dimension ref="A1:R511"/>
  <sheetViews>
    <sheetView showGridLines="0" topLeftCell="B1" zoomScale="85" zoomScaleNormal="85" workbookViewId="0">
      <pane ySplit="10" topLeftCell="A11" activePane="bottomLeft" state="frozen"/>
      <selection activeCell="B1" sqref="B1"/>
      <selection pane="bottomLeft" activeCell="B1" sqref="B1"/>
    </sheetView>
  </sheetViews>
  <sheetFormatPr defaultColWidth="9.140625" defaultRowHeight="15" x14ac:dyDescent="0.25"/>
  <cols>
    <col min="1" max="1" width="5" hidden="1" customWidth="1"/>
    <col min="2" max="2" width="12.7109375" customWidth="1"/>
    <col min="3" max="6" width="15.7109375" customWidth="1"/>
    <col min="7" max="7" width="8.7109375" customWidth="1"/>
    <col min="8" max="8" width="12.7109375" customWidth="1"/>
    <col min="9" max="12" width="15.7109375" customWidth="1"/>
    <col min="13" max="13" width="8.7109375" customWidth="1"/>
    <col min="14" max="14" width="12.7109375" customWidth="1"/>
    <col min="15" max="18" width="15.7109375" customWidth="1"/>
  </cols>
  <sheetData>
    <row r="1" spans="1:18" x14ac:dyDescent="0.25">
      <c r="H1" s="3">
        <f>(LARGE(B11:B472,1))</f>
        <v>45992</v>
      </c>
      <c r="M1" s="50"/>
    </row>
    <row r="2" spans="1:18" x14ac:dyDescent="0.25">
      <c r="H2" s="3">
        <f>MATCH(H1,B11:B472,0)+8</f>
        <v>114</v>
      </c>
    </row>
    <row r="3" spans="1:18" x14ac:dyDescent="0.25">
      <c r="H3" s="3" t="str">
        <f ca="1">IF(MONTH(INDIRECT(CONCATENATE("B",H2)))=12, "Calendar Year", "Financial year")</f>
        <v>Financial year</v>
      </c>
    </row>
    <row r="6" spans="1:18" ht="15.75" thickBot="1" x14ac:dyDescent="0.3"/>
    <row r="7" spans="1:18" ht="15.75" thickBot="1" x14ac:dyDescent="0.3">
      <c r="B7" s="129" t="s">
        <v>97</v>
      </c>
      <c r="C7" s="130" t="s">
        <v>98</v>
      </c>
    </row>
    <row r="8" spans="1:18" x14ac:dyDescent="0.25">
      <c r="A8" s="11"/>
      <c r="B8" s="11"/>
      <c r="C8" s="11"/>
      <c r="D8" s="11"/>
      <c r="E8" s="11"/>
      <c r="F8" s="11"/>
      <c r="G8" s="11"/>
      <c r="H8" s="131"/>
      <c r="I8" s="11"/>
      <c r="J8" s="11"/>
      <c r="K8" s="11"/>
      <c r="L8" s="11"/>
      <c r="M8" s="11"/>
      <c r="N8" s="11"/>
      <c r="O8" s="11"/>
      <c r="P8" s="11"/>
      <c r="Q8" s="11"/>
      <c r="R8" s="11"/>
    </row>
    <row r="9" spans="1:18" ht="15.75" thickBot="1" x14ac:dyDescent="0.3">
      <c r="B9" s="585" t="str">
        <f>IF(C7="Total", "", C7) &amp; " Mineral Exploration Expenditure"</f>
        <v xml:space="preserve"> Mineral Exploration Expenditure</v>
      </c>
      <c r="C9" s="585"/>
      <c r="D9" s="585"/>
      <c r="E9" s="585"/>
      <c r="F9" s="585"/>
      <c r="H9" s="585" t="s">
        <v>92</v>
      </c>
      <c r="I9" s="585"/>
      <c r="J9" s="585"/>
      <c r="K9" s="585"/>
      <c r="L9" s="585"/>
      <c r="M9" s="132"/>
      <c r="N9" s="585" t="s">
        <v>54</v>
      </c>
      <c r="O9" s="585"/>
      <c r="P9" s="585"/>
      <c r="Q9" s="585"/>
      <c r="R9" s="585"/>
    </row>
    <row r="10" spans="1:18" ht="60" customHeight="1" x14ac:dyDescent="0.25">
      <c r="B10" s="133" t="s">
        <v>93</v>
      </c>
      <c r="C10" s="134" t="s">
        <v>565</v>
      </c>
      <c r="D10" s="135" t="s">
        <v>568</v>
      </c>
      <c r="E10" s="134" t="s">
        <v>569</v>
      </c>
      <c r="F10" s="136" t="s">
        <v>79</v>
      </c>
      <c r="G10" s="12"/>
      <c r="H10" s="137" t="s">
        <v>55</v>
      </c>
      <c r="I10" s="134" t="s">
        <v>565</v>
      </c>
      <c r="J10" s="135" t="s">
        <v>568</v>
      </c>
      <c r="K10" s="134" t="s">
        <v>569</v>
      </c>
      <c r="L10" s="136" t="s">
        <v>79</v>
      </c>
      <c r="M10" s="138"/>
      <c r="N10" s="137" t="s">
        <v>55</v>
      </c>
      <c r="O10" s="134" t="s">
        <v>565</v>
      </c>
      <c r="P10" s="135" t="s">
        <v>568</v>
      </c>
      <c r="Q10" s="134" t="s">
        <v>569</v>
      </c>
      <c r="R10" s="136" t="s">
        <v>79</v>
      </c>
    </row>
    <row r="11" spans="1:18" x14ac:dyDescent="0.25">
      <c r="A11">
        <f>YEAR(B11)</f>
        <v>1999</v>
      </c>
      <c r="B11" s="139">
        <v>36404</v>
      </c>
      <c r="C11" s="447">
        <f ca="1">IF(ISBLANK(OFFSET('Min. Expl. By Commodity (Data)'!D10, 0, VLOOKUP($C$7, 'Min. Expl. By Commodity (Data)'!$A$9:$B$19, 2, FALSE))),
        "",
        OFFSET('Min. Expl. By Commodity (Data)'!D10, 0, VLOOKUP($C$7, 'Min. Expl. By Commodity (Data)'!$A$9:$B$19, 2, FALSE))
)</f>
        <v>107.9</v>
      </c>
      <c r="D11" s="16">
        <f ca="1">IF(ISBLANK(OFFSET('Min. Expl. By Commodity (Data)'!E10, 0, VLOOKUP($C$7, 'Min. Expl. By Commodity (Data)'!$A$9:$B$19, 2, FALSE))),
        "",
        OFFSET('Min. Expl. By Commodity (Data)'!E10, 0, VLOOKUP($C$7, 'Min. Expl. By Commodity (Data)'!$A$9:$B$19, 2, FALSE))
)</f>
        <v>72.199999999999989</v>
      </c>
      <c r="E11" s="15">
        <f ca="1">IF(ISBLANK(OFFSET('Min. Expl. By Commodity (Data)'!F10, 0, VLOOKUP($C$7, 'Min. Expl. By Commodity (Data)'!$A$9:$B$19, 2, FALSE))),
        "",
        OFFSET('Min. Expl. By Commodity (Data)'!F10, 0, VLOOKUP($C$7, 'Min. Expl. By Commodity (Data)'!$A$9:$B$19, 2, FALSE))
)</f>
        <v>180.1</v>
      </c>
      <c r="F11" s="140">
        <f t="shared" ref="F11:F74" ca="1" si="0">IF(OR(C11="", E11=""), "n/a", C11/E11)</f>
        <v>0.59911160466407554</v>
      </c>
      <c r="H11" s="141">
        <f t="shared" ref="H11:H18" si="1">H12-1</f>
        <v>2016</v>
      </c>
      <c r="I11" s="142">
        <f t="shared" ref="I11:I20" ca="1" si="2">SUMIF($A:$A,$H11,$C:$C)</f>
        <v>927.59999999999991</v>
      </c>
      <c r="J11" s="93">
        <f t="shared" ref="J11:J20" ca="1" si="3">K11-I11</f>
        <v>499.30000000000018</v>
      </c>
      <c r="K11" s="142">
        <f t="shared" ref="K11:K20" ca="1" si="4">SUMIF($A:$A,$H11,$E:$E)</f>
        <v>1426.9</v>
      </c>
      <c r="L11" s="143">
        <f t="shared" ref="L11:L20" ca="1" si="5">IF(K11=0, "n/a", I11/K11)</f>
        <v>0.65008059429532539</v>
      </c>
      <c r="M11" s="106"/>
      <c r="N11" s="144" t="str">
        <f>LEFT(N12,4)-1 &amp; "-" &amp; RIGHT(LEFT(N12,4), 2)</f>
        <v>2015-16</v>
      </c>
      <c r="O11" s="61">
        <f t="shared" ref="O11:O20" ca="1" si="6">SUMIFS(C:C, $B:$B, "&gt;=" &amp; DATE(LEFT($N11, 4), 7, 1), $B:$B, "&lt;" &amp; DATE(LEFT($N11, 4)+1, 7, 1))</f>
        <v>871</v>
      </c>
      <c r="P11" s="61">
        <f t="shared" ref="P11:P20" ca="1" si="7">Q11-O11</f>
        <v>550.09999999999991</v>
      </c>
      <c r="Q11" s="61">
        <f t="shared" ref="Q11:Q20" ca="1" si="8">SUMIFS(E:E, $B:$B, "&gt;=" &amp; DATE(LEFT($N11, 4), 7, 1), $B:$B, "&lt;" &amp; DATE(LEFT($N11, 4)+1, 7, 1))</f>
        <v>1421.1</v>
      </c>
      <c r="R11" s="145">
        <f t="shared" ref="R11:R20" ca="1" si="9">IF(Q11=0, "n/a", O11/Q11)</f>
        <v>0.61290549574273456</v>
      </c>
    </row>
    <row r="12" spans="1:18" x14ac:dyDescent="0.25">
      <c r="A12">
        <f t="shared" ref="A12:A75" si="10">YEAR(B12)</f>
        <v>1999</v>
      </c>
      <c r="B12" s="139">
        <v>36495</v>
      </c>
      <c r="C12" s="146">
        <f ca="1">IF(ISBLANK(OFFSET('Min. Expl. By Commodity (Data)'!D11, 0, VLOOKUP($C$7, 'Min. Expl. By Commodity (Data)'!$A$9:$B$19, 2, FALSE))),
        "",
        OFFSET('Min. Expl. By Commodity (Data)'!D11, 0, VLOOKUP($C$7, 'Min. Expl. By Commodity (Data)'!$A$9:$B$19, 2, FALSE))
)</f>
        <v>108.8</v>
      </c>
      <c r="D12" s="147">
        <f ca="1">IF(ISBLANK(OFFSET('Min. Expl. By Commodity (Data)'!E11, 0, VLOOKUP($C$7, 'Min. Expl. By Commodity (Data)'!$A$9:$B$19, 2, FALSE))),
        "",
        OFFSET('Min. Expl. By Commodity (Data)'!E11, 0, VLOOKUP($C$7, 'Min. Expl. By Commodity (Data)'!$A$9:$B$19, 2, FALSE))
)</f>
        <v>68.100000000000009</v>
      </c>
      <c r="E12" s="146">
        <f ca="1">IF(ISBLANK(OFFSET('Min. Expl. By Commodity (Data)'!F11, 0, VLOOKUP($C$7, 'Min. Expl. By Commodity (Data)'!$A$9:$B$19, 2, FALSE))),
        "",
        OFFSET('Min. Expl. By Commodity (Data)'!F11, 0, VLOOKUP($C$7, 'Min. Expl. By Commodity (Data)'!$A$9:$B$19, 2, FALSE))
)</f>
        <v>176.9</v>
      </c>
      <c r="F12" s="148">
        <f t="shared" ca="1" si="0"/>
        <v>0.61503674392312035</v>
      </c>
      <c r="H12" s="149">
        <f t="shared" si="1"/>
        <v>2017</v>
      </c>
      <c r="I12" s="150">
        <f t="shared" ca="1" si="2"/>
        <v>1108.7</v>
      </c>
      <c r="J12" s="151">
        <f t="shared" ca="1" si="3"/>
        <v>645.10000000000014</v>
      </c>
      <c r="K12" s="150">
        <f t="shared" ca="1" si="4"/>
        <v>1753.8000000000002</v>
      </c>
      <c r="L12" s="152">
        <f t="shared" ca="1" si="5"/>
        <v>0.63217014482837264</v>
      </c>
      <c r="M12" s="106"/>
      <c r="N12" s="144" t="str">
        <f t="shared" ref="N12:N19" si="11">LEFT(N13,4)-1 &amp; "-" &amp; RIGHT(LEFT(N13,4), 2)</f>
        <v>2016-17</v>
      </c>
      <c r="O12" s="153">
        <f t="shared" ca="1" si="6"/>
        <v>1028.3</v>
      </c>
      <c r="P12" s="153">
        <f t="shared" ca="1" si="7"/>
        <v>536.79999999999995</v>
      </c>
      <c r="Q12" s="153">
        <f t="shared" ca="1" si="8"/>
        <v>1565.1</v>
      </c>
      <c r="R12" s="154">
        <f t="shared" ca="1" si="9"/>
        <v>0.6570187208485081</v>
      </c>
    </row>
    <row r="13" spans="1:18" x14ac:dyDescent="0.25">
      <c r="A13">
        <f t="shared" si="10"/>
        <v>2000</v>
      </c>
      <c r="B13" s="139">
        <v>36586</v>
      </c>
      <c r="C13" s="15">
        <f ca="1">IF(ISBLANK(OFFSET('Min. Expl. By Commodity (Data)'!D12, 0, VLOOKUP($C$7, 'Min. Expl. By Commodity (Data)'!$A$9:$B$19, 2, FALSE))),
        "",
        OFFSET('Min. Expl. By Commodity (Data)'!D12, 0, VLOOKUP($C$7, 'Min. Expl. By Commodity (Data)'!$A$9:$B$19, 2, FALSE))
)</f>
        <v>85</v>
      </c>
      <c r="D13" s="16">
        <f ca="1">IF(ISBLANK(OFFSET('Min. Expl. By Commodity (Data)'!E12, 0, VLOOKUP($C$7, 'Min. Expl. By Commodity (Data)'!$A$9:$B$19, 2, FALSE))),
        "",
        OFFSET('Min. Expl. By Commodity (Data)'!E12, 0, VLOOKUP($C$7, 'Min. Expl. By Commodity (Data)'!$A$9:$B$19, 2, FALSE))
)</f>
        <v>51.699999999999989</v>
      </c>
      <c r="E13" s="15">
        <f ca="1">IF(ISBLANK(OFFSET('Min. Expl. By Commodity (Data)'!F12, 0, VLOOKUP($C$7, 'Min. Expl. By Commodity (Data)'!$A$9:$B$19, 2, FALSE))),
        "",
        OFFSET('Min. Expl. By Commodity (Data)'!F12, 0, VLOOKUP($C$7, 'Min. Expl. By Commodity (Data)'!$A$9:$B$19, 2, FALSE))
)</f>
        <v>136.69999999999999</v>
      </c>
      <c r="F13" s="140">
        <f t="shared" ca="1" si="0"/>
        <v>0.62179956108266277</v>
      </c>
      <c r="H13" s="141">
        <f t="shared" si="1"/>
        <v>2018</v>
      </c>
      <c r="I13" s="142">
        <f t="shared" ca="1" si="2"/>
        <v>1318.1</v>
      </c>
      <c r="J13" s="93">
        <f t="shared" ca="1" si="3"/>
        <v>865.50000000000045</v>
      </c>
      <c r="K13" s="142">
        <f t="shared" ca="1" si="4"/>
        <v>2183.6000000000004</v>
      </c>
      <c r="L13" s="143">
        <f t="shared" ca="1" si="5"/>
        <v>0.60363619710569683</v>
      </c>
      <c r="M13" s="106"/>
      <c r="N13" s="144" t="str">
        <f t="shared" si="11"/>
        <v>2017-18</v>
      </c>
      <c r="O13" s="61">
        <f t="shared" ca="1" si="6"/>
        <v>1203.5</v>
      </c>
      <c r="P13" s="61">
        <f t="shared" ca="1" si="7"/>
        <v>774.3</v>
      </c>
      <c r="Q13" s="61">
        <f t="shared" ca="1" si="8"/>
        <v>1977.8</v>
      </c>
      <c r="R13" s="145">
        <f t="shared" ca="1" si="9"/>
        <v>0.60850439882697949</v>
      </c>
    </row>
    <row r="14" spans="1:18" x14ac:dyDescent="0.25">
      <c r="A14">
        <f t="shared" si="10"/>
        <v>2000</v>
      </c>
      <c r="B14" s="139">
        <v>36678</v>
      </c>
      <c r="C14" s="146">
        <f ca="1">IF(ISBLANK(OFFSET('Min. Expl. By Commodity (Data)'!D13, 0, VLOOKUP($C$7, 'Min. Expl. By Commodity (Data)'!$A$9:$B$19, 2, FALSE))),
        "",
        OFFSET('Min. Expl. By Commodity (Data)'!D13, 0, VLOOKUP($C$7, 'Min. Expl. By Commodity (Data)'!$A$9:$B$19, 2, FALSE))
)</f>
        <v>113.3</v>
      </c>
      <c r="D14" s="147">
        <f ca="1">IF(ISBLANK(OFFSET('Min. Expl. By Commodity (Data)'!E13, 0, VLOOKUP($C$7, 'Min. Expl. By Commodity (Data)'!$A$9:$B$19, 2, FALSE))),
        "",
        OFFSET('Min. Expl. By Commodity (Data)'!E13, 0, VLOOKUP($C$7, 'Min. Expl. By Commodity (Data)'!$A$9:$B$19, 2, FALSE))
)</f>
        <v>69.399999999999991</v>
      </c>
      <c r="E14" s="146">
        <f ca="1">IF(ISBLANK(OFFSET('Min. Expl. By Commodity (Data)'!F13, 0, VLOOKUP($C$7, 'Min. Expl. By Commodity (Data)'!$A$9:$B$19, 2, FALSE))),
        "",
        OFFSET('Min. Expl. By Commodity (Data)'!F13, 0, VLOOKUP($C$7, 'Min. Expl. By Commodity (Data)'!$A$9:$B$19, 2, FALSE))
)</f>
        <v>182.7</v>
      </c>
      <c r="F14" s="148">
        <f t="shared" ca="1" si="0"/>
        <v>0.62014230979748219</v>
      </c>
      <c r="H14" s="149">
        <f t="shared" si="1"/>
        <v>2019</v>
      </c>
      <c r="I14" s="150">
        <f t="shared" ca="1" si="2"/>
        <v>1648.1999999999998</v>
      </c>
      <c r="J14" s="151">
        <f t="shared" ca="1" si="3"/>
        <v>1000.2000000000003</v>
      </c>
      <c r="K14" s="150">
        <f t="shared" ca="1" si="4"/>
        <v>2648.4</v>
      </c>
      <c r="L14" s="152">
        <f t="shared" ca="1" si="5"/>
        <v>0.6223380154055278</v>
      </c>
      <c r="M14" s="106"/>
      <c r="N14" s="144" t="str">
        <f t="shared" si="11"/>
        <v>2018-19</v>
      </c>
      <c r="O14" s="153">
        <f t="shared" ca="1" si="6"/>
        <v>1441.9</v>
      </c>
      <c r="P14" s="153">
        <f t="shared" ca="1" si="7"/>
        <v>905.69999999999982</v>
      </c>
      <c r="Q14" s="153">
        <f t="shared" ca="1" si="8"/>
        <v>2347.6</v>
      </c>
      <c r="R14" s="154">
        <f t="shared" ca="1" si="9"/>
        <v>0.61420173794513555</v>
      </c>
    </row>
    <row r="15" spans="1:18" x14ac:dyDescent="0.25">
      <c r="A15">
        <f t="shared" si="10"/>
        <v>2000</v>
      </c>
      <c r="B15" s="139">
        <v>36770</v>
      </c>
      <c r="C15" s="15">
        <f ca="1">IF(ISBLANK(OFFSET('Min. Expl. By Commodity (Data)'!D14, 0, VLOOKUP($C$7, 'Min. Expl. By Commodity (Data)'!$A$9:$B$19, 2, FALSE))),
        "",
        OFFSET('Min. Expl. By Commodity (Data)'!D14, 0, VLOOKUP($C$7, 'Min. Expl. By Commodity (Data)'!$A$9:$B$19, 2, FALSE))
)</f>
        <v>104.4</v>
      </c>
      <c r="D15" s="16">
        <f ca="1">IF(ISBLANK(OFFSET('Min. Expl. By Commodity (Data)'!E14, 0, VLOOKUP($C$7, 'Min. Expl. By Commodity (Data)'!$A$9:$B$19, 2, FALSE))),
        "",
        OFFSET('Min. Expl. By Commodity (Data)'!E14, 0, VLOOKUP($C$7, 'Min. Expl. By Commodity (Data)'!$A$9:$B$19, 2, FALSE))
)</f>
        <v>65.400000000000006</v>
      </c>
      <c r="E15" s="15">
        <f ca="1">IF(ISBLANK(OFFSET('Min. Expl. By Commodity (Data)'!F14, 0, VLOOKUP($C$7, 'Min. Expl. By Commodity (Data)'!$A$9:$B$19, 2, FALSE))),
        "",
        OFFSET('Min. Expl. By Commodity (Data)'!F14, 0, VLOOKUP($C$7, 'Min. Expl. By Commodity (Data)'!$A$9:$B$19, 2, FALSE))
)</f>
        <v>169.8</v>
      </c>
      <c r="F15" s="140">
        <f t="shared" ca="1" si="0"/>
        <v>0.61484098939929333</v>
      </c>
      <c r="H15" s="141">
        <f t="shared" si="1"/>
        <v>2020</v>
      </c>
      <c r="I15" s="142">
        <f t="shared" ca="1" si="2"/>
        <v>1757.5</v>
      </c>
      <c r="J15" s="93">
        <f t="shared" ca="1" si="3"/>
        <v>1051.3000000000002</v>
      </c>
      <c r="K15" s="142">
        <f t="shared" ca="1" si="4"/>
        <v>2808.8</v>
      </c>
      <c r="L15" s="143">
        <f t="shared" ca="1" si="5"/>
        <v>0.62571204784961543</v>
      </c>
      <c r="M15" s="106"/>
      <c r="N15" s="144" t="str">
        <f t="shared" si="11"/>
        <v>2019-20</v>
      </c>
      <c r="O15" s="61">
        <f t="shared" ca="1" si="6"/>
        <v>1693.1</v>
      </c>
      <c r="P15" s="61">
        <f t="shared" ca="1" si="7"/>
        <v>1078.7000000000003</v>
      </c>
      <c r="Q15" s="61">
        <f t="shared" ca="1" si="8"/>
        <v>2771.8</v>
      </c>
      <c r="R15" s="145">
        <f t="shared" ca="1" si="9"/>
        <v>0.61083050725160537</v>
      </c>
    </row>
    <row r="16" spans="1:18" x14ac:dyDescent="0.25">
      <c r="A16">
        <f t="shared" si="10"/>
        <v>2000</v>
      </c>
      <c r="B16" s="139">
        <v>36861</v>
      </c>
      <c r="C16" s="146">
        <f ca="1">IF(ISBLANK(OFFSET('Min. Expl. By Commodity (Data)'!D15, 0, VLOOKUP($C$7, 'Min. Expl. By Commodity (Data)'!$A$9:$B$19, 2, FALSE))),
        "",
        OFFSET('Min. Expl. By Commodity (Data)'!D15, 0, VLOOKUP($C$7, 'Min. Expl. By Commodity (Data)'!$A$9:$B$19, 2, FALSE))
)</f>
        <v>118</v>
      </c>
      <c r="D16" s="147">
        <f ca="1">IF(ISBLANK(OFFSET('Min. Expl. By Commodity (Data)'!E15, 0, VLOOKUP($C$7, 'Min. Expl. By Commodity (Data)'!$A$9:$B$19, 2, FALSE))),
        "",
        OFFSET('Min. Expl. By Commodity (Data)'!E15, 0, VLOOKUP($C$7, 'Min. Expl. By Commodity (Data)'!$A$9:$B$19, 2, FALSE))
)</f>
        <v>69.199999999999989</v>
      </c>
      <c r="E16" s="146">
        <f ca="1">IF(ISBLANK(OFFSET('Min. Expl. By Commodity (Data)'!F15, 0, VLOOKUP($C$7, 'Min. Expl. By Commodity (Data)'!$A$9:$B$19, 2, FALSE))),
        "",
        OFFSET('Min. Expl. By Commodity (Data)'!F15, 0, VLOOKUP($C$7, 'Min. Expl. By Commodity (Data)'!$A$9:$B$19, 2, FALSE))
)</f>
        <v>187.2</v>
      </c>
      <c r="F16" s="148">
        <f t="shared" ca="1" si="0"/>
        <v>0.63034188034188043</v>
      </c>
      <c r="H16" s="149">
        <f t="shared" si="1"/>
        <v>2021</v>
      </c>
      <c r="I16" s="150">
        <f t="shared" ca="1" si="2"/>
        <v>2351.3999999999996</v>
      </c>
      <c r="J16" s="151">
        <f t="shared" ca="1" si="3"/>
        <v>1244.7000000000007</v>
      </c>
      <c r="K16" s="150">
        <f t="shared" ca="1" si="4"/>
        <v>3596.1000000000004</v>
      </c>
      <c r="L16" s="152">
        <f t="shared" ca="1" si="5"/>
        <v>0.65387503128389068</v>
      </c>
      <c r="M16" s="106"/>
      <c r="N16" s="144" t="str">
        <f t="shared" si="11"/>
        <v>2020-21</v>
      </c>
      <c r="O16" s="153">
        <f t="shared" ca="1" si="6"/>
        <v>2052.1</v>
      </c>
      <c r="P16" s="153">
        <f t="shared" ca="1" si="7"/>
        <v>1109.5999999999999</v>
      </c>
      <c r="Q16" s="153">
        <f t="shared" ca="1" si="8"/>
        <v>3161.7</v>
      </c>
      <c r="R16" s="154">
        <f t="shared" ca="1" si="9"/>
        <v>0.64904956194452357</v>
      </c>
    </row>
    <row r="17" spans="1:18" x14ac:dyDescent="0.25">
      <c r="A17">
        <f t="shared" si="10"/>
        <v>2001</v>
      </c>
      <c r="B17" s="139">
        <v>36951</v>
      </c>
      <c r="C17" s="15">
        <f ca="1">IF(ISBLANK(OFFSET('Min. Expl. By Commodity (Data)'!D16, 0, VLOOKUP($C$7, 'Min. Expl. By Commodity (Data)'!$A$9:$B$19, 2, FALSE))),
        "",
        OFFSET('Min. Expl. By Commodity (Data)'!D16, 0, VLOOKUP($C$7, 'Min. Expl. By Commodity (Data)'!$A$9:$B$19, 2, FALSE))
)</f>
        <v>90.8</v>
      </c>
      <c r="D17" s="16">
        <f ca="1">IF(ISBLANK(OFFSET('Min. Expl. By Commodity (Data)'!E16, 0, VLOOKUP($C$7, 'Min. Expl. By Commodity (Data)'!$A$9:$B$19, 2, FALSE))),
        "",
        OFFSET('Min. Expl. By Commodity (Data)'!E16, 0, VLOOKUP($C$7, 'Min. Expl. By Commodity (Data)'!$A$9:$B$19, 2, FALSE))
)</f>
        <v>52.7</v>
      </c>
      <c r="E17" s="15">
        <f ca="1">IF(ISBLANK(OFFSET('Min. Expl. By Commodity (Data)'!F16, 0, VLOOKUP($C$7, 'Min. Expl. By Commodity (Data)'!$A$9:$B$19, 2, FALSE))),
        "",
        OFFSET('Min. Expl. By Commodity (Data)'!F16, 0, VLOOKUP($C$7, 'Min. Expl. By Commodity (Data)'!$A$9:$B$19, 2, FALSE))
)</f>
        <v>143.5</v>
      </c>
      <c r="F17" s="140">
        <f t="shared" ca="1" si="0"/>
        <v>0.63275261324041809</v>
      </c>
      <c r="H17" s="141">
        <f t="shared" si="1"/>
        <v>2022</v>
      </c>
      <c r="I17" s="142">
        <f t="shared" ca="1" si="2"/>
        <v>2546.8000000000002</v>
      </c>
      <c r="J17" s="93">
        <f t="shared" ca="1" si="3"/>
        <v>1513.2999999999993</v>
      </c>
      <c r="K17" s="142">
        <f t="shared" ca="1" si="4"/>
        <v>4060.0999999999995</v>
      </c>
      <c r="L17" s="143">
        <f t="shared" ca="1" si="5"/>
        <v>0.62727519026624978</v>
      </c>
      <c r="M17" s="106"/>
      <c r="N17" s="144" t="str">
        <f t="shared" si="11"/>
        <v>2021-22</v>
      </c>
      <c r="O17" s="61">
        <f t="shared" ca="1" si="6"/>
        <v>2478.6</v>
      </c>
      <c r="P17" s="61">
        <f t="shared" ca="1" si="7"/>
        <v>1383.3000000000006</v>
      </c>
      <c r="Q17" s="61">
        <f t="shared" ca="1" si="8"/>
        <v>3861.9000000000005</v>
      </c>
      <c r="R17" s="145">
        <f t="shared" ca="1" si="9"/>
        <v>0.6418084362619435</v>
      </c>
    </row>
    <row r="18" spans="1:18" x14ac:dyDescent="0.25">
      <c r="A18">
        <f t="shared" si="10"/>
        <v>2001</v>
      </c>
      <c r="B18" s="139">
        <v>37043</v>
      </c>
      <c r="C18" s="146">
        <f ca="1">IF(ISBLANK(OFFSET('Min. Expl. By Commodity (Data)'!D17, 0, VLOOKUP($C$7, 'Min. Expl. By Commodity (Data)'!$A$9:$B$19, 2, FALSE))),
        "",
        OFFSET('Min. Expl. By Commodity (Data)'!D17, 0, VLOOKUP($C$7, 'Min. Expl. By Commodity (Data)'!$A$9:$B$19, 2, FALSE))
)</f>
        <v>110.9</v>
      </c>
      <c r="D18" s="147">
        <f ca="1">IF(ISBLANK(OFFSET('Min. Expl. By Commodity (Data)'!E17, 0, VLOOKUP($C$7, 'Min. Expl. By Commodity (Data)'!$A$9:$B$19, 2, FALSE))),
        "",
        OFFSET('Min. Expl. By Commodity (Data)'!E17, 0, VLOOKUP($C$7, 'Min. Expl. By Commodity (Data)'!$A$9:$B$19, 2, FALSE))
)</f>
        <v>71.900000000000006</v>
      </c>
      <c r="E18" s="146">
        <f ca="1">IF(ISBLANK(OFFSET('Min. Expl. By Commodity (Data)'!F17, 0, VLOOKUP($C$7, 'Min. Expl. By Commodity (Data)'!$A$9:$B$19, 2, FALSE))),
        "",
        OFFSET('Min. Expl. By Commodity (Data)'!F17, 0, VLOOKUP($C$7, 'Min. Expl. By Commodity (Data)'!$A$9:$B$19, 2, FALSE))
)</f>
        <v>182.8</v>
      </c>
      <c r="F18" s="148">
        <f t="shared" ca="1" si="0"/>
        <v>0.60667396061269141</v>
      </c>
      <c r="H18" s="149">
        <f t="shared" si="1"/>
        <v>2023</v>
      </c>
      <c r="I18" s="150">
        <f t="shared" ca="1" si="2"/>
        <v>2601.2000000000003</v>
      </c>
      <c r="J18" s="151">
        <f t="shared" ca="1" si="3"/>
        <v>1659.4</v>
      </c>
      <c r="K18" s="150">
        <f t="shared" ca="1" si="4"/>
        <v>4260.6000000000004</v>
      </c>
      <c r="L18" s="152">
        <f t="shared" ca="1" si="5"/>
        <v>0.61052433929493499</v>
      </c>
      <c r="M18" s="106"/>
      <c r="N18" s="144" t="str">
        <f t="shared" si="11"/>
        <v>2022-23</v>
      </c>
      <c r="O18" s="153">
        <f t="shared" ca="1" si="6"/>
        <v>2554.9</v>
      </c>
      <c r="P18" s="153">
        <f t="shared" ca="1" si="7"/>
        <v>1578.4999999999995</v>
      </c>
      <c r="Q18" s="153">
        <f t="shared" ca="1" si="8"/>
        <v>4133.3999999999996</v>
      </c>
      <c r="R18" s="154">
        <f t="shared" ca="1" si="9"/>
        <v>0.61811099820970639</v>
      </c>
    </row>
    <row r="19" spans="1:18" x14ac:dyDescent="0.25">
      <c r="A19">
        <f t="shared" si="10"/>
        <v>2001</v>
      </c>
      <c r="B19" s="139">
        <v>37135</v>
      </c>
      <c r="C19" s="15">
        <f ca="1">IF(ISBLANK(OFFSET('Min. Expl. By Commodity (Data)'!D18, 0, VLOOKUP($C$7, 'Min. Expl. By Commodity (Data)'!$A$9:$B$19, 2, FALSE))),
        "",
        OFFSET('Min. Expl. By Commodity (Data)'!D18, 0, VLOOKUP($C$7, 'Min. Expl. By Commodity (Data)'!$A$9:$B$19, 2, FALSE))
)</f>
        <v>103.3</v>
      </c>
      <c r="D19" s="16">
        <f ca="1">IF(ISBLANK(OFFSET('Min. Expl. By Commodity (Data)'!E18, 0, VLOOKUP($C$7, 'Min. Expl. By Commodity (Data)'!$A$9:$B$19, 2, FALSE))),
        "",
        OFFSET('Min. Expl. By Commodity (Data)'!E18, 0, VLOOKUP($C$7, 'Min. Expl. By Commodity (Data)'!$A$9:$B$19, 2, FALSE))
)</f>
        <v>64.100000000000009</v>
      </c>
      <c r="E19" s="15">
        <f ca="1">IF(ISBLANK(OFFSET('Min. Expl. By Commodity (Data)'!F18, 0, VLOOKUP($C$7, 'Min. Expl. By Commodity (Data)'!$A$9:$B$19, 2, FALSE))),
        "",
        OFFSET('Min. Expl. By Commodity (Data)'!F18, 0, VLOOKUP($C$7, 'Min. Expl. By Commodity (Data)'!$A$9:$B$19, 2, FALSE))
)</f>
        <v>167.4</v>
      </c>
      <c r="F19" s="140">
        <f t="shared" ca="1" si="0"/>
        <v>0.61708482676224607</v>
      </c>
      <c r="H19" s="141">
        <f>H20-1</f>
        <v>2024</v>
      </c>
      <c r="I19" s="142">
        <f t="shared" ca="1" si="2"/>
        <v>2514.6</v>
      </c>
      <c r="J19" s="93">
        <f t="shared" ca="1" si="3"/>
        <v>1428.1</v>
      </c>
      <c r="K19" s="142">
        <f t="shared" ca="1" si="4"/>
        <v>3942.7</v>
      </c>
      <c r="L19" s="143">
        <f t="shared" ca="1" si="5"/>
        <v>0.63778628858396536</v>
      </c>
      <c r="M19" s="106"/>
      <c r="N19" s="144" t="str">
        <f t="shared" si="11"/>
        <v>2023-24</v>
      </c>
      <c r="O19" s="61">
        <f t="shared" ca="1" si="6"/>
        <v>2583.5</v>
      </c>
      <c r="P19" s="61">
        <f t="shared" ca="1" si="7"/>
        <v>1631.1999999999998</v>
      </c>
      <c r="Q19" s="61">
        <f t="shared" ca="1" si="8"/>
        <v>4214.7</v>
      </c>
      <c r="R19" s="145">
        <f t="shared" ca="1" si="9"/>
        <v>0.61297363987946951</v>
      </c>
    </row>
    <row r="20" spans="1:18" ht="15.75" thickBot="1" x14ac:dyDescent="0.3">
      <c r="A20">
        <f t="shared" si="10"/>
        <v>2001</v>
      </c>
      <c r="B20" s="139">
        <v>37226</v>
      </c>
      <c r="C20" s="146">
        <f ca="1">IF(ISBLANK(OFFSET('Min. Expl. By Commodity (Data)'!D19, 0, VLOOKUP($C$7, 'Min. Expl. By Commodity (Data)'!$A$9:$B$19, 2, FALSE))),
        "",
        OFFSET('Min. Expl. By Commodity (Data)'!D19, 0, VLOOKUP($C$7, 'Min. Expl. By Commodity (Data)'!$A$9:$B$19, 2, FALSE))
)</f>
        <v>103.5</v>
      </c>
      <c r="D20" s="147">
        <f ca="1">IF(ISBLANK(OFFSET('Min. Expl. By Commodity (Data)'!E19, 0, VLOOKUP($C$7, 'Min. Expl. By Commodity (Data)'!$A$9:$B$19, 2, FALSE))),
        "",
        OFFSET('Min. Expl. By Commodity (Data)'!E19, 0, VLOOKUP($C$7, 'Min. Expl. By Commodity (Data)'!$A$9:$B$19, 2, FALSE))
)</f>
        <v>67.199999999999989</v>
      </c>
      <c r="E20" s="146">
        <f ca="1">IF(ISBLANK(OFFSET('Min. Expl. By Commodity (Data)'!F19, 0, VLOOKUP($C$7, 'Min. Expl. By Commodity (Data)'!$A$9:$B$19, 2, FALSE))),
        "",
        OFFSET('Min. Expl. By Commodity (Data)'!F19, 0, VLOOKUP($C$7, 'Min. Expl. By Commodity (Data)'!$A$9:$B$19, 2, FALSE))
)</f>
        <v>170.7</v>
      </c>
      <c r="F20" s="148">
        <f t="shared" ca="1" si="0"/>
        <v>0.60632688927943768</v>
      </c>
      <c r="H20" s="155">
        <f>YEAR(LARGE(B:B,4))</f>
        <v>2025</v>
      </c>
      <c r="I20" s="156">
        <f t="shared" ca="1" si="2"/>
        <v>2699</v>
      </c>
      <c r="J20" s="157">
        <f t="shared" ca="1" si="3"/>
        <v>1250.3000000000002</v>
      </c>
      <c r="K20" s="156">
        <f t="shared" ca="1" si="4"/>
        <v>3949.3</v>
      </c>
      <c r="L20" s="158">
        <f t="shared" ca="1" si="5"/>
        <v>0.68341225027220009</v>
      </c>
      <c r="M20" s="106"/>
      <c r="N20" s="159" t="str">
        <f>IF(MONTH(LARGE(B:B,4))&gt;=7, YEAR(LARGE(B:B,4)) &amp; "-" &amp; RIGHT(YEAR(LARGE(B:B,4))+1,2),
                                                               YEAR(LARGE(B:B,4))-1 &amp; "-" &amp; RIGHT(YEAR(LARGE(B:B,4)), 2)
)</f>
        <v>2024-25</v>
      </c>
      <c r="O20" s="156">
        <f t="shared" ca="1" si="6"/>
        <v>2564.9</v>
      </c>
      <c r="P20" s="156">
        <f t="shared" ca="1" si="7"/>
        <v>1263.9000000000001</v>
      </c>
      <c r="Q20" s="156">
        <f t="shared" ca="1" si="8"/>
        <v>3828.8</v>
      </c>
      <c r="R20" s="160">
        <f t="shared" ca="1" si="9"/>
        <v>0.66989657333890518</v>
      </c>
    </row>
    <row r="21" spans="1:18" x14ac:dyDescent="0.25">
      <c r="A21">
        <f t="shared" si="10"/>
        <v>2002</v>
      </c>
      <c r="B21" s="139">
        <v>37316</v>
      </c>
      <c r="C21" s="15">
        <f ca="1">IF(ISBLANK(OFFSET('Min. Expl. By Commodity (Data)'!D20, 0, VLOOKUP($C$7, 'Min. Expl. By Commodity (Data)'!$A$9:$B$19, 2, FALSE))),
        "",
        OFFSET('Min. Expl. By Commodity (Data)'!D20, 0, VLOOKUP($C$7, 'Min. Expl. By Commodity (Data)'!$A$9:$B$19, 2, FALSE))
)</f>
        <v>82.5</v>
      </c>
      <c r="D21" s="16">
        <f ca="1">IF(ISBLANK(OFFSET('Min. Expl. By Commodity (Data)'!E20, 0, VLOOKUP($C$7, 'Min. Expl. By Commodity (Data)'!$A$9:$B$19, 2, FALSE))),
        "",
        OFFSET('Min. Expl. By Commodity (Data)'!E20, 0, VLOOKUP($C$7, 'Min. Expl. By Commodity (Data)'!$A$9:$B$19, 2, FALSE))
)</f>
        <v>51.699999999999989</v>
      </c>
      <c r="E21" s="15">
        <f ca="1">IF(ISBLANK(OFFSET('Min. Expl. By Commodity (Data)'!F20, 0, VLOOKUP($C$7, 'Min. Expl. By Commodity (Data)'!$A$9:$B$19, 2, FALSE))),
        "",
        OFFSET('Min. Expl. By Commodity (Data)'!F20, 0, VLOOKUP($C$7, 'Min. Expl. By Commodity (Data)'!$A$9:$B$19, 2, FALSE))
)</f>
        <v>134.19999999999999</v>
      </c>
      <c r="F21" s="140">
        <f t="shared" ca="1" si="0"/>
        <v>0.61475409836065575</v>
      </c>
      <c r="I21" s="123"/>
      <c r="L21" s="46"/>
    </row>
    <row r="22" spans="1:18" x14ac:dyDescent="0.25">
      <c r="A22">
        <f t="shared" si="10"/>
        <v>2002</v>
      </c>
      <c r="B22" s="139">
        <v>37408</v>
      </c>
      <c r="C22" s="146">
        <f ca="1">IF(ISBLANK(OFFSET('Min. Expl. By Commodity (Data)'!D21, 0, VLOOKUP($C$7, 'Min. Expl. By Commodity (Data)'!$A$9:$B$19, 2, FALSE))),
        "",
        OFFSET('Min. Expl. By Commodity (Data)'!D21, 0, VLOOKUP($C$7, 'Min. Expl. By Commodity (Data)'!$A$9:$B$19, 2, FALSE))
)</f>
        <v>91.8</v>
      </c>
      <c r="D22" s="147">
        <f ca="1">IF(ISBLANK(OFFSET('Min. Expl. By Commodity (Data)'!E21, 0, VLOOKUP($C$7, 'Min. Expl. By Commodity (Data)'!$A$9:$B$19, 2, FALSE))),
        "",
        OFFSET('Min. Expl. By Commodity (Data)'!E21, 0, VLOOKUP($C$7, 'Min. Expl. By Commodity (Data)'!$A$9:$B$19, 2, FALSE))
)</f>
        <v>76.500000000000014</v>
      </c>
      <c r="E22" s="146">
        <f ca="1">IF(ISBLANK(OFFSET('Min. Expl. By Commodity (Data)'!F21, 0, VLOOKUP($C$7, 'Min. Expl. By Commodity (Data)'!$A$9:$B$19, 2, FALSE))),
        "",
        OFFSET('Min. Expl. By Commodity (Data)'!F21, 0, VLOOKUP($C$7, 'Min. Expl. By Commodity (Data)'!$A$9:$B$19, 2, FALSE))
)</f>
        <v>168.3</v>
      </c>
      <c r="F22" s="148">
        <f t="shared" ca="1" si="0"/>
        <v>0.54545454545454541</v>
      </c>
    </row>
    <row r="23" spans="1:18" x14ac:dyDescent="0.25">
      <c r="A23">
        <f t="shared" si="10"/>
        <v>2002</v>
      </c>
      <c r="B23" s="139">
        <v>37500</v>
      </c>
      <c r="C23" s="15">
        <f ca="1">IF(ISBLANK(OFFSET('Min. Expl. By Commodity (Data)'!D22, 0, VLOOKUP($C$7, 'Min. Expl. By Commodity (Data)'!$A$9:$B$19, 2, FALSE))),
        "",
        OFFSET('Min. Expl. By Commodity (Data)'!D22, 0, VLOOKUP($C$7, 'Min. Expl. By Commodity (Data)'!$A$9:$B$19, 2, FALSE))
)</f>
        <v>110.1</v>
      </c>
      <c r="D23" s="16">
        <f ca="1">IF(ISBLANK(OFFSET('Min. Expl. By Commodity (Data)'!E22, 0, VLOOKUP($C$7, 'Min. Expl. By Commodity (Data)'!$A$9:$B$19, 2, FALSE))),
        "",
        OFFSET('Min. Expl. By Commodity (Data)'!E22, 0, VLOOKUP($C$7, 'Min. Expl. By Commodity (Data)'!$A$9:$B$19, 2, FALSE))
)</f>
        <v>72.800000000000011</v>
      </c>
      <c r="E23" s="15">
        <f ca="1">IF(ISBLANK(OFFSET('Min. Expl. By Commodity (Data)'!F22, 0, VLOOKUP($C$7, 'Min. Expl. By Commodity (Data)'!$A$9:$B$19, 2, FALSE))),
        "",
        OFFSET('Min. Expl. By Commodity (Data)'!F22, 0, VLOOKUP($C$7, 'Min. Expl. By Commodity (Data)'!$A$9:$B$19, 2, FALSE))
)</f>
        <v>182.9</v>
      </c>
      <c r="F23" s="140">
        <f t="shared" ca="1" si="0"/>
        <v>0.60196828868233998</v>
      </c>
    </row>
    <row r="24" spans="1:18" x14ac:dyDescent="0.25">
      <c r="A24">
        <f t="shared" si="10"/>
        <v>2002</v>
      </c>
      <c r="B24" s="139">
        <v>37591</v>
      </c>
      <c r="C24" s="146">
        <f ca="1">IF(ISBLANK(OFFSET('Min. Expl. By Commodity (Data)'!D23, 0, VLOOKUP($C$7, 'Min. Expl. By Commodity (Data)'!$A$9:$B$19, 2, FALSE))),
        "",
        OFFSET('Min. Expl. By Commodity (Data)'!D23, 0, VLOOKUP($C$7, 'Min. Expl. By Commodity (Data)'!$A$9:$B$19, 2, FALSE))
)</f>
        <v>111.1</v>
      </c>
      <c r="D24" s="147">
        <f ca="1">IF(ISBLANK(OFFSET('Min. Expl. By Commodity (Data)'!E23, 0, VLOOKUP($C$7, 'Min. Expl. By Commodity (Data)'!$A$9:$B$19, 2, FALSE))),
        "",
        OFFSET('Min. Expl. By Commodity (Data)'!E23, 0, VLOOKUP($C$7, 'Min. Expl. By Commodity (Data)'!$A$9:$B$19, 2, FALSE))
)</f>
        <v>81.700000000000017</v>
      </c>
      <c r="E24" s="146">
        <f ca="1">IF(ISBLANK(OFFSET('Min. Expl. By Commodity (Data)'!F23, 0, VLOOKUP($C$7, 'Min. Expl. By Commodity (Data)'!$A$9:$B$19, 2, FALSE))),
        "",
        OFFSET('Min. Expl. By Commodity (Data)'!F23, 0, VLOOKUP($C$7, 'Min. Expl. By Commodity (Data)'!$A$9:$B$19, 2, FALSE))
)</f>
        <v>192.8</v>
      </c>
      <c r="F24" s="148">
        <f t="shared" ca="1" si="0"/>
        <v>0.57624481327800825</v>
      </c>
    </row>
    <row r="25" spans="1:18" x14ac:dyDescent="0.25">
      <c r="A25">
        <f t="shared" si="10"/>
        <v>2003</v>
      </c>
      <c r="B25" s="139">
        <v>37681</v>
      </c>
      <c r="C25" s="15">
        <f ca="1">IF(ISBLANK(OFFSET('Min. Expl. By Commodity (Data)'!D24, 0, VLOOKUP($C$7, 'Min. Expl. By Commodity (Data)'!$A$9:$B$19, 2, FALSE))),
        "",
        OFFSET('Min. Expl. By Commodity (Data)'!D24, 0, VLOOKUP($C$7, 'Min. Expl. By Commodity (Data)'!$A$9:$B$19, 2, FALSE))
)</f>
        <v>90.8</v>
      </c>
      <c r="D25" s="16">
        <f ca="1">IF(ISBLANK(OFFSET('Min. Expl. By Commodity (Data)'!E24, 0, VLOOKUP($C$7, 'Min. Expl. By Commodity (Data)'!$A$9:$B$19, 2, FALSE))),
        "",
        OFFSET('Min. Expl. By Commodity (Data)'!E24, 0, VLOOKUP($C$7, 'Min. Expl. By Commodity (Data)'!$A$9:$B$19, 2, FALSE))
)</f>
        <v>62.600000000000009</v>
      </c>
      <c r="E25" s="15">
        <f ca="1">IF(ISBLANK(OFFSET('Min. Expl. By Commodity (Data)'!F24, 0, VLOOKUP($C$7, 'Min. Expl. By Commodity (Data)'!$A$9:$B$19, 2, FALSE))),
        "",
        OFFSET('Min. Expl. By Commodity (Data)'!F24, 0, VLOOKUP($C$7, 'Min. Expl. By Commodity (Data)'!$A$9:$B$19, 2, FALSE))
)</f>
        <v>153.4</v>
      </c>
      <c r="F25" s="140">
        <f t="shared" ca="1" si="0"/>
        <v>0.59191655801825294</v>
      </c>
    </row>
    <row r="26" spans="1:18" x14ac:dyDescent="0.25">
      <c r="A26">
        <f t="shared" si="10"/>
        <v>2003</v>
      </c>
      <c r="B26" s="139">
        <v>37773</v>
      </c>
      <c r="C26" s="146">
        <f ca="1">IF(ISBLANK(OFFSET('Min. Expl. By Commodity (Data)'!D25, 0, VLOOKUP($C$7, 'Min. Expl. By Commodity (Data)'!$A$9:$B$19, 2, FALSE))),
        "",
        OFFSET('Min. Expl. By Commodity (Data)'!D25, 0, VLOOKUP($C$7, 'Min. Expl. By Commodity (Data)'!$A$9:$B$19, 2, FALSE))
)</f>
        <v>111.6</v>
      </c>
      <c r="D26" s="147">
        <f ca="1">IF(ISBLANK(OFFSET('Min. Expl. By Commodity (Data)'!E25, 0, VLOOKUP($C$7, 'Min. Expl. By Commodity (Data)'!$A$9:$B$19, 2, FALSE))),
        "",
        OFFSET('Min. Expl. By Commodity (Data)'!E25, 0, VLOOKUP($C$7, 'Min. Expl. By Commodity (Data)'!$A$9:$B$19, 2, FALSE))
)</f>
        <v>92.1</v>
      </c>
      <c r="E26" s="146">
        <f ca="1">IF(ISBLANK(OFFSET('Min. Expl. By Commodity (Data)'!F25, 0, VLOOKUP($C$7, 'Min. Expl. By Commodity (Data)'!$A$9:$B$19, 2, FALSE))),
        "",
        OFFSET('Min. Expl. By Commodity (Data)'!F25, 0, VLOOKUP($C$7, 'Min. Expl. By Commodity (Data)'!$A$9:$B$19, 2, FALSE))
)</f>
        <v>203.7</v>
      </c>
      <c r="F26" s="148">
        <f t="shared" ca="1" si="0"/>
        <v>0.54786450662739328</v>
      </c>
    </row>
    <row r="27" spans="1:18" x14ac:dyDescent="0.25">
      <c r="A27">
        <f t="shared" si="10"/>
        <v>2003</v>
      </c>
      <c r="B27" s="139">
        <v>37865</v>
      </c>
      <c r="C27" s="15">
        <f ca="1">IF(ISBLANK(OFFSET('Min. Expl. By Commodity (Data)'!D26, 0, VLOOKUP($C$7, 'Min. Expl. By Commodity (Data)'!$A$9:$B$19, 2, FALSE))),
        "",
        OFFSET('Min. Expl. By Commodity (Data)'!D26, 0, VLOOKUP($C$7, 'Min. Expl. By Commodity (Data)'!$A$9:$B$19, 2, FALSE))
)</f>
        <v>108.5</v>
      </c>
      <c r="D27" s="16">
        <f ca="1">IF(ISBLANK(OFFSET('Min. Expl. By Commodity (Data)'!E26, 0, VLOOKUP($C$7, 'Min. Expl. By Commodity (Data)'!$A$9:$B$19, 2, FALSE))),
        "",
        OFFSET('Min. Expl. By Commodity (Data)'!E26, 0, VLOOKUP($C$7, 'Min. Expl. By Commodity (Data)'!$A$9:$B$19, 2, FALSE))
)</f>
        <v>71.199999999999989</v>
      </c>
      <c r="E27" s="15">
        <f ca="1">IF(ISBLANK(OFFSET('Min. Expl. By Commodity (Data)'!F26, 0, VLOOKUP($C$7, 'Min. Expl. By Commodity (Data)'!$A$9:$B$19, 2, FALSE))),
        "",
        OFFSET('Min. Expl. By Commodity (Data)'!F26, 0, VLOOKUP($C$7, 'Min. Expl. By Commodity (Data)'!$A$9:$B$19, 2, FALSE))
)</f>
        <v>179.7</v>
      </c>
      <c r="F27" s="140">
        <f t="shared" ca="1" si="0"/>
        <v>0.60378408458542021</v>
      </c>
    </row>
    <row r="28" spans="1:18" x14ac:dyDescent="0.25">
      <c r="A28">
        <f t="shared" si="10"/>
        <v>2003</v>
      </c>
      <c r="B28" s="139">
        <v>37956</v>
      </c>
      <c r="C28" s="146">
        <f ca="1">IF(ISBLANK(OFFSET('Min. Expl. By Commodity (Data)'!D27, 0, VLOOKUP($C$7, 'Min. Expl. By Commodity (Data)'!$A$9:$B$19, 2, FALSE))),
        "",
        OFFSET('Min. Expl. By Commodity (Data)'!D27, 0, VLOOKUP($C$7, 'Min. Expl. By Commodity (Data)'!$A$9:$B$19, 2, FALSE))
)</f>
        <v>122</v>
      </c>
      <c r="D28" s="147">
        <f ca="1">IF(ISBLANK(OFFSET('Min. Expl. By Commodity (Data)'!E27, 0, VLOOKUP($C$7, 'Min. Expl. By Commodity (Data)'!$A$9:$B$19, 2, FALSE))),
        "",
        OFFSET('Min. Expl. By Commodity (Data)'!E27, 0, VLOOKUP($C$7, 'Min. Expl. By Commodity (Data)'!$A$9:$B$19, 2, FALSE))
)</f>
        <v>77.5</v>
      </c>
      <c r="E28" s="146">
        <f ca="1">IF(ISBLANK(OFFSET('Min. Expl. By Commodity (Data)'!F27, 0, VLOOKUP($C$7, 'Min. Expl. By Commodity (Data)'!$A$9:$B$19, 2, FALSE))),
        "",
        OFFSET('Min. Expl. By Commodity (Data)'!F27, 0, VLOOKUP($C$7, 'Min. Expl. By Commodity (Data)'!$A$9:$B$19, 2, FALSE))
)</f>
        <v>199.5</v>
      </c>
      <c r="F28" s="148">
        <f t="shared" ca="1" si="0"/>
        <v>0.61152882205513781</v>
      </c>
    </row>
    <row r="29" spans="1:18" x14ac:dyDescent="0.25">
      <c r="A29">
        <f t="shared" si="10"/>
        <v>2004</v>
      </c>
      <c r="B29" s="139">
        <v>38047</v>
      </c>
      <c r="C29" s="15">
        <f ca="1">IF(ISBLANK(OFFSET('Min. Expl. By Commodity (Data)'!D28, 0, VLOOKUP($C$7, 'Min. Expl. By Commodity (Data)'!$A$9:$B$19, 2, FALSE))),
        "",
        OFFSET('Min. Expl. By Commodity (Data)'!D28, 0, VLOOKUP($C$7, 'Min. Expl. By Commodity (Data)'!$A$9:$B$19, 2, FALSE))
)</f>
        <v>96.5</v>
      </c>
      <c r="D29" s="16">
        <f ca="1">IF(ISBLANK(OFFSET('Min. Expl. By Commodity (Data)'!E28, 0, VLOOKUP($C$7, 'Min. Expl. By Commodity (Data)'!$A$9:$B$19, 2, FALSE))),
        "",
        OFFSET('Min. Expl. By Commodity (Data)'!E28, 0, VLOOKUP($C$7, 'Min. Expl. By Commodity (Data)'!$A$9:$B$19, 2, FALSE))
)</f>
        <v>70.800000000000011</v>
      </c>
      <c r="E29" s="15">
        <f ca="1">IF(ISBLANK(OFFSET('Min. Expl. By Commodity (Data)'!F28, 0, VLOOKUP($C$7, 'Min. Expl. By Commodity (Data)'!$A$9:$B$19, 2, FALSE))),
        "",
        OFFSET('Min. Expl. By Commodity (Data)'!F28, 0, VLOOKUP($C$7, 'Min. Expl. By Commodity (Data)'!$A$9:$B$19, 2, FALSE))
)</f>
        <v>167.3</v>
      </c>
      <c r="F29" s="140">
        <f t="shared" ca="1" si="0"/>
        <v>0.57680812910938428</v>
      </c>
    </row>
    <row r="30" spans="1:18" x14ac:dyDescent="0.25">
      <c r="A30">
        <f t="shared" si="10"/>
        <v>2004</v>
      </c>
      <c r="B30" s="139">
        <v>38139</v>
      </c>
      <c r="C30" s="146">
        <f ca="1">IF(ISBLANK(OFFSET('Min. Expl. By Commodity (Data)'!D29, 0, VLOOKUP($C$7, 'Min. Expl. By Commodity (Data)'!$A$9:$B$19, 2, FALSE))),
        "",
        OFFSET('Min. Expl. By Commodity (Data)'!D29, 0, VLOOKUP($C$7, 'Min. Expl. By Commodity (Data)'!$A$9:$B$19, 2, FALSE))
)</f>
        <v>138.80000000000001</v>
      </c>
      <c r="D30" s="147">
        <f ca="1">IF(ISBLANK(OFFSET('Min. Expl. By Commodity (Data)'!E29, 0, VLOOKUP($C$7, 'Min. Expl. By Commodity (Data)'!$A$9:$B$19, 2, FALSE))),
        "",
        OFFSET('Min. Expl. By Commodity (Data)'!E29, 0, VLOOKUP($C$7, 'Min. Expl. By Commodity (Data)'!$A$9:$B$19, 2, FALSE))
)</f>
        <v>101.39999999999998</v>
      </c>
      <c r="E30" s="146">
        <f ca="1">IF(ISBLANK(OFFSET('Min. Expl. By Commodity (Data)'!F29, 0, VLOOKUP($C$7, 'Min. Expl. By Commodity (Data)'!$A$9:$B$19, 2, FALSE))),
        "",
        OFFSET('Min. Expl. By Commodity (Data)'!F29, 0, VLOOKUP($C$7, 'Min. Expl. By Commodity (Data)'!$A$9:$B$19, 2, FALSE))
)</f>
        <v>240.2</v>
      </c>
      <c r="F30" s="148">
        <f t="shared" ca="1" si="0"/>
        <v>0.57785179017485433</v>
      </c>
    </row>
    <row r="31" spans="1:18" x14ac:dyDescent="0.25">
      <c r="A31">
        <f t="shared" si="10"/>
        <v>2004</v>
      </c>
      <c r="B31" s="139">
        <v>38231</v>
      </c>
      <c r="C31" s="15">
        <f ca="1">IF(ISBLANK(OFFSET('Min. Expl. By Commodity (Data)'!D30, 0, VLOOKUP($C$7, 'Min. Expl. By Commodity (Data)'!$A$9:$B$19, 2, FALSE))),
        "",
        OFFSET('Min. Expl. By Commodity (Data)'!D30, 0, VLOOKUP($C$7, 'Min. Expl. By Commodity (Data)'!$A$9:$B$19, 2, FALSE))
)</f>
        <v>147.9</v>
      </c>
      <c r="D31" s="16">
        <f ca="1">IF(ISBLANK(OFFSET('Min. Expl. By Commodity (Data)'!E30, 0, VLOOKUP($C$7, 'Min. Expl. By Commodity (Data)'!$A$9:$B$19, 2, FALSE))),
        "",
        OFFSET('Min. Expl. By Commodity (Data)'!E30, 0, VLOOKUP($C$7, 'Min. Expl. By Commodity (Data)'!$A$9:$B$19, 2, FALSE))
)</f>
        <v>103.19999999999999</v>
      </c>
      <c r="E31" s="15">
        <f ca="1">IF(ISBLANK(OFFSET('Min. Expl. By Commodity (Data)'!F30, 0, VLOOKUP($C$7, 'Min. Expl. By Commodity (Data)'!$A$9:$B$19, 2, FALSE))),
        "",
        OFFSET('Min. Expl. By Commodity (Data)'!F30, 0, VLOOKUP($C$7, 'Min. Expl. By Commodity (Data)'!$A$9:$B$19, 2, FALSE))
)</f>
        <v>251.1</v>
      </c>
      <c r="F31" s="140">
        <f t="shared" ca="1" si="0"/>
        <v>0.58900836320191163</v>
      </c>
    </row>
    <row r="32" spans="1:18" x14ac:dyDescent="0.25">
      <c r="A32">
        <f t="shared" si="10"/>
        <v>2004</v>
      </c>
      <c r="B32" s="139">
        <v>38322</v>
      </c>
      <c r="C32" s="146">
        <f ca="1">IF(ISBLANK(OFFSET('Min. Expl. By Commodity (Data)'!D31, 0, VLOOKUP($C$7, 'Min. Expl. By Commodity (Data)'!$A$9:$B$19, 2, FALSE))),
        "",
        OFFSET('Min. Expl. By Commodity (Data)'!D31, 0, VLOOKUP($C$7, 'Min. Expl. By Commodity (Data)'!$A$9:$B$19, 2, FALSE))
)</f>
        <v>156.69999999999999</v>
      </c>
      <c r="D32" s="147">
        <f ca="1">IF(ISBLANK(OFFSET('Min. Expl. By Commodity (Data)'!E31, 0, VLOOKUP($C$7, 'Min. Expl. By Commodity (Data)'!$A$9:$B$19, 2, FALSE))),
        "",
        OFFSET('Min. Expl. By Commodity (Data)'!E31, 0, VLOOKUP($C$7, 'Min. Expl. By Commodity (Data)'!$A$9:$B$19, 2, FALSE))
)</f>
        <v>104.10000000000002</v>
      </c>
      <c r="E32" s="146">
        <f ca="1">IF(ISBLANK(OFFSET('Min. Expl. By Commodity (Data)'!F31, 0, VLOOKUP($C$7, 'Min. Expl. By Commodity (Data)'!$A$9:$B$19, 2, FALSE))),
        "",
        OFFSET('Min. Expl. By Commodity (Data)'!F31, 0, VLOOKUP($C$7, 'Min. Expl. By Commodity (Data)'!$A$9:$B$19, 2, FALSE))
)</f>
        <v>260.8</v>
      </c>
      <c r="F32" s="148">
        <f t="shared" ca="1" si="0"/>
        <v>0.60084355828220848</v>
      </c>
    </row>
    <row r="33" spans="1:6" x14ac:dyDescent="0.25">
      <c r="A33">
        <f t="shared" si="10"/>
        <v>2005</v>
      </c>
      <c r="B33" s="139">
        <v>38412</v>
      </c>
      <c r="C33" s="15">
        <f ca="1">IF(ISBLANK(OFFSET('Min. Expl. By Commodity (Data)'!D32, 0, VLOOKUP($C$7, 'Min. Expl. By Commodity (Data)'!$A$9:$B$19, 2, FALSE))),
        "",
        OFFSET('Min. Expl. By Commodity (Data)'!D32, 0, VLOOKUP($C$7, 'Min. Expl. By Commodity (Data)'!$A$9:$B$19, 2, FALSE))
)</f>
        <v>134.4</v>
      </c>
      <c r="D33" s="16">
        <f ca="1">IF(ISBLANK(OFFSET('Min. Expl. By Commodity (Data)'!E32, 0, VLOOKUP($C$7, 'Min. Expl. By Commodity (Data)'!$A$9:$B$19, 2, FALSE))),
        "",
        OFFSET('Min. Expl. By Commodity (Data)'!E32, 0, VLOOKUP($C$7, 'Min. Expl. By Commodity (Data)'!$A$9:$B$19, 2, FALSE))
)</f>
        <v>91.4</v>
      </c>
      <c r="E33" s="15">
        <f ca="1">IF(ISBLANK(OFFSET('Min. Expl. By Commodity (Data)'!F32, 0, VLOOKUP($C$7, 'Min. Expl. By Commodity (Data)'!$A$9:$B$19, 2, FALSE))),
        "",
        OFFSET('Min. Expl. By Commodity (Data)'!F32, 0, VLOOKUP($C$7, 'Min. Expl. By Commodity (Data)'!$A$9:$B$19, 2, FALSE))
)</f>
        <v>225.8</v>
      </c>
      <c r="F33" s="140">
        <f t="shared" ca="1" si="0"/>
        <v>0.59521700620017715</v>
      </c>
    </row>
    <row r="34" spans="1:6" x14ac:dyDescent="0.25">
      <c r="A34">
        <f t="shared" si="10"/>
        <v>2005</v>
      </c>
      <c r="B34" s="139">
        <v>38504</v>
      </c>
      <c r="C34" s="146">
        <f ca="1">IF(ISBLANK(OFFSET('Min. Expl. By Commodity (Data)'!D33, 0, VLOOKUP($C$7, 'Min. Expl. By Commodity (Data)'!$A$9:$B$19, 2, FALSE))),
        "",
        OFFSET('Min. Expl. By Commodity (Data)'!D33, 0, VLOOKUP($C$7, 'Min. Expl. By Commodity (Data)'!$A$9:$B$19, 2, FALSE))
)</f>
        <v>167</v>
      </c>
      <c r="D34" s="147">
        <f ca="1">IF(ISBLANK(OFFSET('Min. Expl. By Commodity (Data)'!E33, 0, VLOOKUP($C$7, 'Min. Expl. By Commodity (Data)'!$A$9:$B$19, 2, FALSE))),
        "",
        OFFSET('Min. Expl. By Commodity (Data)'!E33, 0, VLOOKUP($C$7, 'Min. Expl. By Commodity (Data)'!$A$9:$B$19, 2, FALSE))
)</f>
        <v>123.69999999999999</v>
      </c>
      <c r="E34" s="146">
        <f ca="1">IF(ISBLANK(OFFSET('Min. Expl. By Commodity (Data)'!F33, 0, VLOOKUP($C$7, 'Min. Expl. By Commodity (Data)'!$A$9:$B$19, 2, FALSE))),
        "",
        OFFSET('Min. Expl. By Commodity (Data)'!F33, 0, VLOOKUP($C$7, 'Min. Expl. By Commodity (Data)'!$A$9:$B$19, 2, FALSE))
)</f>
        <v>290.7</v>
      </c>
      <c r="F34" s="148">
        <f t="shared" ca="1" si="0"/>
        <v>0.57447540419676646</v>
      </c>
    </row>
    <row r="35" spans="1:6" x14ac:dyDescent="0.25">
      <c r="A35">
        <f t="shared" si="10"/>
        <v>2005</v>
      </c>
      <c r="B35" s="139">
        <v>38596</v>
      </c>
      <c r="C35" s="15">
        <f ca="1">IF(ISBLANK(OFFSET('Min. Expl. By Commodity (Data)'!D34, 0, VLOOKUP($C$7, 'Min. Expl. By Commodity (Data)'!$A$9:$B$19, 2, FALSE))),
        "",
        OFFSET('Min. Expl. By Commodity (Data)'!D34, 0, VLOOKUP($C$7, 'Min. Expl. By Commodity (Data)'!$A$9:$B$19, 2, FALSE))
)</f>
        <v>154.4</v>
      </c>
      <c r="D35" s="16">
        <f ca="1">IF(ISBLANK(OFFSET('Min. Expl. By Commodity (Data)'!E34, 0, VLOOKUP($C$7, 'Min. Expl. By Commodity (Data)'!$A$9:$B$19, 2, FALSE))),
        "",
        OFFSET('Min. Expl. By Commodity (Data)'!E34, 0, VLOOKUP($C$7, 'Min. Expl. By Commodity (Data)'!$A$9:$B$19, 2, FALSE))
)</f>
        <v>137.6</v>
      </c>
      <c r="E35" s="15">
        <f ca="1">IF(ISBLANK(OFFSET('Min. Expl. By Commodity (Data)'!F34, 0, VLOOKUP($C$7, 'Min. Expl. By Commodity (Data)'!$A$9:$B$19, 2, FALSE))),
        "",
        OFFSET('Min. Expl. By Commodity (Data)'!F34, 0, VLOOKUP($C$7, 'Min. Expl. By Commodity (Data)'!$A$9:$B$19, 2, FALSE))
)</f>
        <v>292</v>
      </c>
      <c r="F35" s="140">
        <f t="shared" ca="1" si="0"/>
        <v>0.52876712328767128</v>
      </c>
    </row>
    <row r="36" spans="1:6" x14ac:dyDescent="0.25">
      <c r="A36">
        <f t="shared" si="10"/>
        <v>2005</v>
      </c>
      <c r="B36" s="139">
        <v>38687</v>
      </c>
      <c r="C36" s="146">
        <f ca="1">IF(ISBLANK(OFFSET('Min. Expl. By Commodity (Data)'!D35, 0, VLOOKUP($C$7, 'Min. Expl. By Commodity (Data)'!$A$9:$B$19, 2, FALSE))),
        "",
        OFFSET('Min. Expl. By Commodity (Data)'!D35, 0, VLOOKUP($C$7, 'Min. Expl. By Commodity (Data)'!$A$9:$B$19, 2, FALSE))
)</f>
        <v>158</v>
      </c>
      <c r="D36" s="147">
        <f ca="1">IF(ISBLANK(OFFSET('Min. Expl. By Commodity (Data)'!E35, 0, VLOOKUP($C$7, 'Min. Expl. By Commodity (Data)'!$A$9:$B$19, 2, FALSE))),
        "",
        OFFSET('Min. Expl. By Commodity (Data)'!E35, 0, VLOOKUP($C$7, 'Min. Expl. By Commodity (Data)'!$A$9:$B$19, 2, FALSE))
)</f>
        <v>169.60000000000002</v>
      </c>
      <c r="E36" s="146">
        <f ca="1">IF(ISBLANK(OFFSET('Min. Expl. By Commodity (Data)'!F35, 0, VLOOKUP($C$7, 'Min. Expl. By Commodity (Data)'!$A$9:$B$19, 2, FALSE))),
        "",
        OFFSET('Min. Expl. By Commodity (Data)'!F35, 0, VLOOKUP($C$7, 'Min. Expl. By Commodity (Data)'!$A$9:$B$19, 2, FALSE))
)</f>
        <v>327.60000000000002</v>
      </c>
      <c r="F36" s="148">
        <f t="shared" ca="1" si="0"/>
        <v>0.48229548229548225</v>
      </c>
    </row>
    <row r="37" spans="1:6" x14ac:dyDescent="0.25">
      <c r="A37">
        <f t="shared" si="10"/>
        <v>2006</v>
      </c>
      <c r="B37" s="139">
        <v>38777</v>
      </c>
      <c r="C37" s="15">
        <f ca="1">IF(ISBLANK(OFFSET('Min. Expl. By Commodity (Data)'!D36, 0, VLOOKUP($C$7, 'Min. Expl. By Commodity (Data)'!$A$9:$B$19, 2, FALSE))),
        "",
        OFFSET('Min. Expl. By Commodity (Data)'!D36, 0, VLOOKUP($C$7, 'Min. Expl. By Commodity (Data)'!$A$9:$B$19, 2, FALSE))
)</f>
        <v>121.5</v>
      </c>
      <c r="D37" s="16">
        <f ca="1">IF(ISBLANK(OFFSET('Min. Expl. By Commodity (Data)'!E36, 0, VLOOKUP($C$7, 'Min. Expl. By Commodity (Data)'!$A$9:$B$19, 2, FALSE))),
        "",
        OFFSET('Min. Expl. By Commodity (Data)'!E36, 0, VLOOKUP($C$7, 'Min. Expl. By Commodity (Data)'!$A$9:$B$19, 2, FALSE))
)</f>
        <v>142.19999999999999</v>
      </c>
      <c r="E37" s="15">
        <f ca="1">IF(ISBLANK(OFFSET('Min. Expl. By Commodity (Data)'!F36, 0, VLOOKUP($C$7, 'Min. Expl. By Commodity (Data)'!$A$9:$B$19, 2, FALSE))),
        "",
        OFFSET('Min. Expl. By Commodity (Data)'!F36, 0, VLOOKUP($C$7, 'Min. Expl. By Commodity (Data)'!$A$9:$B$19, 2, FALSE))
)</f>
        <v>263.7</v>
      </c>
      <c r="F37" s="140">
        <f t="shared" ca="1" si="0"/>
        <v>0.46075085324232085</v>
      </c>
    </row>
    <row r="38" spans="1:6" x14ac:dyDescent="0.25">
      <c r="A38">
        <f t="shared" si="10"/>
        <v>2006</v>
      </c>
      <c r="B38" s="139">
        <v>38869</v>
      </c>
      <c r="C38" s="146">
        <f ca="1">IF(ISBLANK(OFFSET('Min. Expl. By Commodity (Data)'!D37, 0, VLOOKUP($C$7, 'Min. Expl. By Commodity (Data)'!$A$9:$B$19, 2, FALSE))),
        "",
        OFFSET('Min. Expl. By Commodity (Data)'!D37, 0, VLOOKUP($C$7, 'Min. Expl. By Commodity (Data)'!$A$9:$B$19, 2, FALSE))
)</f>
        <v>156.30000000000001</v>
      </c>
      <c r="D38" s="147">
        <f ca="1">IF(ISBLANK(OFFSET('Min. Expl. By Commodity (Data)'!E37, 0, VLOOKUP($C$7, 'Min. Expl. By Commodity (Data)'!$A$9:$B$19, 2, FALSE))),
        "",
        OFFSET('Min. Expl. By Commodity (Data)'!E37, 0, VLOOKUP($C$7, 'Min. Expl. By Commodity (Data)'!$A$9:$B$19, 2, FALSE))
)</f>
        <v>201.09999999999997</v>
      </c>
      <c r="E38" s="146">
        <f ca="1">IF(ISBLANK(OFFSET('Min. Expl. By Commodity (Data)'!F37, 0, VLOOKUP($C$7, 'Min. Expl. By Commodity (Data)'!$A$9:$B$19, 2, FALSE))),
        "",
        OFFSET('Min. Expl. By Commodity (Data)'!F37, 0, VLOOKUP($C$7, 'Min. Expl. By Commodity (Data)'!$A$9:$B$19, 2, FALSE))
)</f>
        <v>357.4</v>
      </c>
      <c r="F38" s="148">
        <f t="shared" ca="1" si="0"/>
        <v>0.43732512590934536</v>
      </c>
    </row>
    <row r="39" spans="1:6" x14ac:dyDescent="0.25">
      <c r="A39">
        <f t="shared" si="10"/>
        <v>2006</v>
      </c>
      <c r="B39" s="139">
        <v>38961</v>
      </c>
      <c r="C39" s="15">
        <f ca="1">IF(ISBLANK(OFFSET('Min. Expl. By Commodity (Data)'!D38, 0, VLOOKUP($C$7, 'Min. Expl. By Commodity (Data)'!$A$9:$B$19, 2, FALSE))),
        "",
        OFFSET('Min. Expl. By Commodity (Data)'!D38, 0, VLOOKUP($C$7, 'Min. Expl. By Commodity (Data)'!$A$9:$B$19, 2, FALSE))
)</f>
        <v>190.2</v>
      </c>
      <c r="D39" s="16">
        <f ca="1">IF(ISBLANK(OFFSET('Min. Expl. By Commodity (Data)'!E38, 0, VLOOKUP($C$7, 'Min. Expl. By Commodity (Data)'!$A$9:$B$19, 2, FALSE))),
        "",
        OFFSET('Min. Expl. By Commodity (Data)'!E38, 0, VLOOKUP($C$7, 'Min. Expl. By Commodity (Data)'!$A$9:$B$19, 2, FALSE))
)</f>
        <v>204.40000000000003</v>
      </c>
      <c r="E39" s="15">
        <f ca="1">IF(ISBLANK(OFFSET('Min. Expl. By Commodity (Data)'!F38, 0, VLOOKUP($C$7, 'Min. Expl. By Commodity (Data)'!$A$9:$B$19, 2, FALSE))),
        "",
        OFFSET('Min. Expl. By Commodity (Data)'!F38, 0, VLOOKUP($C$7, 'Min. Expl. By Commodity (Data)'!$A$9:$B$19, 2, FALSE))
)</f>
        <v>394.6</v>
      </c>
      <c r="F39" s="140">
        <f t="shared" ca="1" si="0"/>
        <v>0.48200709579320827</v>
      </c>
    </row>
    <row r="40" spans="1:6" x14ac:dyDescent="0.25">
      <c r="A40">
        <f t="shared" si="10"/>
        <v>2006</v>
      </c>
      <c r="B40" s="139">
        <v>39052</v>
      </c>
      <c r="C40" s="146">
        <f ca="1">IF(ISBLANK(OFFSET('Min. Expl. By Commodity (Data)'!D39, 0, VLOOKUP($C$7, 'Min. Expl. By Commodity (Data)'!$A$9:$B$19, 2, FALSE))),
        "",
        OFFSET('Min. Expl. By Commodity (Data)'!D39, 0, VLOOKUP($C$7, 'Min. Expl. By Commodity (Data)'!$A$9:$B$19, 2, FALSE))
)</f>
        <v>217.3</v>
      </c>
      <c r="D40" s="147">
        <f ca="1">IF(ISBLANK(OFFSET('Min. Expl. By Commodity (Data)'!E39, 0, VLOOKUP($C$7, 'Min. Expl. By Commodity (Data)'!$A$9:$B$19, 2, FALSE))),
        "",
        OFFSET('Min. Expl. By Commodity (Data)'!E39, 0, VLOOKUP($C$7, 'Min. Expl. By Commodity (Data)'!$A$9:$B$19, 2, FALSE))
)</f>
        <v>230.89999999999998</v>
      </c>
      <c r="E40" s="146">
        <f ca="1">IF(ISBLANK(OFFSET('Min. Expl. By Commodity (Data)'!F39, 0, VLOOKUP($C$7, 'Min. Expl. By Commodity (Data)'!$A$9:$B$19, 2, FALSE))),
        "",
        OFFSET('Min. Expl. By Commodity (Data)'!F39, 0, VLOOKUP($C$7, 'Min. Expl. By Commodity (Data)'!$A$9:$B$19, 2, FALSE))
)</f>
        <v>448.2</v>
      </c>
      <c r="F40" s="148">
        <f t="shared" ca="1" si="0"/>
        <v>0.48482820169567159</v>
      </c>
    </row>
    <row r="41" spans="1:6" x14ac:dyDescent="0.25">
      <c r="A41">
        <f t="shared" si="10"/>
        <v>2007</v>
      </c>
      <c r="B41" s="139">
        <v>39142</v>
      </c>
      <c r="C41" s="15">
        <f ca="1">IF(ISBLANK(OFFSET('Min. Expl. By Commodity (Data)'!D40, 0, VLOOKUP($C$7, 'Min. Expl. By Commodity (Data)'!$A$9:$B$19, 2, FALSE))),
        "",
        OFFSET('Min. Expl. By Commodity (Data)'!D40, 0, VLOOKUP($C$7, 'Min. Expl. By Commodity (Data)'!$A$9:$B$19, 2, FALSE))
)</f>
        <v>179.9</v>
      </c>
      <c r="D41" s="16">
        <f ca="1">IF(ISBLANK(OFFSET('Min. Expl. By Commodity (Data)'!E40, 0, VLOOKUP($C$7, 'Min. Expl. By Commodity (Data)'!$A$9:$B$19, 2, FALSE))),
        "",
        OFFSET('Min. Expl. By Commodity (Data)'!E40, 0, VLOOKUP($C$7, 'Min. Expl. By Commodity (Data)'!$A$9:$B$19, 2, FALSE))
)</f>
        <v>189.4</v>
      </c>
      <c r="E41" s="15">
        <f ca="1">IF(ISBLANK(OFFSET('Min. Expl. By Commodity (Data)'!F40, 0, VLOOKUP($C$7, 'Min. Expl. By Commodity (Data)'!$A$9:$B$19, 2, FALSE))),
        "",
        OFFSET('Min. Expl. By Commodity (Data)'!F40, 0, VLOOKUP($C$7, 'Min. Expl. By Commodity (Data)'!$A$9:$B$19, 2, FALSE))
)</f>
        <v>369.3</v>
      </c>
      <c r="F41" s="140">
        <f t="shared" ca="1" si="0"/>
        <v>0.48713782832385594</v>
      </c>
    </row>
    <row r="42" spans="1:6" x14ac:dyDescent="0.25">
      <c r="A42">
        <f t="shared" si="10"/>
        <v>2007</v>
      </c>
      <c r="B42" s="139">
        <v>39234</v>
      </c>
      <c r="C42" s="146">
        <f ca="1">IF(ISBLANK(OFFSET('Min. Expl. By Commodity (Data)'!D41, 0, VLOOKUP($C$7, 'Min. Expl. By Commodity (Data)'!$A$9:$B$19, 2, FALSE))),
        "",
        OFFSET('Min. Expl. By Commodity (Data)'!D41, 0, VLOOKUP($C$7, 'Min. Expl. By Commodity (Data)'!$A$9:$B$19, 2, FALSE))
)</f>
        <v>251.8</v>
      </c>
      <c r="D42" s="147">
        <f ca="1">IF(ISBLANK(OFFSET('Min. Expl. By Commodity (Data)'!E41, 0, VLOOKUP($C$7, 'Min. Expl. By Commodity (Data)'!$A$9:$B$19, 2, FALSE))),
        "",
        OFFSET('Min. Expl. By Commodity (Data)'!E41, 0, VLOOKUP($C$7, 'Min. Expl. By Commodity (Data)'!$A$9:$B$19, 2, FALSE))
)</f>
        <v>250.7</v>
      </c>
      <c r="E42" s="146">
        <f ca="1">IF(ISBLANK(OFFSET('Min. Expl. By Commodity (Data)'!F41, 0, VLOOKUP($C$7, 'Min. Expl. By Commodity (Data)'!$A$9:$B$19, 2, FALSE))),
        "",
        OFFSET('Min. Expl. By Commodity (Data)'!F41, 0, VLOOKUP($C$7, 'Min. Expl. By Commodity (Data)'!$A$9:$B$19, 2, FALSE))
)</f>
        <v>502.5</v>
      </c>
      <c r="F42" s="148">
        <f t="shared" ca="1" si="0"/>
        <v>0.50109452736318405</v>
      </c>
    </row>
    <row r="43" spans="1:6" x14ac:dyDescent="0.25">
      <c r="A43">
        <f t="shared" si="10"/>
        <v>2007</v>
      </c>
      <c r="B43" s="139">
        <v>39326</v>
      </c>
      <c r="C43" s="15">
        <f ca="1">IF(ISBLANK(OFFSET('Min. Expl. By Commodity (Data)'!D42, 0, VLOOKUP($C$7, 'Min. Expl. By Commodity (Data)'!$A$9:$B$19, 2, FALSE))),
        "",
        OFFSET('Min. Expl. By Commodity (Data)'!D42, 0, VLOOKUP($C$7, 'Min. Expl. By Commodity (Data)'!$A$9:$B$19, 2, FALSE))
)</f>
        <v>293.3</v>
      </c>
      <c r="D43" s="16">
        <f ca="1">IF(ISBLANK(OFFSET('Min. Expl. By Commodity (Data)'!E42, 0, VLOOKUP($C$7, 'Min. Expl. By Commodity (Data)'!$A$9:$B$19, 2, FALSE))),
        "",
        OFFSET('Min. Expl. By Commodity (Data)'!E42, 0, VLOOKUP($C$7, 'Min. Expl. By Commodity (Data)'!$A$9:$B$19, 2, FALSE))
)</f>
        <v>270.09999999999997</v>
      </c>
      <c r="E43" s="15">
        <f ca="1">IF(ISBLANK(OFFSET('Min. Expl. By Commodity (Data)'!F42, 0, VLOOKUP($C$7, 'Min. Expl. By Commodity (Data)'!$A$9:$B$19, 2, FALSE))),
        "",
        OFFSET('Min. Expl. By Commodity (Data)'!F42, 0, VLOOKUP($C$7, 'Min. Expl. By Commodity (Data)'!$A$9:$B$19, 2, FALSE))
)</f>
        <v>563.4</v>
      </c>
      <c r="F43" s="140">
        <f t="shared" ca="1" si="0"/>
        <v>0.52058927937522192</v>
      </c>
    </row>
    <row r="44" spans="1:6" x14ac:dyDescent="0.25">
      <c r="A44">
        <f t="shared" si="10"/>
        <v>2007</v>
      </c>
      <c r="B44" s="139">
        <v>39417</v>
      </c>
      <c r="C44" s="146">
        <f ca="1">IF(ISBLANK(OFFSET('Min. Expl. By Commodity (Data)'!D43, 0, VLOOKUP($C$7, 'Min. Expl. By Commodity (Data)'!$A$9:$B$19, 2, FALSE))),
        "",
        OFFSET('Min. Expl. By Commodity (Data)'!D43, 0, VLOOKUP($C$7, 'Min. Expl. By Commodity (Data)'!$A$9:$B$19, 2, FALSE))
)</f>
        <v>313.8</v>
      </c>
      <c r="D44" s="147">
        <f ca="1">IF(ISBLANK(OFFSET('Min. Expl. By Commodity (Data)'!E43, 0, VLOOKUP($C$7, 'Min. Expl. By Commodity (Data)'!$A$9:$B$19, 2, FALSE))),
        "",
        OFFSET('Min. Expl. By Commodity (Data)'!E43, 0, VLOOKUP($C$7, 'Min. Expl. By Commodity (Data)'!$A$9:$B$19, 2, FALSE))
)</f>
        <v>312.09999999999997</v>
      </c>
      <c r="E44" s="146">
        <f ca="1">IF(ISBLANK(OFFSET('Min. Expl. By Commodity (Data)'!F43, 0, VLOOKUP($C$7, 'Min. Expl. By Commodity (Data)'!$A$9:$B$19, 2, FALSE))),
        "",
        OFFSET('Min. Expl. By Commodity (Data)'!F43, 0, VLOOKUP($C$7, 'Min. Expl. By Commodity (Data)'!$A$9:$B$19, 2, FALSE))
)</f>
        <v>625.9</v>
      </c>
      <c r="F44" s="148">
        <f t="shared" ca="1" si="0"/>
        <v>0.50135804441604093</v>
      </c>
    </row>
    <row r="45" spans="1:6" x14ac:dyDescent="0.25">
      <c r="A45">
        <f t="shared" si="10"/>
        <v>2008</v>
      </c>
      <c r="B45" s="139">
        <v>39508</v>
      </c>
      <c r="C45" s="15">
        <f ca="1">IF(ISBLANK(OFFSET('Min. Expl. By Commodity (Data)'!D44, 0, VLOOKUP($C$7, 'Min. Expl. By Commodity (Data)'!$A$9:$B$19, 2, FALSE))),
        "",
        OFFSET('Min. Expl. By Commodity (Data)'!D44, 0, VLOOKUP($C$7, 'Min. Expl. By Commodity (Data)'!$A$9:$B$19, 2, FALSE))
)</f>
        <v>271.39999999999998</v>
      </c>
      <c r="D45" s="16">
        <f ca="1">IF(ISBLANK(OFFSET('Min. Expl. By Commodity (Data)'!E44, 0, VLOOKUP($C$7, 'Min. Expl. By Commodity (Data)'!$A$9:$B$19, 2, FALSE))),
        "",
        OFFSET('Min. Expl. By Commodity (Data)'!E44, 0, VLOOKUP($C$7, 'Min. Expl. By Commodity (Data)'!$A$9:$B$19, 2, FALSE))
)</f>
        <v>272.60000000000002</v>
      </c>
      <c r="E45" s="15">
        <f ca="1">IF(ISBLANK(OFFSET('Min. Expl. By Commodity (Data)'!F44, 0, VLOOKUP($C$7, 'Min. Expl. By Commodity (Data)'!$A$9:$B$19, 2, FALSE))),
        "",
        OFFSET('Min. Expl. By Commodity (Data)'!F44, 0, VLOOKUP($C$7, 'Min. Expl. By Commodity (Data)'!$A$9:$B$19, 2, FALSE))
)</f>
        <v>544</v>
      </c>
      <c r="F45" s="140">
        <f t="shared" ca="1" si="0"/>
        <v>0.49889705882352936</v>
      </c>
    </row>
    <row r="46" spans="1:6" x14ac:dyDescent="0.25">
      <c r="A46">
        <f t="shared" si="10"/>
        <v>2008</v>
      </c>
      <c r="B46" s="139">
        <v>39600</v>
      </c>
      <c r="C46" s="146">
        <f ca="1">IF(ISBLANK(OFFSET('Min. Expl. By Commodity (Data)'!D45, 0, VLOOKUP($C$7, 'Min. Expl. By Commodity (Data)'!$A$9:$B$19, 2, FALSE))),
        "",
        OFFSET('Min. Expl. By Commodity (Data)'!D45, 0, VLOOKUP($C$7, 'Min. Expl. By Commodity (Data)'!$A$9:$B$19, 2, FALSE))
)</f>
        <v>381.2</v>
      </c>
      <c r="D46" s="147">
        <f ca="1">IF(ISBLANK(OFFSET('Min. Expl. By Commodity (Data)'!E45, 0, VLOOKUP($C$7, 'Min. Expl. By Commodity (Data)'!$A$9:$B$19, 2, FALSE))),
        "",
        OFFSET('Min. Expl. By Commodity (Data)'!E45, 0, VLOOKUP($C$7, 'Min. Expl. By Commodity (Data)'!$A$9:$B$19, 2, FALSE))
)</f>
        <v>346.90000000000003</v>
      </c>
      <c r="E46" s="146">
        <f ca="1">IF(ISBLANK(OFFSET('Min. Expl. By Commodity (Data)'!F45, 0, VLOOKUP($C$7, 'Min. Expl. By Commodity (Data)'!$A$9:$B$19, 2, FALSE))),
        "",
        OFFSET('Min. Expl. By Commodity (Data)'!F45, 0, VLOOKUP($C$7, 'Min. Expl. By Commodity (Data)'!$A$9:$B$19, 2, FALSE))
)</f>
        <v>728.1</v>
      </c>
      <c r="F46" s="148">
        <f t="shared" ca="1" si="0"/>
        <v>0.52355445680538382</v>
      </c>
    </row>
    <row r="47" spans="1:6" x14ac:dyDescent="0.25">
      <c r="A47">
        <f t="shared" si="10"/>
        <v>2008</v>
      </c>
      <c r="B47" s="139">
        <v>39692</v>
      </c>
      <c r="C47" s="15">
        <f ca="1">IF(ISBLANK(OFFSET('Min. Expl. By Commodity (Data)'!D46, 0, VLOOKUP($C$7, 'Min. Expl. By Commodity (Data)'!$A$9:$B$19, 2, FALSE))),
        "",
        OFFSET('Min. Expl. By Commodity (Data)'!D46, 0, VLOOKUP($C$7, 'Min. Expl. By Commodity (Data)'!$A$9:$B$19, 2, FALSE))
)</f>
        <v>383.8</v>
      </c>
      <c r="D47" s="16">
        <f ca="1">IF(ISBLANK(OFFSET('Min. Expl. By Commodity (Data)'!E46, 0, VLOOKUP($C$7, 'Min. Expl. By Commodity (Data)'!$A$9:$B$19, 2, FALSE))),
        "",
        OFFSET('Min. Expl. By Commodity (Data)'!E46, 0, VLOOKUP($C$7, 'Min. Expl. By Commodity (Data)'!$A$9:$B$19, 2, FALSE))
)</f>
        <v>303.90000000000003</v>
      </c>
      <c r="E47" s="15">
        <f ca="1">IF(ISBLANK(OFFSET('Min. Expl. By Commodity (Data)'!F46, 0, VLOOKUP($C$7, 'Min. Expl. By Commodity (Data)'!$A$9:$B$19, 2, FALSE))),
        "",
        OFFSET('Min. Expl. By Commodity (Data)'!F46, 0, VLOOKUP($C$7, 'Min. Expl. By Commodity (Data)'!$A$9:$B$19, 2, FALSE))
)</f>
        <v>687.7</v>
      </c>
      <c r="F47" s="140">
        <f t="shared" ca="1" si="0"/>
        <v>0.55809219136251276</v>
      </c>
    </row>
    <row r="48" spans="1:6" x14ac:dyDescent="0.25">
      <c r="A48">
        <f t="shared" si="10"/>
        <v>2008</v>
      </c>
      <c r="B48" s="139">
        <v>39783</v>
      </c>
      <c r="C48" s="146">
        <f ca="1">IF(ISBLANK(OFFSET('Min. Expl. By Commodity (Data)'!D47, 0, VLOOKUP($C$7, 'Min. Expl. By Commodity (Data)'!$A$9:$B$19, 2, FALSE))),
        "",
        OFFSET('Min. Expl. By Commodity (Data)'!D47, 0, VLOOKUP($C$7, 'Min. Expl. By Commodity (Data)'!$A$9:$B$19, 2, FALSE))
)</f>
        <v>364</v>
      </c>
      <c r="D48" s="147">
        <f ca="1">IF(ISBLANK(OFFSET('Min. Expl. By Commodity (Data)'!E47, 0, VLOOKUP($C$7, 'Min. Expl. By Commodity (Data)'!$A$9:$B$19, 2, FALSE))),
        "",
        OFFSET('Min. Expl. By Commodity (Data)'!E47, 0, VLOOKUP($C$7, 'Min. Expl. By Commodity (Data)'!$A$9:$B$19, 2, FALSE))
)</f>
        <v>284.5</v>
      </c>
      <c r="E48" s="146">
        <f ca="1">IF(ISBLANK(OFFSET('Min. Expl. By Commodity (Data)'!F47, 0, VLOOKUP($C$7, 'Min. Expl. By Commodity (Data)'!$A$9:$B$19, 2, FALSE))),
        "",
        OFFSET('Min. Expl. By Commodity (Data)'!F47, 0, VLOOKUP($C$7, 'Min. Expl. By Commodity (Data)'!$A$9:$B$19, 2, FALSE))
)</f>
        <v>648.5</v>
      </c>
      <c r="F48" s="148">
        <f t="shared" ca="1" si="0"/>
        <v>0.56129529683885893</v>
      </c>
    </row>
    <row r="49" spans="1:6" x14ac:dyDescent="0.25">
      <c r="A49">
        <f t="shared" si="10"/>
        <v>2009</v>
      </c>
      <c r="B49" s="139">
        <v>39873</v>
      </c>
      <c r="C49" s="15">
        <f ca="1">IF(ISBLANK(OFFSET('Min. Expl. By Commodity (Data)'!D48, 0, VLOOKUP($C$7, 'Min. Expl. By Commodity (Data)'!$A$9:$B$19, 2, FALSE))),
        "",
        OFFSET('Min. Expl. By Commodity (Data)'!D48, 0, VLOOKUP($C$7, 'Min. Expl. By Commodity (Data)'!$A$9:$B$19, 2, FALSE))
)</f>
        <v>224.2</v>
      </c>
      <c r="D49" s="16">
        <f ca="1">IF(ISBLANK(OFFSET('Min. Expl. By Commodity (Data)'!E48, 0, VLOOKUP($C$7, 'Min. Expl. By Commodity (Data)'!$A$9:$B$19, 2, FALSE))),
        "",
        OFFSET('Min. Expl. By Commodity (Data)'!E48, 0, VLOOKUP($C$7, 'Min. Expl. By Commodity (Data)'!$A$9:$B$19, 2, FALSE))
)</f>
        <v>179.3</v>
      </c>
      <c r="E49" s="15">
        <f ca="1">IF(ISBLANK(OFFSET('Min. Expl. By Commodity (Data)'!F48, 0, VLOOKUP($C$7, 'Min. Expl. By Commodity (Data)'!$A$9:$B$19, 2, FALSE))),
        "",
        OFFSET('Min. Expl. By Commodity (Data)'!F48, 0, VLOOKUP($C$7, 'Min. Expl. By Commodity (Data)'!$A$9:$B$19, 2, FALSE))
)</f>
        <v>403.5</v>
      </c>
      <c r="F49" s="140">
        <f t="shared" ca="1" si="0"/>
        <v>0.55563816604708793</v>
      </c>
    </row>
    <row r="50" spans="1:6" x14ac:dyDescent="0.25">
      <c r="A50">
        <f t="shared" si="10"/>
        <v>2009</v>
      </c>
      <c r="B50" s="139">
        <v>39965</v>
      </c>
      <c r="C50" s="146">
        <f ca="1">IF(ISBLANK(OFFSET('Min. Expl. By Commodity (Data)'!D49, 0, VLOOKUP($C$7, 'Min. Expl. By Commodity (Data)'!$A$9:$B$19, 2, FALSE))),
        "",
        OFFSET('Min. Expl. By Commodity (Data)'!D49, 0, VLOOKUP($C$7, 'Min. Expl. By Commodity (Data)'!$A$9:$B$19, 2, FALSE))
)</f>
        <v>274.8</v>
      </c>
      <c r="D50" s="147">
        <f ca="1">IF(ISBLANK(OFFSET('Min. Expl. By Commodity (Data)'!E49, 0, VLOOKUP($C$7, 'Min. Expl. By Commodity (Data)'!$A$9:$B$19, 2, FALSE))),
        "",
        OFFSET('Min. Expl. By Commodity (Data)'!E49, 0, VLOOKUP($C$7, 'Min. Expl. By Commodity (Data)'!$A$9:$B$19, 2, FALSE))
)</f>
        <v>208.7</v>
      </c>
      <c r="E50" s="146">
        <f ca="1">IF(ISBLANK(OFFSET('Min. Expl. By Commodity (Data)'!F49, 0, VLOOKUP($C$7, 'Min. Expl. By Commodity (Data)'!$A$9:$B$19, 2, FALSE))),
        "",
        OFFSET('Min. Expl. By Commodity (Data)'!F49, 0, VLOOKUP($C$7, 'Min. Expl. By Commodity (Data)'!$A$9:$B$19, 2, FALSE))
)</f>
        <v>483.5</v>
      </c>
      <c r="F50" s="148">
        <f t="shared" ca="1" si="0"/>
        <v>0.56835573940020689</v>
      </c>
    </row>
    <row r="51" spans="1:6" x14ac:dyDescent="0.25">
      <c r="A51">
        <f t="shared" si="10"/>
        <v>2009</v>
      </c>
      <c r="B51" s="139">
        <v>40057</v>
      </c>
      <c r="C51" s="15">
        <f ca="1">IF(ISBLANK(OFFSET('Min. Expl. By Commodity (Data)'!D50, 0, VLOOKUP($C$7, 'Min. Expl. By Commodity (Data)'!$A$9:$B$19, 2, FALSE))),
        "",
        OFFSET('Min. Expl. By Commodity (Data)'!D50, 0, VLOOKUP($C$7, 'Min. Expl. By Commodity (Data)'!$A$9:$B$19, 2, FALSE))
)</f>
        <v>298.89999999999998</v>
      </c>
      <c r="D51" s="16">
        <f ca="1">IF(ISBLANK(OFFSET('Min. Expl. By Commodity (Data)'!E50, 0, VLOOKUP($C$7, 'Min. Expl. By Commodity (Data)'!$A$9:$B$19, 2, FALSE))),
        "",
        OFFSET('Min. Expl. By Commodity (Data)'!E50, 0, VLOOKUP($C$7, 'Min. Expl. By Commodity (Data)'!$A$9:$B$19, 2, FALSE))
)</f>
        <v>258.5</v>
      </c>
      <c r="E51" s="15">
        <f ca="1">IF(ISBLANK(OFFSET('Min. Expl. By Commodity (Data)'!F50, 0, VLOOKUP($C$7, 'Min. Expl. By Commodity (Data)'!$A$9:$B$19, 2, FALSE))),
        "",
        OFFSET('Min. Expl. By Commodity (Data)'!F50, 0, VLOOKUP($C$7, 'Min. Expl. By Commodity (Data)'!$A$9:$B$19, 2, FALSE))
)</f>
        <v>557.4</v>
      </c>
      <c r="F51" s="140">
        <f t="shared" ca="1" si="0"/>
        <v>0.5362396842482956</v>
      </c>
    </row>
    <row r="52" spans="1:6" x14ac:dyDescent="0.25">
      <c r="A52">
        <f t="shared" si="10"/>
        <v>2009</v>
      </c>
      <c r="B52" s="139">
        <v>40148</v>
      </c>
      <c r="C52" s="146">
        <f ca="1">IF(ISBLANK(OFFSET('Min. Expl. By Commodity (Data)'!D51, 0, VLOOKUP($C$7, 'Min. Expl. By Commodity (Data)'!$A$9:$B$19, 2, FALSE))),
        "",
        OFFSET('Min. Expl. By Commodity (Data)'!D51, 0, VLOOKUP($C$7, 'Min. Expl. By Commodity (Data)'!$A$9:$B$19, 2, FALSE))
)</f>
        <v>321.7</v>
      </c>
      <c r="D52" s="147">
        <f ca="1">IF(ISBLANK(OFFSET('Min. Expl. By Commodity (Data)'!E51, 0, VLOOKUP($C$7, 'Min. Expl. By Commodity (Data)'!$A$9:$B$19, 2, FALSE))),
        "",
        OFFSET('Min. Expl. By Commodity (Data)'!E51, 0, VLOOKUP($C$7, 'Min. Expl. By Commodity (Data)'!$A$9:$B$19, 2, FALSE))
)</f>
        <v>257.09999999999997</v>
      </c>
      <c r="E52" s="146">
        <f ca="1">IF(ISBLANK(OFFSET('Min. Expl. By Commodity (Data)'!F51, 0, VLOOKUP($C$7, 'Min. Expl. By Commodity (Data)'!$A$9:$B$19, 2, FALSE))),
        "",
        OFFSET('Min. Expl. By Commodity (Data)'!F51, 0, VLOOKUP($C$7, 'Min. Expl. By Commodity (Data)'!$A$9:$B$19, 2, FALSE))
)</f>
        <v>578.79999999999995</v>
      </c>
      <c r="F52" s="148">
        <f t="shared" ca="1" si="0"/>
        <v>0.55580511402902555</v>
      </c>
    </row>
    <row r="53" spans="1:6" x14ac:dyDescent="0.25">
      <c r="A53">
        <f t="shared" si="10"/>
        <v>2010</v>
      </c>
      <c r="B53" s="139">
        <v>40238</v>
      </c>
      <c r="C53" s="15">
        <f ca="1">IF(ISBLANK(OFFSET('Min. Expl. By Commodity (Data)'!D52, 0, VLOOKUP($C$7, 'Min. Expl. By Commodity (Data)'!$A$9:$B$19, 2, FALSE))),
        "",
        OFFSET('Min. Expl. By Commodity (Data)'!D52, 0, VLOOKUP($C$7, 'Min. Expl. By Commodity (Data)'!$A$9:$B$19, 2, FALSE))
)</f>
        <v>257.10000000000002</v>
      </c>
      <c r="D53" s="16">
        <f ca="1">IF(ISBLANK(OFFSET('Min. Expl. By Commodity (Data)'!E52, 0, VLOOKUP($C$7, 'Min. Expl. By Commodity (Data)'!$A$9:$B$19, 2, FALSE))),
        "",
        OFFSET('Min. Expl. By Commodity (Data)'!E52, 0, VLOOKUP($C$7, 'Min. Expl. By Commodity (Data)'!$A$9:$B$19, 2, FALSE))
)</f>
        <v>202.2</v>
      </c>
      <c r="E53" s="15">
        <f ca="1">IF(ISBLANK(OFFSET('Min. Expl. By Commodity (Data)'!F52, 0, VLOOKUP($C$7, 'Min. Expl. By Commodity (Data)'!$A$9:$B$19, 2, FALSE))),
        "",
        OFFSET('Min. Expl. By Commodity (Data)'!F52, 0, VLOOKUP($C$7, 'Min. Expl. By Commodity (Data)'!$A$9:$B$19, 2, FALSE))
)</f>
        <v>459.3</v>
      </c>
      <c r="F53" s="140">
        <f t="shared" ca="1" si="0"/>
        <v>0.5597648595689092</v>
      </c>
    </row>
    <row r="54" spans="1:6" x14ac:dyDescent="0.25">
      <c r="A54">
        <f t="shared" si="10"/>
        <v>2010</v>
      </c>
      <c r="B54" s="139">
        <v>40330</v>
      </c>
      <c r="C54" s="146">
        <f ca="1">IF(ISBLANK(OFFSET('Min. Expl. By Commodity (Data)'!D53, 0, VLOOKUP($C$7, 'Min. Expl. By Commodity (Data)'!$A$9:$B$19, 2, FALSE))),
        "",
        OFFSET('Min. Expl. By Commodity (Data)'!D53, 0, VLOOKUP($C$7, 'Min. Expl. By Commodity (Data)'!$A$9:$B$19, 2, FALSE))
)</f>
        <v>366.3</v>
      </c>
      <c r="D54" s="147">
        <f ca="1">IF(ISBLANK(OFFSET('Min. Expl. By Commodity (Data)'!E53, 0, VLOOKUP($C$7, 'Min. Expl. By Commodity (Data)'!$A$9:$B$19, 2, FALSE))),
        "",
        OFFSET('Min. Expl. By Commodity (Data)'!E53, 0, VLOOKUP($C$7, 'Min. Expl. By Commodity (Data)'!$A$9:$B$19, 2, FALSE))
)</f>
        <v>270.8</v>
      </c>
      <c r="E54" s="146">
        <f ca="1">IF(ISBLANK(OFFSET('Min. Expl. By Commodity (Data)'!F53, 0, VLOOKUP($C$7, 'Min. Expl. By Commodity (Data)'!$A$9:$B$19, 2, FALSE))),
        "",
        OFFSET('Min. Expl. By Commodity (Data)'!F53, 0, VLOOKUP($C$7, 'Min. Expl. By Commodity (Data)'!$A$9:$B$19, 2, FALSE))
)</f>
        <v>637.1</v>
      </c>
      <c r="F54" s="148">
        <f t="shared" ca="1" si="0"/>
        <v>0.57494898760006274</v>
      </c>
    </row>
    <row r="55" spans="1:6" x14ac:dyDescent="0.25">
      <c r="A55">
        <f t="shared" si="10"/>
        <v>2010</v>
      </c>
      <c r="B55" s="139">
        <v>40422</v>
      </c>
      <c r="C55" s="15">
        <f ca="1">IF(ISBLANK(OFFSET('Min. Expl. By Commodity (Data)'!D54, 0, VLOOKUP($C$7, 'Min. Expl. By Commodity (Data)'!$A$9:$B$19, 2, FALSE))),
        "",
        OFFSET('Min. Expl. By Commodity (Data)'!D54, 0, VLOOKUP($C$7, 'Min. Expl. By Commodity (Data)'!$A$9:$B$19, 2, FALSE))
)</f>
        <v>384.6</v>
      </c>
      <c r="D55" s="16">
        <f ca="1">IF(ISBLANK(OFFSET('Min. Expl. By Commodity (Data)'!E54, 0, VLOOKUP($C$7, 'Min. Expl. By Commodity (Data)'!$A$9:$B$19, 2, FALSE))),
        "",
        OFFSET('Min. Expl. By Commodity (Data)'!E54, 0, VLOOKUP($C$7, 'Min. Expl. By Commodity (Data)'!$A$9:$B$19, 2, FALSE))
)</f>
        <v>284.79999999999995</v>
      </c>
      <c r="E55" s="15">
        <f ca="1">IF(ISBLANK(OFFSET('Min. Expl. By Commodity (Data)'!F54, 0, VLOOKUP($C$7, 'Min. Expl. By Commodity (Data)'!$A$9:$B$19, 2, FALSE))),
        "",
        OFFSET('Min. Expl. By Commodity (Data)'!F54, 0, VLOOKUP($C$7, 'Min. Expl. By Commodity (Data)'!$A$9:$B$19, 2, FALSE))
)</f>
        <v>669.4</v>
      </c>
      <c r="F55" s="140">
        <f t="shared" ca="1" si="0"/>
        <v>0.57454436809082765</v>
      </c>
    </row>
    <row r="56" spans="1:6" x14ac:dyDescent="0.25">
      <c r="A56">
        <f t="shared" si="10"/>
        <v>2010</v>
      </c>
      <c r="B56" s="139">
        <v>40513</v>
      </c>
      <c r="C56" s="146">
        <f ca="1">IF(ISBLANK(OFFSET('Min. Expl. By Commodity (Data)'!D55, 0, VLOOKUP($C$7, 'Min. Expl. By Commodity (Data)'!$A$9:$B$19, 2, FALSE))),
        "",
        OFFSET('Min. Expl. By Commodity (Data)'!D55, 0, VLOOKUP($C$7, 'Min. Expl. By Commodity (Data)'!$A$9:$B$19, 2, FALSE))
)</f>
        <v>393.7</v>
      </c>
      <c r="D56" s="147">
        <f ca="1">IF(ISBLANK(OFFSET('Min. Expl. By Commodity (Data)'!E55, 0, VLOOKUP($C$7, 'Min. Expl. By Commodity (Data)'!$A$9:$B$19, 2, FALSE))),
        "",
        OFFSET('Min. Expl. By Commodity (Data)'!E55, 0, VLOOKUP($C$7, 'Min. Expl. By Commodity (Data)'!$A$9:$B$19, 2, FALSE))
)</f>
        <v>330.7</v>
      </c>
      <c r="E56" s="146">
        <f ca="1">IF(ISBLANK(OFFSET('Min. Expl. By Commodity (Data)'!F55, 0, VLOOKUP($C$7, 'Min. Expl. By Commodity (Data)'!$A$9:$B$19, 2, FALSE))),
        "",
        OFFSET('Min. Expl. By Commodity (Data)'!F55, 0, VLOOKUP($C$7, 'Min. Expl. By Commodity (Data)'!$A$9:$B$19, 2, FALSE))
)</f>
        <v>724.4</v>
      </c>
      <c r="F56" s="148">
        <f t="shared" ca="1" si="0"/>
        <v>0.54348426283821094</v>
      </c>
    </row>
    <row r="57" spans="1:6" x14ac:dyDescent="0.25">
      <c r="A57">
        <f t="shared" si="10"/>
        <v>2011</v>
      </c>
      <c r="B57" s="139">
        <v>40603</v>
      </c>
      <c r="C57" s="15">
        <f ca="1">IF(ISBLANK(OFFSET('Min. Expl. By Commodity (Data)'!D56, 0, VLOOKUP($C$7, 'Min. Expl. By Commodity (Data)'!$A$9:$B$19, 2, FALSE))),
        "",
        OFFSET('Min. Expl. By Commodity (Data)'!D56, 0, VLOOKUP($C$7, 'Min. Expl. By Commodity (Data)'!$A$9:$B$19, 2, FALSE))
)</f>
        <v>362.2</v>
      </c>
      <c r="D57" s="16">
        <f ca="1">IF(ISBLANK(OFFSET('Min. Expl. By Commodity (Data)'!E56, 0, VLOOKUP($C$7, 'Min. Expl. By Commodity (Data)'!$A$9:$B$19, 2, FALSE))),
        "",
        OFFSET('Min. Expl. By Commodity (Data)'!E56, 0, VLOOKUP($C$7, 'Min. Expl. By Commodity (Data)'!$A$9:$B$19, 2, FALSE))
)</f>
        <v>287.90000000000003</v>
      </c>
      <c r="E57" s="15">
        <f ca="1">IF(ISBLANK(OFFSET('Min. Expl. By Commodity (Data)'!F56, 0, VLOOKUP($C$7, 'Min. Expl. By Commodity (Data)'!$A$9:$B$19, 2, FALSE))),
        "",
        OFFSET('Min. Expl. By Commodity (Data)'!F56, 0, VLOOKUP($C$7, 'Min. Expl. By Commodity (Data)'!$A$9:$B$19, 2, FALSE))
)</f>
        <v>650.1</v>
      </c>
      <c r="F57" s="140">
        <f t="shared" ca="1" si="0"/>
        <v>0.55714505460698349</v>
      </c>
    </row>
    <row r="58" spans="1:6" x14ac:dyDescent="0.25">
      <c r="A58">
        <f t="shared" si="10"/>
        <v>2011</v>
      </c>
      <c r="B58" s="139">
        <v>40695</v>
      </c>
      <c r="C58" s="146">
        <f ca="1">IF(ISBLANK(OFFSET('Min. Expl. By Commodity (Data)'!D57, 0, VLOOKUP($C$7, 'Min. Expl. By Commodity (Data)'!$A$9:$B$19, 2, FALSE))),
        "",
        OFFSET('Min. Expl. By Commodity (Data)'!D57, 0, VLOOKUP($C$7, 'Min. Expl. By Commodity (Data)'!$A$9:$B$19, 2, FALSE))
)</f>
        <v>449.6</v>
      </c>
      <c r="D58" s="147">
        <f ca="1">IF(ISBLANK(OFFSET('Min. Expl. By Commodity (Data)'!E57, 0, VLOOKUP($C$7, 'Min. Expl. By Commodity (Data)'!$A$9:$B$19, 2, FALSE))),
        "",
        OFFSET('Min. Expl. By Commodity (Data)'!E57, 0, VLOOKUP($C$7, 'Min. Expl. By Commodity (Data)'!$A$9:$B$19, 2, FALSE))
)</f>
        <v>457.79999999999995</v>
      </c>
      <c r="E58" s="146">
        <f ca="1">IF(ISBLANK(OFFSET('Min. Expl. By Commodity (Data)'!F57, 0, VLOOKUP($C$7, 'Min. Expl. By Commodity (Data)'!$A$9:$B$19, 2, FALSE))),
        "",
        OFFSET('Min. Expl. By Commodity (Data)'!F57, 0, VLOOKUP($C$7, 'Min. Expl. By Commodity (Data)'!$A$9:$B$19, 2, FALSE))
)</f>
        <v>907.4</v>
      </c>
      <c r="F58" s="148">
        <f t="shared" ca="1" si="0"/>
        <v>0.49548159576812878</v>
      </c>
    </row>
    <row r="59" spans="1:6" x14ac:dyDescent="0.25">
      <c r="A59">
        <f t="shared" si="10"/>
        <v>2011</v>
      </c>
      <c r="B59" s="139">
        <v>40787</v>
      </c>
      <c r="C59" s="15">
        <f ca="1">IF(ISBLANK(OFFSET('Min. Expl. By Commodity (Data)'!D58, 0, VLOOKUP($C$7, 'Min. Expl. By Commodity (Data)'!$A$9:$B$19, 2, FALSE))),
        "",
        OFFSET('Min. Expl. By Commodity (Data)'!D58, 0, VLOOKUP($C$7, 'Min. Expl. By Commodity (Data)'!$A$9:$B$19, 2, FALSE))
)</f>
        <v>481.6</v>
      </c>
      <c r="D59" s="16">
        <f ca="1">IF(ISBLANK(OFFSET('Min. Expl. By Commodity (Data)'!E58, 0, VLOOKUP($C$7, 'Min. Expl. By Commodity (Data)'!$A$9:$B$19, 2, FALSE))),
        "",
        OFFSET('Min. Expl. By Commodity (Data)'!E58, 0, VLOOKUP($C$7, 'Min. Expl. By Commodity (Data)'!$A$9:$B$19, 2, FALSE))
)</f>
        <v>501.79999999999995</v>
      </c>
      <c r="E59" s="15">
        <f ca="1">IF(ISBLANK(OFFSET('Min. Expl. By Commodity (Data)'!F58, 0, VLOOKUP($C$7, 'Min. Expl. By Commodity (Data)'!$A$9:$B$19, 2, FALSE))),
        "",
        OFFSET('Min. Expl. By Commodity (Data)'!F58, 0, VLOOKUP($C$7, 'Min. Expl. By Commodity (Data)'!$A$9:$B$19, 2, FALSE))
)</f>
        <v>983.4</v>
      </c>
      <c r="F59" s="140">
        <f t="shared" ca="1" si="0"/>
        <v>0.48972950986373809</v>
      </c>
    </row>
    <row r="60" spans="1:6" x14ac:dyDescent="0.25">
      <c r="A60">
        <f t="shared" si="10"/>
        <v>2011</v>
      </c>
      <c r="B60" s="139">
        <v>40878</v>
      </c>
      <c r="C60" s="146">
        <f ca="1">IF(ISBLANK(OFFSET('Min. Expl. By Commodity (Data)'!D59, 0, VLOOKUP($C$7, 'Min. Expl. By Commodity (Data)'!$A$9:$B$19, 2, FALSE))),
        "",
        OFFSET('Min. Expl. By Commodity (Data)'!D59, 0, VLOOKUP($C$7, 'Min. Expl. By Commodity (Data)'!$A$9:$B$19, 2, FALSE))
)</f>
        <v>531.9</v>
      </c>
      <c r="D60" s="147">
        <f ca="1">IF(ISBLANK(OFFSET('Min. Expl. By Commodity (Data)'!E59, 0, VLOOKUP($C$7, 'Min. Expl. By Commodity (Data)'!$A$9:$B$19, 2, FALSE))),
        "",
        OFFSET('Min. Expl. By Commodity (Data)'!E59, 0, VLOOKUP($C$7, 'Min. Expl. By Commodity (Data)'!$A$9:$B$19, 2, FALSE))
)</f>
        <v>500.50000000000011</v>
      </c>
      <c r="E60" s="146">
        <f ca="1">IF(ISBLANK(OFFSET('Min. Expl. By Commodity (Data)'!F59, 0, VLOOKUP($C$7, 'Min. Expl. By Commodity (Data)'!$A$9:$B$19, 2, FALSE))),
        "",
        OFFSET('Min. Expl. By Commodity (Data)'!F59, 0, VLOOKUP($C$7, 'Min. Expl. By Commodity (Data)'!$A$9:$B$19, 2, FALSE))
)</f>
        <v>1032.4000000000001</v>
      </c>
      <c r="F60" s="148">
        <f t="shared" ca="1" si="0"/>
        <v>0.51520728399845017</v>
      </c>
    </row>
    <row r="61" spans="1:6" x14ac:dyDescent="0.25">
      <c r="A61">
        <f t="shared" si="10"/>
        <v>2012</v>
      </c>
      <c r="B61" s="139">
        <v>40969</v>
      </c>
      <c r="C61" s="15">
        <f ca="1">IF(ISBLANK(OFFSET('Min. Expl. By Commodity (Data)'!D60, 0, VLOOKUP($C$7, 'Min. Expl. By Commodity (Data)'!$A$9:$B$19, 2, FALSE))),
        "",
        OFFSET('Min. Expl. By Commodity (Data)'!D60, 0, VLOOKUP($C$7, 'Min. Expl. By Commodity (Data)'!$A$9:$B$19, 2, FALSE))
)</f>
        <v>490.1</v>
      </c>
      <c r="D61" s="16">
        <f ca="1">IF(ISBLANK(OFFSET('Min. Expl. By Commodity (Data)'!E60, 0, VLOOKUP($C$7, 'Min. Expl. By Commodity (Data)'!$A$9:$B$19, 2, FALSE))),
        "",
        OFFSET('Min. Expl. By Commodity (Data)'!E60, 0, VLOOKUP($C$7, 'Min. Expl. By Commodity (Data)'!$A$9:$B$19, 2, FALSE))
)</f>
        <v>386</v>
      </c>
      <c r="E61" s="15">
        <f ca="1">IF(ISBLANK(OFFSET('Min. Expl. By Commodity (Data)'!F60, 0, VLOOKUP($C$7, 'Min. Expl. By Commodity (Data)'!$A$9:$B$19, 2, FALSE))),
        "",
        OFFSET('Min. Expl. By Commodity (Data)'!F60, 0, VLOOKUP($C$7, 'Min. Expl. By Commodity (Data)'!$A$9:$B$19, 2, FALSE))
)</f>
        <v>876.1</v>
      </c>
      <c r="F61" s="140">
        <f t="shared" ca="1" si="0"/>
        <v>0.55941102613856863</v>
      </c>
    </row>
    <row r="62" spans="1:6" x14ac:dyDescent="0.25">
      <c r="A62">
        <f t="shared" si="10"/>
        <v>2012</v>
      </c>
      <c r="B62" s="139">
        <v>41061</v>
      </c>
      <c r="C62" s="146">
        <f ca="1">IF(ISBLANK(OFFSET('Min. Expl. By Commodity (Data)'!D61, 0, VLOOKUP($C$7, 'Min. Expl. By Commodity (Data)'!$A$9:$B$19, 2, FALSE))),
        "",
        OFFSET('Min. Expl. By Commodity (Data)'!D61, 0, VLOOKUP($C$7, 'Min. Expl. By Commodity (Data)'!$A$9:$B$19, 2, FALSE))
)</f>
        <v>603.20000000000005</v>
      </c>
      <c r="D62" s="147">
        <f ca="1">IF(ISBLANK(OFFSET('Min. Expl. By Commodity (Data)'!E61, 0, VLOOKUP($C$7, 'Min. Expl. By Commodity (Data)'!$A$9:$B$19, 2, FALSE))),
        "",
        OFFSET('Min. Expl. By Commodity (Data)'!E61, 0, VLOOKUP($C$7, 'Min. Expl. By Commodity (Data)'!$A$9:$B$19, 2, FALSE))
)</f>
        <v>457.89999999999986</v>
      </c>
      <c r="E62" s="146">
        <f ca="1">IF(ISBLANK(OFFSET('Min. Expl. By Commodity (Data)'!F61, 0, VLOOKUP($C$7, 'Min. Expl. By Commodity (Data)'!$A$9:$B$19, 2, FALSE))),
        "",
        OFFSET('Min. Expl. By Commodity (Data)'!F61, 0, VLOOKUP($C$7, 'Min. Expl. By Commodity (Data)'!$A$9:$B$19, 2, FALSE))
)</f>
        <v>1061.0999999999999</v>
      </c>
      <c r="F62" s="148">
        <f t="shared" ca="1" si="0"/>
        <v>0.56846668551503166</v>
      </c>
    </row>
    <row r="63" spans="1:6" x14ac:dyDescent="0.25">
      <c r="A63">
        <f t="shared" si="10"/>
        <v>2012</v>
      </c>
      <c r="B63" s="139">
        <v>41153</v>
      </c>
      <c r="C63" s="15">
        <f ca="1">IF(ISBLANK(OFFSET('Min. Expl. By Commodity (Data)'!D62, 0, VLOOKUP($C$7, 'Min. Expl. By Commodity (Data)'!$A$9:$B$19, 2, FALSE))),
        "",
        OFFSET('Min. Expl. By Commodity (Data)'!D62, 0, VLOOKUP($C$7, 'Min. Expl. By Commodity (Data)'!$A$9:$B$19, 2, FALSE))
)</f>
        <v>488.6</v>
      </c>
      <c r="D63" s="16">
        <f ca="1">IF(ISBLANK(OFFSET('Min. Expl. By Commodity (Data)'!E62, 0, VLOOKUP($C$7, 'Min. Expl. By Commodity (Data)'!$A$9:$B$19, 2, FALSE))),
        "",
        OFFSET('Min. Expl. By Commodity (Data)'!E62, 0, VLOOKUP($C$7, 'Min. Expl. By Commodity (Data)'!$A$9:$B$19, 2, FALSE))
)</f>
        <v>406.1</v>
      </c>
      <c r="E63" s="15">
        <f ca="1">IF(ISBLANK(OFFSET('Min. Expl. By Commodity (Data)'!F62, 0, VLOOKUP($C$7, 'Min. Expl. By Commodity (Data)'!$A$9:$B$19, 2, FALSE))),
        "",
        OFFSET('Min. Expl. By Commodity (Data)'!F62, 0, VLOOKUP($C$7, 'Min. Expl. By Commodity (Data)'!$A$9:$B$19, 2, FALSE))
)</f>
        <v>894.7</v>
      </c>
      <c r="F63" s="140">
        <f t="shared" ca="1" si="0"/>
        <v>0.54610483961104284</v>
      </c>
    </row>
    <row r="64" spans="1:6" x14ac:dyDescent="0.25">
      <c r="A64">
        <f t="shared" si="10"/>
        <v>2012</v>
      </c>
      <c r="B64" s="139">
        <v>41244</v>
      </c>
      <c r="C64" s="146">
        <f ca="1">IF(ISBLANK(OFFSET('Min. Expl. By Commodity (Data)'!D63, 0, VLOOKUP($C$7, 'Min. Expl. By Commodity (Data)'!$A$9:$B$19, 2, FALSE))),
        "",
        OFFSET('Min. Expl. By Commodity (Data)'!D63, 0, VLOOKUP($C$7, 'Min. Expl. By Commodity (Data)'!$A$9:$B$19, 2, FALSE))
)</f>
        <v>470.7</v>
      </c>
      <c r="D64" s="147">
        <f ca="1">IF(ISBLANK(OFFSET('Min. Expl. By Commodity (Data)'!E63, 0, VLOOKUP($C$7, 'Min. Expl. By Commodity (Data)'!$A$9:$B$19, 2, FALSE))),
        "",
        OFFSET('Min. Expl. By Commodity (Data)'!E63, 0, VLOOKUP($C$7, 'Min. Expl. By Commodity (Data)'!$A$9:$B$19, 2, FALSE))
)</f>
        <v>353.2</v>
      </c>
      <c r="E64" s="146">
        <f ca="1">IF(ISBLANK(OFFSET('Min. Expl. By Commodity (Data)'!F63, 0, VLOOKUP($C$7, 'Min. Expl. By Commodity (Data)'!$A$9:$B$19, 2, FALSE))),
        "",
        OFFSET('Min. Expl. By Commodity (Data)'!F63, 0, VLOOKUP($C$7, 'Min. Expl. By Commodity (Data)'!$A$9:$B$19, 2, FALSE))
)</f>
        <v>823.9</v>
      </c>
      <c r="F64" s="148">
        <f t="shared" ca="1" si="0"/>
        <v>0.5713071974754218</v>
      </c>
    </row>
    <row r="65" spans="1:6" x14ac:dyDescent="0.25">
      <c r="A65">
        <f t="shared" si="10"/>
        <v>2013</v>
      </c>
      <c r="B65" s="139">
        <v>41334</v>
      </c>
      <c r="C65" s="15">
        <f ca="1">IF(ISBLANK(OFFSET('Min. Expl. By Commodity (Data)'!D64, 0, VLOOKUP($C$7, 'Min. Expl. By Commodity (Data)'!$A$9:$B$19, 2, FALSE))),
        "",
        OFFSET('Min. Expl. By Commodity (Data)'!D64, 0, VLOOKUP($C$7, 'Min. Expl. By Commodity (Data)'!$A$9:$B$19, 2, FALSE))
)</f>
        <v>421.8</v>
      </c>
      <c r="D65" s="16">
        <f ca="1">IF(ISBLANK(OFFSET('Min. Expl. By Commodity (Data)'!E64, 0, VLOOKUP($C$7, 'Min. Expl. By Commodity (Data)'!$A$9:$B$19, 2, FALSE))),
        "",
        OFFSET('Min. Expl. By Commodity (Data)'!E64, 0, VLOOKUP($C$7, 'Min. Expl. By Commodity (Data)'!$A$9:$B$19, 2, FALSE))
)</f>
        <v>250.40000000000003</v>
      </c>
      <c r="E65" s="15">
        <f ca="1">IF(ISBLANK(OFFSET('Min. Expl. By Commodity (Data)'!F64, 0, VLOOKUP($C$7, 'Min. Expl. By Commodity (Data)'!$A$9:$B$19, 2, FALSE))),
        "",
        OFFSET('Min. Expl. By Commodity (Data)'!F64, 0, VLOOKUP($C$7, 'Min. Expl. By Commodity (Data)'!$A$9:$B$19, 2, FALSE))
)</f>
        <v>672.2</v>
      </c>
      <c r="F65" s="140">
        <f t="shared" ca="1" si="0"/>
        <v>0.6274918179113359</v>
      </c>
    </row>
    <row r="66" spans="1:6" x14ac:dyDescent="0.25">
      <c r="A66">
        <f t="shared" si="10"/>
        <v>2013</v>
      </c>
      <c r="B66" s="139">
        <v>41426</v>
      </c>
      <c r="C66" s="146">
        <f ca="1">IF(ISBLANK(OFFSET('Min. Expl. By Commodity (Data)'!D65, 0, VLOOKUP($C$7, 'Min. Expl. By Commodity (Data)'!$A$9:$B$19, 2, FALSE))),
        "",
        OFFSET('Min. Expl. By Commodity (Data)'!D65, 0, VLOOKUP($C$7, 'Min. Expl. By Commodity (Data)'!$A$9:$B$19, 2, FALSE))
)</f>
        <v>382.3</v>
      </c>
      <c r="D66" s="147">
        <f ca="1">IF(ISBLANK(OFFSET('Min. Expl. By Commodity (Data)'!E65, 0, VLOOKUP($C$7, 'Min. Expl. By Commodity (Data)'!$A$9:$B$19, 2, FALSE))),
        "",
        OFFSET('Min. Expl. By Commodity (Data)'!E65, 0, VLOOKUP($C$7, 'Min. Expl. By Commodity (Data)'!$A$9:$B$19, 2, FALSE))
)</f>
        <v>282.3</v>
      </c>
      <c r="E66" s="146">
        <f ca="1">IF(ISBLANK(OFFSET('Min. Expl. By Commodity (Data)'!F65, 0, VLOOKUP($C$7, 'Min. Expl. By Commodity (Data)'!$A$9:$B$19, 2, FALSE))),
        "",
        OFFSET('Min. Expl. By Commodity (Data)'!F65, 0, VLOOKUP($C$7, 'Min. Expl. By Commodity (Data)'!$A$9:$B$19, 2, FALSE))
)</f>
        <v>664.6</v>
      </c>
      <c r="F66" s="148">
        <f t="shared" ca="1" si="0"/>
        <v>0.575233222991273</v>
      </c>
    </row>
    <row r="67" spans="1:6" x14ac:dyDescent="0.25">
      <c r="A67">
        <f t="shared" si="10"/>
        <v>2013</v>
      </c>
      <c r="B67" s="139">
        <v>41518</v>
      </c>
      <c r="C67" s="15">
        <f ca="1">IF(ISBLANK(OFFSET('Min. Expl. By Commodity (Data)'!D66, 0, VLOOKUP($C$7, 'Min. Expl. By Commodity (Data)'!$A$9:$B$19, 2, FALSE))),
        "",
        OFFSET('Min. Expl. By Commodity (Data)'!D66, 0, VLOOKUP($C$7, 'Min. Expl. By Commodity (Data)'!$A$9:$B$19, 2, FALSE))
)</f>
        <v>395.8</v>
      </c>
      <c r="D67" s="16">
        <f ca="1">IF(ISBLANK(OFFSET('Min. Expl. By Commodity (Data)'!E66, 0, VLOOKUP($C$7, 'Min. Expl. By Commodity (Data)'!$A$9:$B$19, 2, FALSE))),
        "",
        OFFSET('Min. Expl. By Commodity (Data)'!E66, 0, VLOOKUP($C$7, 'Min. Expl. By Commodity (Data)'!$A$9:$B$19, 2, FALSE))
)</f>
        <v>242.59999999999997</v>
      </c>
      <c r="E67" s="15">
        <f ca="1">IF(ISBLANK(OFFSET('Min. Expl. By Commodity (Data)'!F66, 0, VLOOKUP($C$7, 'Min. Expl. By Commodity (Data)'!$A$9:$B$19, 2, FALSE))),
        "",
        OFFSET('Min. Expl. By Commodity (Data)'!F66, 0, VLOOKUP($C$7, 'Min. Expl. By Commodity (Data)'!$A$9:$B$19, 2, FALSE))
)</f>
        <v>638.4</v>
      </c>
      <c r="F67" s="140">
        <f t="shared" ca="1" si="0"/>
        <v>0.6199874686716792</v>
      </c>
    </row>
    <row r="68" spans="1:6" x14ac:dyDescent="0.25">
      <c r="A68">
        <f t="shared" si="10"/>
        <v>2013</v>
      </c>
      <c r="B68" s="139">
        <v>41609</v>
      </c>
      <c r="C68" s="146">
        <f ca="1">IF(ISBLANK(OFFSET('Min. Expl. By Commodity (Data)'!D67, 0, VLOOKUP($C$7, 'Min. Expl. By Commodity (Data)'!$A$9:$B$19, 2, FALSE))),
        "",
        OFFSET('Min. Expl. By Commodity (Data)'!D67, 0, VLOOKUP($C$7, 'Min. Expl. By Commodity (Data)'!$A$9:$B$19, 2, FALSE))
)</f>
        <v>308.3</v>
      </c>
      <c r="D68" s="147">
        <f ca="1">IF(ISBLANK(OFFSET('Min. Expl. By Commodity (Data)'!E67, 0, VLOOKUP($C$7, 'Min. Expl. By Commodity (Data)'!$A$9:$B$19, 2, FALSE))),
        "",
        OFFSET('Min. Expl. By Commodity (Data)'!E67, 0, VLOOKUP($C$7, 'Min. Expl. By Commodity (Data)'!$A$9:$B$19, 2, FALSE))
)</f>
        <v>239.09999999999997</v>
      </c>
      <c r="E68" s="146">
        <f ca="1">IF(ISBLANK(OFFSET('Min. Expl. By Commodity (Data)'!F67, 0, VLOOKUP($C$7, 'Min. Expl. By Commodity (Data)'!$A$9:$B$19, 2, FALSE))),
        "",
        OFFSET('Min. Expl. By Commodity (Data)'!F67, 0, VLOOKUP($C$7, 'Min. Expl. By Commodity (Data)'!$A$9:$B$19, 2, FALSE))
)</f>
        <v>547.4</v>
      </c>
      <c r="F68" s="148">
        <f t="shared" ca="1" si="0"/>
        <v>0.56320789185239317</v>
      </c>
    </row>
    <row r="69" spans="1:6" x14ac:dyDescent="0.25">
      <c r="A69">
        <f t="shared" si="10"/>
        <v>2014</v>
      </c>
      <c r="B69" s="139">
        <v>41699</v>
      </c>
      <c r="C69" s="15">
        <f ca="1">IF(ISBLANK(OFFSET('Min. Expl. By Commodity (Data)'!D68, 0, VLOOKUP($C$7, 'Min. Expl. By Commodity (Data)'!$A$9:$B$19, 2, FALSE))),
        "",
        OFFSET('Min. Expl. By Commodity (Data)'!D68, 0, VLOOKUP($C$7, 'Min. Expl. By Commodity (Data)'!$A$9:$B$19, 2, FALSE))
)</f>
        <v>206.2</v>
      </c>
      <c r="D69" s="16">
        <f ca="1">IF(ISBLANK(OFFSET('Min. Expl. By Commodity (Data)'!E68, 0, VLOOKUP($C$7, 'Min. Expl. By Commodity (Data)'!$A$9:$B$19, 2, FALSE))),
        "",
        OFFSET('Min. Expl. By Commodity (Data)'!E68, 0, VLOOKUP($C$7, 'Min. Expl. By Commodity (Data)'!$A$9:$B$19, 2, FALSE))
)</f>
        <v>201.40000000000003</v>
      </c>
      <c r="E69" s="15">
        <f ca="1">IF(ISBLANK(OFFSET('Min. Expl. By Commodity (Data)'!F68, 0, VLOOKUP($C$7, 'Min. Expl. By Commodity (Data)'!$A$9:$B$19, 2, FALSE))),
        "",
        OFFSET('Min. Expl. By Commodity (Data)'!F68, 0, VLOOKUP($C$7, 'Min. Expl. By Commodity (Data)'!$A$9:$B$19, 2, FALSE))
)</f>
        <v>407.6</v>
      </c>
      <c r="F69" s="140">
        <f t="shared" ca="1" si="0"/>
        <v>0.5058881256133464</v>
      </c>
    </row>
    <row r="70" spans="1:6" x14ac:dyDescent="0.25">
      <c r="A70">
        <f t="shared" si="10"/>
        <v>2014</v>
      </c>
      <c r="B70" s="139">
        <v>41791</v>
      </c>
      <c r="C70" s="146">
        <f ca="1">IF(ISBLANK(OFFSET('Min. Expl. By Commodity (Data)'!D69, 0, VLOOKUP($C$7, 'Min. Expl. By Commodity (Data)'!$A$9:$B$19, 2, FALSE))),
        "",
        OFFSET('Min. Expl. By Commodity (Data)'!D69, 0, VLOOKUP($C$7, 'Min. Expl. By Commodity (Data)'!$A$9:$B$19, 2, FALSE))
)</f>
        <v>309.7</v>
      </c>
      <c r="D70" s="147">
        <f ca="1">IF(ISBLANK(OFFSET('Min. Expl. By Commodity (Data)'!E69, 0, VLOOKUP($C$7, 'Min. Expl. By Commodity (Data)'!$A$9:$B$19, 2, FALSE))),
        "",
        OFFSET('Min. Expl. By Commodity (Data)'!E69, 0, VLOOKUP($C$7, 'Min. Expl. By Commodity (Data)'!$A$9:$B$19, 2, FALSE))
)</f>
        <v>205.3</v>
      </c>
      <c r="E70" s="146">
        <f ca="1">IF(ISBLANK(OFFSET('Min. Expl. By Commodity (Data)'!F69, 0, VLOOKUP($C$7, 'Min. Expl. By Commodity (Data)'!$A$9:$B$19, 2, FALSE))),
        "",
        OFFSET('Min. Expl. By Commodity (Data)'!F69, 0, VLOOKUP($C$7, 'Min. Expl. By Commodity (Data)'!$A$9:$B$19, 2, FALSE))
)</f>
        <v>515</v>
      </c>
      <c r="F70" s="148">
        <f t="shared" ca="1" si="0"/>
        <v>0.6013592233009708</v>
      </c>
    </row>
    <row r="71" spans="1:6" x14ac:dyDescent="0.25">
      <c r="A71">
        <f t="shared" si="10"/>
        <v>2014</v>
      </c>
      <c r="B71" s="139">
        <v>41883</v>
      </c>
      <c r="C71" s="15">
        <f ca="1">IF(ISBLANK(OFFSET('Min. Expl. By Commodity (Data)'!D70, 0, VLOOKUP($C$7, 'Min. Expl. By Commodity (Data)'!$A$9:$B$19, 2, FALSE))),
        "",
        OFFSET('Min. Expl. By Commodity (Data)'!D70, 0, VLOOKUP($C$7, 'Min. Expl. By Commodity (Data)'!$A$9:$B$19, 2, FALSE))
)</f>
        <v>267.10000000000002</v>
      </c>
      <c r="D71" s="16">
        <f ca="1">IF(ISBLANK(OFFSET('Min. Expl. By Commodity (Data)'!E70, 0, VLOOKUP($C$7, 'Min. Expl. By Commodity (Data)'!$A$9:$B$19, 2, FALSE))),
        "",
        OFFSET('Min. Expl. By Commodity (Data)'!E70, 0, VLOOKUP($C$7, 'Min. Expl. By Commodity (Data)'!$A$9:$B$19, 2, FALSE))
)</f>
        <v>190.59999999999997</v>
      </c>
      <c r="E71" s="15">
        <f ca="1">IF(ISBLANK(OFFSET('Min. Expl. By Commodity (Data)'!F70, 0, VLOOKUP($C$7, 'Min. Expl. By Commodity (Data)'!$A$9:$B$19, 2, FALSE))),
        "",
        OFFSET('Min. Expl. By Commodity (Data)'!F70, 0, VLOOKUP($C$7, 'Min. Expl. By Commodity (Data)'!$A$9:$B$19, 2, FALSE))
)</f>
        <v>457.7</v>
      </c>
      <c r="F71" s="140">
        <f t="shared" ca="1" si="0"/>
        <v>0.58357002403320957</v>
      </c>
    </row>
    <row r="72" spans="1:6" x14ac:dyDescent="0.25">
      <c r="A72">
        <f t="shared" si="10"/>
        <v>2014</v>
      </c>
      <c r="B72" s="139">
        <v>41974</v>
      </c>
      <c r="C72" s="146">
        <f ca="1">IF(ISBLANK(OFFSET('Min. Expl. By Commodity (Data)'!D71, 0, VLOOKUP($C$7, 'Min. Expl. By Commodity (Data)'!$A$9:$B$19, 2, FALSE))),
        "",
        OFFSET('Min. Expl. By Commodity (Data)'!D71, 0, VLOOKUP($C$7, 'Min. Expl. By Commodity (Data)'!$A$9:$B$19, 2, FALSE))
)</f>
        <v>262.3</v>
      </c>
      <c r="D72" s="147">
        <f ca="1">IF(ISBLANK(OFFSET('Min. Expl. By Commodity (Data)'!E71, 0, VLOOKUP($C$7, 'Min. Expl. By Commodity (Data)'!$A$9:$B$19, 2, FALSE))),
        "",
        OFFSET('Min. Expl. By Commodity (Data)'!E71, 0, VLOOKUP($C$7, 'Min. Expl. By Commodity (Data)'!$A$9:$B$19, 2, FALSE))
)</f>
        <v>196.89999999999998</v>
      </c>
      <c r="E72" s="146">
        <f ca="1">IF(ISBLANK(OFFSET('Min. Expl. By Commodity (Data)'!F71, 0, VLOOKUP($C$7, 'Min. Expl. By Commodity (Data)'!$A$9:$B$19, 2, FALSE))),
        "",
        OFFSET('Min. Expl. By Commodity (Data)'!F71, 0, VLOOKUP($C$7, 'Min. Expl. By Commodity (Data)'!$A$9:$B$19, 2, FALSE))
)</f>
        <v>459.2</v>
      </c>
      <c r="F72" s="148">
        <f t="shared" ca="1" si="0"/>
        <v>0.57121080139372826</v>
      </c>
    </row>
    <row r="73" spans="1:6" x14ac:dyDescent="0.25">
      <c r="A73">
        <f t="shared" si="10"/>
        <v>2015</v>
      </c>
      <c r="B73" s="139">
        <v>42064</v>
      </c>
      <c r="C73" s="15">
        <f ca="1">IF(ISBLANK(OFFSET('Min. Expl. By Commodity (Data)'!D72, 0, VLOOKUP($C$7, 'Min. Expl. By Commodity (Data)'!$A$9:$B$19, 2, FALSE))),
        "",
        OFFSET('Min. Expl. By Commodity (Data)'!D72, 0, VLOOKUP($C$7, 'Min. Expl. By Commodity (Data)'!$A$9:$B$19, 2, FALSE))
)</f>
        <v>183.2</v>
      </c>
      <c r="D73" s="16">
        <f ca="1">IF(ISBLANK(OFFSET('Min. Expl. By Commodity (Data)'!E72, 0, VLOOKUP($C$7, 'Min. Expl. By Commodity (Data)'!$A$9:$B$19, 2, FALSE))),
        "",
        OFFSET('Min. Expl. By Commodity (Data)'!E72, 0, VLOOKUP($C$7, 'Min. Expl. By Commodity (Data)'!$A$9:$B$19, 2, FALSE))
)</f>
        <v>134.5</v>
      </c>
      <c r="E73" s="15">
        <f ca="1">IF(ISBLANK(OFFSET('Min. Expl. By Commodity (Data)'!F72, 0, VLOOKUP($C$7, 'Min. Expl. By Commodity (Data)'!$A$9:$B$19, 2, FALSE))),
        "",
        OFFSET('Min. Expl. By Commodity (Data)'!F72, 0, VLOOKUP($C$7, 'Min. Expl. By Commodity (Data)'!$A$9:$B$19, 2, FALSE))
)</f>
        <v>317.7</v>
      </c>
      <c r="F73" s="140">
        <f t="shared" ca="1" si="0"/>
        <v>0.57664463330185711</v>
      </c>
    </row>
    <row r="74" spans="1:6" x14ac:dyDescent="0.25">
      <c r="A74">
        <f t="shared" si="10"/>
        <v>2015</v>
      </c>
      <c r="B74" s="139">
        <v>42156</v>
      </c>
      <c r="C74" s="146">
        <f ca="1">IF(ISBLANK(OFFSET('Min. Expl. By Commodity (Data)'!D73, 0, VLOOKUP($C$7, 'Min. Expl. By Commodity (Data)'!$A$9:$B$19, 2, FALSE))),
        "",
        OFFSET('Min. Expl. By Commodity (Data)'!D73, 0, VLOOKUP($C$7, 'Min. Expl. By Commodity (Data)'!$A$9:$B$19, 2, FALSE))
)</f>
        <v>204.8</v>
      </c>
      <c r="D74" s="147">
        <f ca="1">IF(ISBLANK(OFFSET('Min. Expl. By Commodity (Data)'!E73, 0, VLOOKUP($C$7, 'Min. Expl. By Commodity (Data)'!$A$9:$B$19, 2, FALSE))),
        "",
        OFFSET('Min. Expl. By Commodity (Data)'!E73, 0, VLOOKUP($C$7, 'Min. Expl. By Commodity (Data)'!$A$9:$B$19, 2, FALSE))
)</f>
        <v>139.30000000000001</v>
      </c>
      <c r="E74" s="146">
        <f ca="1">IF(ISBLANK(OFFSET('Min. Expl. By Commodity (Data)'!F73, 0, VLOOKUP($C$7, 'Min. Expl. By Commodity (Data)'!$A$9:$B$19, 2, FALSE))),
        "",
        OFFSET('Min. Expl. By Commodity (Data)'!F73, 0, VLOOKUP($C$7, 'Min. Expl. By Commodity (Data)'!$A$9:$B$19, 2, FALSE))
)</f>
        <v>344.1</v>
      </c>
      <c r="F74" s="148">
        <f t="shared" ca="1" si="0"/>
        <v>0.59517582098227262</v>
      </c>
    </row>
    <row r="75" spans="1:6" x14ac:dyDescent="0.25">
      <c r="A75">
        <f t="shared" si="10"/>
        <v>2015</v>
      </c>
      <c r="B75" s="139">
        <v>42248</v>
      </c>
      <c r="C75" s="15">
        <f ca="1">IF(ISBLANK(OFFSET('Min. Expl. By Commodity (Data)'!D74, 0, VLOOKUP($C$7, 'Min. Expl. By Commodity (Data)'!$A$9:$B$19, 2, FALSE))),
        "",
        OFFSET('Min. Expl. By Commodity (Data)'!D74, 0, VLOOKUP($C$7, 'Min. Expl. By Commodity (Data)'!$A$9:$B$19, 2, FALSE))
)</f>
        <v>233.1</v>
      </c>
      <c r="D75" s="16">
        <f ca="1">IF(ISBLANK(OFFSET('Min. Expl. By Commodity (Data)'!E74, 0, VLOOKUP($C$7, 'Min. Expl. By Commodity (Data)'!$A$9:$B$19, 2, FALSE))),
        "",
        OFFSET('Min. Expl. By Commodity (Data)'!E74, 0, VLOOKUP($C$7, 'Min. Expl. By Commodity (Data)'!$A$9:$B$19, 2, FALSE))
)</f>
        <v>160.9</v>
      </c>
      <c r="E75" s="15">
        <f ca="1">IF(ISBLANK(OFFSET('Min. Expl. By Commodity (Data)'!F74, 0, VLOOKUP($C$7, 'Min. Expl. By Commodity (Data)'!$A$9:$B$19, 2, FALSE))),
        "",
        OFFSET('Min. Expl. By Commodity (Data)'!F74, 0, VLOOKUP($C$7, 'Min. Expl. By Commodity (Data)'!$A$9:$B$19, 2, FALSE))
)</f>
        <v>394</v>
      </c>
      <c r="F75" s="140">
        <f t="shared" ref="F75:F108" ca="1" si="12">IF(OR(C75="", E75=""), "n/a", C75/E75)</f>
        <v>0.59162436548223352</v>
      </c>
    </row>
    <row r="76" spans="1:6" x14ac:dyDescent="0.25">
      <c r="A76">
        <f t="shared" ref="A76:A139" si="13">YEAR(B76)</f>
        <v>2015</v>
      </c>
      <c r="B76" s="139">
        <v>42339</v>
      </c>
      <c r="C76" s="146">
        <f ca="1">IF(ISBLANK(OFFSET('Min. Expl. By Commodity (Data)'!D75, 0, VLOOKUP($C$7, 'Min. Expl. By Commodity (Data)'!$A$9:$B$19, 2, FALSE))),
        "",
        OFFSET('Min. Expl. By Commodity (Data)'!D75, 0, VLOOKUP($C$7, 'Min. Expl. By Commodity (Data)'!$A$9:$B$19, 2, FALSE))
)</f>
        <v>222.6</v>
      </c>
      <c r="D76" s="147">
        <f ca="1">IF(ISBLANK(OFFSET('Min. Expl. By Commodity (Data)'!E75, 0, VLOOKUP($C$7, 'Min. Expl. By Commodity (Data)'!$A$9:$B$19, 2, FALSE))),
        "",
        OFFSET('Min. Expl. By Commodity (Data)'!E75, 0, VLOOKUP($C$7, 'Min. Expl. By Commodity (Data)'!$A$9:$B$19, 2, FALSE))
)</f>
        <v>160.20000000000002</v>
      </c>
      <c r="E76" s="146">
        <f ca="1">IF(ISBLANK(OFFSET('Min. Expl. By Commodity (Data)'!F75, 0, VLOOKUP($C$7, 'Min. Expl. By Commodity (Data)'!$A$9:$B$19, 2, FALSE))),
        "",
        OFFSET('Min. Expl. By Commodity (Data)'!F75, 0, VLOOKUP($C$7, 'Min. Expl. By Commodity (Data)'!$A$9:$B$19, 2, FALSE))
)</f>
        <v>382.8</v>
      </c>
      <c r="F76" s="148">
        <f t="shared" ca="1" si="12"/>
        <v>0.58150470219435735</v>
      </c>
    </row>
    <row r="77" spans="1:6" x14ac:dyDescent="0.25">
      <c r="A77">
        <f t="shared" si="13"/>
        <v>2016</v>
      </c>
      <c r="B77" s="139">
        <v>42430</v>
      </c>
      <c r="C77" s="15">
        <f ca="1">IF(ISBLANK(OFFSET('Min. Expl. By Commodity (Data)'!D76, 0, VLOOKUP($C$7, 'Min. Expl. By Commodity (Data)'!$A$9:$B$19, 2, FALSE))),
        "",
        OFFSET('Min. Expl. By Commodity (Data)'!D76, 0, VLOOKUP($C$7, 'Min. Expl. By Commodity (Data)'!$A$9:$B$19, 2, FALSE))
)</f>
        <v>187.1</v>
      </c>
      <c r="D77" s="16">
        <f ca="1">IF(ISBLANK(OFFSET('Min. Expl. By Commodity (Data)'!E76, 0, VLOOKUP($C$7, 'Min. Expl. By Commodity (Data)'!$A$9:$B$19, 2, FALSE))),
        "",
        OFFSET('Min. Expl. By Commodity (Data)'!E76, 0, VLOOKUP($C$7, 'Min. Expl. By Commodity (Data)'!$A$9:$B$19, 2, FALSE))
)</f>
        <v>103.29999999999998</v>
      </c>
      <c r="E77" s="15">
        <f ca="1">IF(ISBLANK(OFFSET('Min. Expl. By Commodity (Data)'!F76, 0, VLOOKUP($C$7, 'Min. Expl. By Commodity (Data)'!$A$9:$B$19, 2, FALSE))),
        "",
        OFFSET('Min. Expl. By Commodity (Data)'!F76, 0, VLOOKUP($C$7, 'Min. Expl. By Commodity (Data)'!$A$9:$B$19, 2, FALSE))
)</f>
        <v>290.39999999999998</v>
      </c>
      <c r="F77" s="140">
        <f t="shared" ca="1" si="12"/>
        <v>0.64428374655647391</v>
      </c>
    </row>
    <row r="78" spans="1:6" x14ac:dyDescent="0.25">
      <c r="A78">
        <f t="shared" si="13"/>
        <v>2016</v>
      </c>
      <c r="B78" s="139">
        <v>42522</v>
      </c>
      <c r="C78" s="146">
        <f ca="1">IF(ISBLANK(OFFSET('Min. Expl. By Commodity (Data)'!D77, 0, VLOOKUP($C$7, 'Min. Expl. By Commodity (Data)'!$A$9:$B$19, 2, FALSE))),
        "",
        OFFSET('Min. Expl. By Commodity (Data)'!D77, 0, VLOOKUP($C$7, 'Min. Expl. By Commodity (Data)'!$A$9:$B$19, 2, FALSE))
)</f>
        <v>228.2</v>
      </c>
      <c r="D78" s="147">
        <f ca="1">IF(ISBLANK(OFFSET('Min. Expl. By Commodity (Data)'!E77, 0, VLOOKUP($C$7, 'Min. Expl. By Commodity (Data)'!$A$9:$B$19, 2, FALSE))),
        "",
        OFFSET('Min. Expl. By Commodity (Data)'!E77, 0, VLOOKUP($C$7, 'Min. Expl. By Commodity (Data)'!$A$9:$B$19, 2, FALSE))
)</f>
        <v>125.69999999999999</v>
      </c>
      <c r="E78" s="146">
        <f ca="1">IF(ISBLANK(OFFSET('Min. Expl. By Commodity (Data)'!F77, 0, VLOOKUP($C$7, 'Min. Expl. By Commodity (Data)'!$A$9:$B$19, 2, FALSE))),
        "",
        OFFSET('Min. Expl. By Commodity (Data)'!F77, 0, VLOOKUP($C$7, 'Min. Expl. By Commodity (Data)'!$A$9:$B$19, 2, FALSE))
)</f>
        <v>353.9</v>
      </c>
      <c r="F78" s="148">
        <f t="shared" ca="1" si="12"/>
        <v>0.64481491946877645</v>
      </c>
    </row>
    <row r="79" spans="1:6" x14ac:dyDescent="0.25">
      <c r="A79">
        <f t="shared" si="13"/>
        <v>2016</v>
      </c>
      <c r="B79" s="139">
        <v>42614</v>
      </c>
      <c r="C79" s="15">
        <f ca="1">IF(ISBLANK(OFFSET('Min. Expl. By Commodity (Data)'!D78, 0, VLOOKUP($C$7, 'Min. Expl. By Commodity (Data)'!$A$9:$B$19, 2, FALSE))),
        "",
        OFFSET('Min. Expl. By Commodity (Data)'!D78, 0, VLOOKUP($C$7, 'Min. Expl. By Commodity (Data)'!$A$9:$B$19, 2, FALSE))
)</f>
        <v>248.8</v>
      </c>
      <c r="D79" s="16">
        <f ca="1">IF(ISBLANK(OFFSET('Min. Expl. By Commodity (Data)'!E78, 0, VLOOKUP($C$7, 'Min. Expl. By Commodity (Data)'!$A$9:$B$19, 2, FALSE))),
        "",
        OFFSET('Min. Expl. By Commodity (Data)'!E78, 0, VLOOKUP($C$7, 'Min. Expl. By Commodity (Data)'!$A$9:$B$19, 2, FALSE))
)</f>
        <v>130.69999999999999</v>
      </c>
      <c r="E79" s="15">
        <f ca="1">IF(ISBLANK(OFFSET('Min. Expl. By Commodity (Data)'!F78, 0, VLOOKUP($C$7, 'Min. Expl. By Commodity (Data)'!$A$9:$B$19, 2, FALSE))),
        "",
        OFFSET('Min. Expl. By Commodity (Data)'!F78, 0, VLOOKUP($C$7, 'Min. Expl. By Commodity (Data)'!$A$9:$B$19, 2, FALSE))
)</f>
        <v>379.5</v>
      </c>
      <c r="F79" s="140">
        <f t="shared" ca="1" si="12"/>
        <v>0.65559947299077737</v>
      </c>
    </row>
    <row r="80" spans="1:6" x14ac:dyDescent="0.25">
      <c r="A80">
        <f t="shared" si="13"/>
        <v>2016</v>
      </c>
      <c r="B80" s="139">
        <v>42705</v>
      </c>
      <c r="C80" s="146">
        <f ca="1">IF(ISBLANK(OFFSET('Min. Expl. By Commodity (Data)'!D79, 0, VLOOKUP($C$7, 'Min. Expl. By Commodity (Data)'!$A$9:$B$19, 2, FALSE))),
        "",
        OFFSET('Min. Expl. By Commodity (Data)'!D79, 0, VLOOKUP($C$7, 'Min. Expl. By Commodity (Data)'!$A$9:$B$19, 2, FALSE))
)</f>
        <v>263.5</v>
      </c>
      <c r="D80" s="147">
        <f ca="1">IF(ISBLANK(OFFSET('Min. Expl. By Commodity (Data)'!E79, 0, VLOOKUP($C$7, 'Min. Expl. By Commodity (Data)'!$A$9:$B$19, 2, FALSE))),
        "",
        OFFSET('Min. Expl. By Commodity (Data)'!E79, 0, VLOOKUP($C$7, 'Min. Expl. By Commodity (Data)'!$A$9:$B$19, 2, FALSE))
)</f>
        <v>139.60000000000002</v>
      </c>
      <c r="E80" s="146">
        <f ca="1">IF(ISBLANK(OFFSET('Min. Expl. By Commodity (Data)'!F79, 0, VLOOKUP($C$7, 'Min. Expl. By Commodity (Data)'!$A$9:$B$19, 2, FALSE))),
        "",
        OFFSET('Min. Expl. By Commodity (Data)'!F79, 0, VLOOKUP($C$7, 'Min. Expl. By Commodity (Data)'!$A$9:$B$19, 2, FALSE))
)</f>
        <v>403.1</v>
      </c>
      <c r="F80" s="148">
        <f t="shared" ca="1" si="12"/>
        <v>0.65368394939221031</v>
      </c>
    </row>
    <row r="81" spans="1:6" x14ac:dyDescent="0.25">
      <c r="A81">
        <f t="shared" si="13"/>
        <v>2017</v>
      </c>
      <c r="B81" s="139">
        <v>42795</v>
      </c>
      <c r="C81" s="15">
        <f ca="1">IF(ISBLANK(OFFSET('Min. Expl. By Commodity (Data)'!D80, 0, VLOOKUP($C$7, 'Min. Expl. By Commodity (Data)'!$A$9:$B$19, 2, FALSE))),
        "",
        OFFSET('Min. Expl. By Commodity (Data)'!D80, 0, VLOOKUP($C$7, 'Min. Expl. By Commodity (Data)'!$A$9:$B$19, 2, FALSE))
)</f>
        <v>225</v>
      </c>
      <c r="D81" s="16">
        <f ca="1">IF(ISBLANK(OFFSET('Min. Expl. By Commodity (Data)'!E80, 0, VLOOKUP($C$7, 'Min. Expl. By Commodity (Data)'!$A$9:$B$19, 2, FALSE))),
        "",
        OFFSET('Min. Expl. By Commodity (Data)'!E80, 0, VLOOKUP($C$7, 'Min. Expl. By Commodity (Data)'!$A$9:$B$19, 2, FALSE))
)</f>
        <v>112.60000000000002</v>
      </c>
      <c r="E81" s="15">
        <f ca="1">IF(ISBLANK(OFFSET('Min. Expl. By Commodity (Data)'!F80, 0, VLOOKUP($C$7, 'Min. Expl. By Commodity (Data)'!$A$9:$B$19, 2, FALSE))),
        "",
        OFFSET('Min. Expl. By Commodity (Data)'!F80, 0, VLOOKUP($C$7, 'Min. Expl. By Commodity (Data)'!$A$9:$B$19, 2, FALSE))
)</f>
        <v>337.6</v>
      </c>
      <c r="F81" s="140">
        <f t="shared" ca="1" si="12"/>
        <v>0.66646919431279616</v>
      </c>
    </row>
    <row r="82" spans="1:6" x14ac:dyDescent="0.25">
      <c r="A82">
        <f t="shared" si="13"/>
        <v>2017</v>
      </c>
      <c r="B82" s="139">
        <v>42887</v>
      </c>
      <c r="C82" s="146">
        <f ca="1">IF(ISBLANK(OFFSET('Min. Expl. By Commodity (Data)'!D81, 0, VLOOKUP($C$7, 'Min. Expl. By Commodity (Data)'!$A$9:$B$19, 2, FALSE))),
        "",
        OFFSET('Min. Expl. By Commodity (Data)'!D81, 0, VLOOKUP($C$7, 'Min. Expl. By Commodity (Data)'!$A$9:$B$19, 2, FALSE))
)</f>
        <v>291</v>
      </c>
      <c r="D82" s="147">
        <f ca="1">IF(ISBLANK(OFFSET('Min. Expl. By Commodity (Data)'!E81, 0, VLOOKUP($C$7, 'Min. Expl. By Commodity (Data)'!$A$9:$B$19, 2, FALSE))),
        "",
        OFFSET('Min. Expl. By Commodity (Data)'!E81, 0, VLOOKUP($C$7, 'Min. Expl. By Commodity (Data)'!$A$9:$B$19, 2, FALSE))
)</f>
        <v>153.89999999999998</v>
      </c>
      <c r="E82" s="146">
        <f ca="1">IF(ISBLANK(OFFSET('Min. Expl. By Commodity (Data)'!F81, 0, VLOOKUP($C$7, 'Min. Expl. By Commodity (Data)'!$A$9:$B$19, 2, FALSE))),
        "",
        OFFSET('Min. Expl. By Commodity (Data)'!F81, 0, VLOOKUP($C$7, 'Min. Expl. By Commodity (Data)'!$A$9:$B$19, 2, FALSE))
)</f>
        <v>444.9</v>
      </c>
      <c r="F82" s="148">
        <f t="shared" ca="1" si="12"/>
        <v>0.6540795684423466</v>
      </c>
    </row>
    <row r="83" spans="1:6" x14ac:dyDescent="0.25">
      <c r="A83">
        <f t="shared" si="13"/>
        <v>2017</v>
      </c>
      <c r="B83" s="139">
        <v>42979</v>
      </c>
      <c r="C83" s="15">
        <f ca="1">IF(ISBLANK(OFFSET('Min. Expl. By Commodity (Data)'!D82, 0, VLOOKUP($C$7, 'Min. Expl. By Commodity (Data)'!$A$9:$B$19, 2, FALSE))),
        "",
        OFFSET('Min. Expl. By Commodity (Data)'!D82, 0, VLOOKUP($C$7, 'Min. Expl. By Commodity (Data)'!$A$9:$B$19, 2, FALSE))
)</f>
        <v>294.2</v>
      </c>
      <c r="D83" s="16">
        <f ca="1">IF(ISBLANK(OFFSET('Min. Expl. By Commodity (Data)'!E82, 0, VLOOKUP($C$7, 'Min. Expl. By Commodity (Data)'!$A$9:$B$19, 2, FALSE))),
        "",
        OFFSET('Min. Expl. By Commodity (Data)'!E82, 0, VLOOKUP($C$7, 'Min. Expl. By Commodity (Data)'!$A$9:$B$19, 2, FALSE))
)</f>
        <v>181</v>
      </c>
      <c r="E83" s="15">
        <f ca="1">IF(ISBLANK(OFFSET('Min. Expl. By Commodity (Data)'!F82, 0, VLOOKUP($C$7, 'Min. Expl. By Commodity (Data)'!$A$9:$B$19, 2, FALSE))),
        "",
        OFFSET('Min. Expl. By Commodity (Data)'!F82, 0, VLOOKUP($C$7, 'Min. Expl. By Commodity (Data)'!$A$9:$B$19, 2, FALSE))
)</f>
        <v>475.2</v>
      </c>
      <c r="F83" s="140">
        <f t="shared" ca="1" si="12"/>
        <v>0.61910774410774405</v>
      </c>
    </row>
    <row r="84" spans="1:6" x14ac:dyDescent="0.25">
      <c r="A84">
        <f t="shared" si="13"/>
        <v>2017</v>
      </c>
      <c r="B84" s="139">
        <v>43070</v>
      </c>
      <c r="C84" s="146">
        <f ca="1">IF(ISBLANK(OFFSET('Min. Expl. By Commodity (Data)'!D83, 0, VLOOKUP($C$7, 'Min. Expl. By Commodity (Data)'!$A$9:$B$19, 2, FALSE))),
        "",
        OFFSET('Min. Expl. By Commodity (Data)'!D83, 0, VLOOKUP($C$7, 'Min. Expl. By Commodity (Data)'!$A$9:$B$19, 2, FALSE))
)</f>
        <v>298.5</v>
      </c>
      <c r="D84" s="147">
        <f ca="1">IF(ISBLANK(OFFSET('Min. Expl. By Commodity (Data)'!E83, 0, VLOOKUP($C$7, 'Min. Expl. By Commodity (Data)'!$A$9:$B$19, 2, FALSE))),
        "",
        OFFSET('Min. Expl. By Commodity (Data)'!E83, 0, VLOOKUP($C$7, 'Min. Expl. By Commodity (Data)'!$A$9:$B$19, 2, FALSE))
)</f>
        <v>197.60000000000002</v>
      </c>
      <c r="E84" s="146">
        <f ca="1">IF(ISBLANK(OFFSET('Min. Expl. By Commodity (Data)'!F83, 0, VLOOKUP($C$7, 'Min. Expl. By Commodity (Data)'!$A$9:$B$19, 2, FALSE))),
        "",
        OFFSET('Min. Expl. By Commodity (Data)'!F83, 0, VLOOKUP($C$7, 'Min. Expl. By Commodity (Data)'!$A$9:$B$19, 2, FALSE))
)</f>
        <v>496.1</v>
      </c>
      <c r="F84" s="148">
        <f t="shared" ca="1" si="12"/>
        <v>0.60169320701471474</v>
      </c>
    </row>
    <row r="85" spans="1:6" x14ac:dyDescent="0.25">
      <c r="A85">
        <f t="shared" si="13"/>
        <v>2018</v>
      </c>
      <c r="B85" s="139">
        <v>43160</v>
      </c>
      <c r="C85" s="15">
        <f ca="1">IF(ISBLANK(OFFSET('Min. Expl. By Commodity (Data)'!D84, 0, VLOOKUP($C$7, 'Min. Expl. By Commodity (Data)'!$A$9:$B$19, 2, FALSE))),
        "",
        OFFSET('Min. Expl. By Commodity (Data)'!D84, 0, VLOOKUP($C$7, 'Min. Expl. By Commodity (Data)'!$A$9:$B$19, 2, FALSE))
)</f>
        <v>261</v>
      </c>
      <c r="D85" s="16">
        <f ca="1">IF(ISBLANK(OFFSET('Min. Expl. By Commodity (Data)'!E84, 0, VLOOKUP($C$7, 'Min. Expl. By Commodity (Data)'!$A$9:$B$19, 2, FALSE))),
        "",
        OFFSET('Min. Expl. By Commodity (Data)'!E84, 0, VLOOKUP($C$7, 'Min. Expl. By Commodity (Data)'!$A$9:$B$19, 2, FALSE))
)</f>
        <v>177.7</v>
      </c>
      <c r="E85" s="15">
        <f ca="1">IF(ISBLANK(OFFSET('Min. Expl. By Commodity (Data)'!F84, 0, VLOOKUP($C$7, 'Min. Expl. By Commodity (Data)'!$A$9:$B$19, 2, FALSE))),
        "",
        OFFSET('Min. Expl. By Commodity (Data)'!F84, 0, VLOOKUP($C$7, 'Min. Expl. By Commodity (Data)'!$A$9:$B$19, 2, FALSE))
)</f>
        <v>438.7</v>
      </c>
      <c r="F85" s="140">
        <f t="shared" ca="1" si="12"/>
        <v>0.59493959425575571</v>
      </c>
    </row>
    <row r="86" spans="1:6" x14ac:dyDescent="0.25">
      <c r="A86">
        <f t="shared" si="13"/>
        <v>2018</v>
      </c>
      <c r="B86" s="139">
        <v>43252</v>
      </c>
      <c r="C86" s="146">
        <f ca="1">IF(ISBLANK(OFFSET('Min. Expl. By Commodity (Data)'!D85, 0, VLOOKUP($C$7, 'Min. Expl. By Commodity (Data)'!$A$9:$B$19, 2, FALSE))),
        "",
        OFFSET('Min. Expl. By Commodity (Data)'!D85, 0, VLOOKUP($C$7, 'Min. Expl. By Commodity (Data)'!$A$9:$B$19, 2, FALSE))
)</f>
        <v>349.8</v>
      </c>
      <c r="D86" s="147">
        <f ca="1">IF(ISBLANK(OFFSET('Min. Expl. By Commodity (Data)'!E85, 0, VLOOKUP($C$7, 'Min. Expl. By Commodity (Data)'!$A$9:$B$19, 2, FALSE))),
        "",
        OFFSET('Min. Expl. By Commodity (Data)'!E85, 0, VLOOKUP($C$7, 'Min. Expl. By Commodity (Data)'!$A$9:$B$19, 2, FALSE))
)</f>
        <v>217.99999999999994</v>
      </c>
      <c r="E86" s="146">
        <f ca="1">IF(ISBLANK(OFFSET('Min. Expl. By Commodity (Data)'!F85, 0, VLOOKUP($C$7, 'Min. Expl. By Commodity (Data)'!$A$9:$B$19, 2, FALSE))),
        "",
        OFFSET('Min. Expl. By Commodity (Data)'!F85, 0, VLOOKUP($C$7, 'Min. Expl. By Commodity (Data)'!$A$9:$B$19, 2, FALSE))
)</f>
        <v>567.79999999999995</v>
      </c>
      <c r="F86" s="148">
        <f t="shared" ca="1" si="12"/>
        <v>0.61606199365973946</v>
      </c>
    </row>
    <row r="87" spans="1:6" x14ac:dyDescent="0.25">
      <c r="A87">
        <f t="shared" si="13"/>
        <v>2018</v>
      </c>
      <c r="B87" s="139">
        <v>43344</v>
      </c>
      <c r="C87" s="15">
        <f ca="1">IF(ISBLANK(OFFSET('Min. Expl. By Commodity (Data)'!D86, 0, VLOOKUP($C$7, 'Min. Expl. By Commodity (Data)'!$A$9:$B$19, 2, FALSE))),
        "",
        OFFSET('Min. Expl. By Commodity (Data)'!D86, 0, VLOOKUP($C$7, 'Min. Expl. By Commodity (Data)'!$A$9:$B$19, 2, FALSE))
)</f>
        <v>361</v>
      </c>
      <c r="D87" s="16">
        <f ca="1">IF(ISBLANK(OFFSET('Min. Expl. By Commodity (Data)'!E86, 0, VLOOKUP($C$7, 'Min. Expl. By Commodity (Data)'!$A$9:$B$19, 2, FALSE))),
        "",
        OFFSET('Min. Expl. By Commodity (Data)'!E86, 0, VLOOKUP($C$7, 'Min. Expl. By Commodity (Data)'!$A$9:$B$19, 2, FALSE))
)</f>
        <v>223.39999999999998</v>
      </c>
      <c r="E87" s="15">
        <f ca="1">IF(ISBLANK(OFFSET('Min. Expl. By Commodity (Data)'!F86, 0, VLOOKUP($C$7, 'Min. Expl. By Commodity (Data)'!$A$9:$B$19, 2, FALSE))),
        "",
        OFFSET('Min. Expl. By Commodity (Data)'!F86, 0, VLOOKUP($C$7, 'Min. Expl. By Commodity (Data)'!$A$9:$B$19, 2, FALSE))
)</f>
        <v>584.4</v>
      </c>
      <c r="F87" s="140">
        <f t="shared" ca="1" si="12"/>
        <v>0.61772758384668036</v>
      </c>
    </row>
    <row r="88" spans="1:6" x14ac:dyDescent="0.25">
      <c r="A88">
        <f t="shared" si="13"/>
        <v>2018</v>
      </c>
      <c r="B88" s="139">
        <v>43435</v>
      </c>
      <c r="C88" s="146">
        <f ca="1">IF(ISBLANK(OFFSET('Min. Expl. By Commodity (Data)'!D87, 0, VLOOKUP($C$7, 'Min. Expl. By Commodity (Data)'!$A$9:$B$19, 2, FALSE))),
        "",
        OFFSET('Min. Expl. By Commodity (Data)'!D87, 0, VLOOKUP($C$7, 'Min. Expl. By Commodity (Data)'!$A$9:$B$19, 2, FALSE))
)</f>
        <v>346.3</v>
      </c>
      <c r="D88" s="147">
        <f ca="1">IF(ISBLANK(OFFSET('Min. Expl. By Commodity (Data)'!E87, 0, VLOOKUP($C$7, 'Min. Expl. By Commodity (Data)'!$A$9:$B$19, 2, FALSE))),
        "",
        OFFSET('Min. Expl. By Commodity (Data)'!E87, 0, VLOOKUP($C$7, 'Min. Expl. By Commodity (Data)'!$A$9:$B$19, 2, FALSE))
)</f>
        <v>246.40000000000003</v>
      </c>
      <c r="E88" s="146">
        <f ca="1">IF(ISBLANK(OFFSET('Min. Expl. By Commodity (Data)'!F87, 0, VLOOKUP($C$7, 'Min. Expl. By Commodity (Data)'!$A$9:$B$19, 2, FALSE))),
        "",
        OFFSET('Min. Expl. By Commodity (Data)'!F87, 0, VLOOKUP($C$7, 'Min. Expl. By Commodity (Data)'!$A$9:$B$19, 2, FALSE))
)</f>
        <v>592.70000000000005</v>
      </c>
      <c r="F88" s="148">
        <f t="shared" ca="1" si="12"/>
        <v>0.58427535009279563</v>
      </c>
    </row>
    <row r="89" spans="1:6" x14ac:dyDescent="0.25">
      <c r="A89">
        <f t="shared" si="13"/>
        <v>2019</v>
      </c>
      <c r="B89" s="139">
        <v>43525</v>
      </c>
      <c r="C89" s="15">
        <f ca="1">IF(ISBLANK(OFFSET('Min. Expl. By Commodity (Data)'!D88, 0, VLOOKUP($C$7, 'Min. Expl. By Commodity (Data)'!$A$9:$B$19, 2, FALSE))),
        "",
        OFFSET('Min. Expl. By Commodity (Data)'!D88, 0, VLOOKUP($C$7, 'Min. Expl. By Commodity (Data)'!$A$9:$B$19, 2, FALSE))
)</f>
        <v>319.5</v>
      </c>
      <c r="D89" s="16">
        <f ca="1">IF(ISBLANK(OFFSET('Min. Expl. By Commodity (Data)'!E88, 0, VLOOKUP($C$7, 'Min. Expl. By Commodity (Data)'!$A$9:$B$19, 2, FALSE))),
        "",
        OFFSET('Min. Expl. By Commodity (Data)'!E88, 0, VLOOKUP($C$7, 'Min. Expl. By Commodity (Data)'!$A$9:$B$19, 2, FALSE))
)</f>
        <v>186.2</v>
      </c>
      <c r="E89" s="15">
        <f ca="1">IF(ISBLANK(OFFSET('Min. Expl. By Commodity (Data)'!F88, 0, VLOOKUP($C$7, 'Min. Expl. By Commodity (Data)'!$A$9:$B$19, 2, FALSE))),
        "",
        OFFSET('Min. Expl. By Commodity (Data)'!F88, 0, VLOOKUP($C$7, 'Min. Expl. By Commodity (Data)'!$A$9:$B$19, 2, FALSE))
)</f>
        <v>505.7</v>
      </c>
      <c r="F89" s="140">
        <f t="shared" ca="1" si="12"/>
        <v>0.63179750840419224</v>
      </c>
    </row>
    <row r="90" spans="1:6" x14ac:dyDescent="0.25">
      <c r="A90">
        <f t="shared" si="13"/>
        <v>2019</v>
      </c>
      <c r="B90" s="139">
        <v>43617</v>
      </c>
      <c r="C90" s="146">
        <f ca="1">IF(ISBLANK(OFFSET('Min. Expl. By Commodity (Data)'!D89, 0, VLOOKUP($C$7, 'Min. Expl. By Commodity (Data)'!$A$9:$B$19, 2, FALSE))),
        "",
        OFFSET('Min. Expl. By Commodity (Data)'!D89, 0, VLOOKUP($C$7, 'Min. Expl. By Commodity (Data)'!$A$9:$B$19, 2, FALSE))
)</f>
        <v>415.1</v>
      </c>
      <c r="D90" s="147">
        <f ca="1">IF(ISBLANK(OFFSET('Min. Expl. By Commodity (Data)'!E89, 0, VLOOKUP($C$7, 'Min. Expl. By Commodity (Data)'!$A$9:$B$19, 2, FALSE))),
        "",
        OFFSET('Min. Expl. By Commodity (Data)'!E89, 0, VLOOKUP($C$7, 'Min. Expl. By Commodity (Data)'!$A$9:$B$19, 2, FALSE))
)</f>
        <v>249.69999999999993</v>
      </c>
      <c r="E90" s="146">
        <f ca="1">IF(ISBLANK(OFFSET('Min. Expl. By Commodity (Data)'!F89, 0, VLOOKUP($C$7, 'Min. Expl. By Commodity (Data)'!$A$9:$B$19, 2, FALSE))),
        "",
        OFFSET('Min. Expl. By Commodity (Data)'!F89, 0, VLOOKUP($C$7, 'Min. Expl. By Commodity (Data)'!$A$9:$B$19, 2, FALSE))
)</f>
        <v>664.8</v>
      </c>
      <c r="F90" s="148">
        <f t="shared" ca="1" si="12"/>
        <v>0.62439831528279188</v>
      </c>
    </row>
    <row r="91" spans="1:6" x14ac:dyDescent="0.25">
      <c r="A91">
        <f t="shared" si="13"/>
        <v>2019</v>
      </c>
      <c r="B91" s="139">
        <v>43709</v>
      </c>
      <c r="C91" s="15">
        <f ca="1">IF(ISBLANK(OFFSET('Min. Expl. By Commodity (Data)'!D90, 0, VLOOKUP($C$7, 'Min. Expl. By Commodity (Data)'!$A$9:$B$19, 2, FALSE))),
        "",
        OFFSET('Min. Expl. By Commodity (Data)'!D90, 0, VLOOKUP($C$7, 'Min. Expl. By Commodity (Data)'!$A$9:$B$19, 2, FALSE))
)</f>
        <v>459.7</v>
      </c>
      <c r="D91" s="16">
        <f ca="1">IF(ISBLANK(OFFSET('Min. Expl. By Commodity (Data)'!E90, 0, VLOOKUP($C$7, 'Min. Expl. By Commodity (Data)'!$A$9:$B$19, 2, FALSE))),
        "",
        OFFSET('Min. Expl. By Commodity (Data)'!E90, 0, VLOOKUP($C$7, 'Min. Expl. By Commodity (Data)'!$A$9:$B$19, 2, FALSE))
)</f>
        <v>265.09999999999997</v>
      </c>
      <c r="E91" s="15">
        <f ca="1">IF(ISBLANK(OFFSET('Min. Expl. By Commodity (Data)'!F90, 0, VLOOKUP($C$7, 'Min. Expl. By Commodity (Data)'!$A$9:$B$19, 2, FALSE))),
        "",
        OFFSET('Min. Expl. By Commodity (Data)'!F90, 0, VLOOKUP($C$7, 'Min. Expl. By Commodity (Data)'!$A$9:$B$19, 2, FALSE))
)</f>
        <v>724.8</v>
      </c>
      <c r="F91" s="140">
        <f t="shared" ca="1" si="12"/>
        <v>0.63424392935982343</v>
      </c>
    </row>
    <row r="92" spans="1:6" x14ac:dyDescent="0.25">
      <c r="A92">
        <f t="shared" si="13"/>
        <v>2019</v>
      </c>
      <c r="B92" s="139">
        <v>43800</v>
      </c>
      <c r="C92" s="146">
        <f ca="1">IF(ISBLANK(OFFSET('Min. Expl. By Commodity (Data)'!D91, 0, VLOOKUP($C$7, 'Min. Expl. By Commodity (Data)'!$A$9:$B$19, 2, FALSE))),
        "",
        OFFSET('Min. Expl. By Commodity (Data)'!D91, 0, VLOOKUP($C$7, 'Min. Expl. By Commodity (Data)'!$A$9:$B$19, 2, FALSE))
)</f>
        <v>453.9</v>
      </c>
      <c r="D92" s="147">
        <f ca="1">IF(ISBLANK(OFFSET('Min. Expl. By Commodity (Data)'!E91, 0, VLOOKUP($C$7, 'Min. Expl. By Commodity (Data)'!$A$9:$B$19, 2, FALSE))),
        "",
        OFFSET('Min. Expl. By Commodity (Data)'!E91, 0, VLOOKUP($C$7, 'Min. Expl. By Commodity (Data)'!$A$9:$B$19, 2, FALSE))
)</f>
        <v>299.20000000000005</v>
      </c>
      <c r="E92" s="146">
        <f ca="1">IF(ISBLANK(OFFSET('Min. Expl. By Commodity (Data)'!F91, 0, VLOOKUP($C$7, 'Min. Expl. By Commodity (Data)'!$A$9:$B$19, 2, FALSE))),
        "",
        OFFSET('Min. Expl. By Commodity (Data)'!F91, 0, VLOOKUP($C$7, 'Min. Expl. By Commodity (Data)'!$A$9:$B$19, 2, FALSE))
)</f>
        <v>753.1</v>
      </c>
      <c r="F92" s="148">
        <f t="shared" ca="1" si="12"/>
        <v>0.60270880361173806</v>
      </c>
    </row>
    <row r="93" spans="1:6" x14ac:dyDescent="0.25">
      <c r="A93">
        <f t="shared" si="13"/>
        <v>2020</v>
      </c>
      <c r="B93" s="139">
        <v>43891</v>
      </c>
      <c r="C93" s="15">
        <f ca="1">IF(ISBLANK(OFFSET('Min. Expl. By Commodity (Data)'!D92, 0, VLOOKUP($C$7, 'Min. Expl. By Commodity (Data)'!$A$9:$B$19, 2, FALSE))),
        "",
        OFFSET('Min. Expl. By Commodity (Data)'!D92, 0, VLOOKUP($C$7, 'Min. Expl. By Commodity (Data)'!$A$9:$B$19, 2, FALSE))
)</f>
        <v>367.1</v>
      </c>
      <c r="D93" s="16">
        <f ca="1">IF(ISBLANK(OFFSET('Min. Expl. By Commodity (Data)'!E92, 0, VLOOKUP($C$7, 'Min. Expl. By Commodity (Data)'!$A$9:$B$19, 2, FALSE))),
        "",
        OFFSET('Min. Expl. By Commodity (Data)'!E92, 0, VLOOKUP($C$7, 'Min. Expl. By Commodity (Data)'!$A$9:$B$19, 2, FALSE))
)</f>
        <v>243.5</v>
      </c>
      <c r="E93" s="15">
        <f ca="1">IF(ISBLANK(OFFSET('Min. Expl. By Commodity (Data)'!F92, 0, VLOOKUP($C$7, 'Min. Expl. By Commodity (Data)'!$A$9:$B$19, 2, FALSE))),
        "",
        OFFSET('Min. Expl. By Commodity (Data)'!F92, 0, VLOOKUP($C$7, 'Min. Expl. By Commodity (Data)'!$A$9:$B$19, 2, FALSE))
)</f>
        <v>610.6</v>
      </c>
      <c r="F93" s="140">
        <f t="shared" ca="1" si="12"/>
        <v>0.6012119226989846</v>
      </c>
    </row>
    <row r="94" spans="1:6" x14ac:dyDescent="0.25">
      <c r="A94">
        <f t="shared" si="13"/>
        <v>2020</v>
      </c>
      <c r="B94" s="139">
        <v>43983</v>
      </c>
      <c r="C94" s="146">
        <f ca="1">IF(ISBLANK(OFFSET('Min. Expl. By Commodity (Data)'!D93, 0, VLOOKUP($C$7, 'Min. Expl. By Commodity (Data)'!$A$9:$B$19, 2, FALSE))),
        "",
        OFFSET('Min. Expl. By Commodity (Data)'!D93, 0, VLOOKUP($C$7, 'Min. Expl. By Commodity (Data)'!$A$9:$B$19, 2, FALSE))
)</f>
        <v>412.4</v>
      </c>
      <c r="D94" s="147">
        <f ca="1">IF(ISBLANK(OFFSET('Min. Expl. By Commodity (Data)'!E93, 0, VLOOKUP($C$7, 'Min. Expl. By Commodity (Data)'!$A$9:$B$19, 2, FALSE))),
        "",
        OFFSET('Min. Expl. By Commodity (Data)'!E93, 0, VLOOKUP($C$7, 'Min. Expl. By Commodity (Data)'!$A$9:$B$19, 2, FALSE))
)</f>
        <v>270.89999999999998</v>
      </c>
      <c r="E94" s="146">
        <f ca="1">IF(ISBLANK(OFFSET('Min. Expl. By Commodity (Data)'!F93, 0, VLOOKUP($C$7, 'Min. Expl. By Commodity (Data)'!$A$9:$B$19, 2, FALSE))),
        "",
        OFFSET('Min. Expl. By Commodity (Data)'!F93, 0, VLOOKUP($C$7, 'Min. Expl. By Commodity (Data)'!$A$9:$B$19, 2, FALSE))
)</f>
        <v>683.3</v>
      </c>
      <c r="F94" s="148">
        <f t="shared" ca="1" si="12"/>
        <v>0.60354163617737455</v>
      </c>
    </row>
    <row r="95" spans="1:6" x14ac:dyDescent="0.25">
      <c r="A95">
        <f t="shared" si="13"/>
        <v>2020</v>
      </c>
      <c r="B95" s="139">
        <v>44075</v>
      </c>
      <c r="C95" s="15">
        <f ca="1">IF(ISBLANK(OFFSET('Min. Expl. By Commodity (Data)'!D94, 0, VLOOKUP($C$7, 'Min. Expl. By Commodity (Data)'!$A$9:$B$19, 2, FALSE))),
        "",
        OFFSET('Min. Expl. By Commodity (Data)'!D94, 0, VLOOKUP($C$7, 'Min. Expl. By Commodity (Data)'!$A$9:$B$19, 2, FALSE))
)</f>
        <v>483.3</v>
      </c>
      <c r="D95" s="16">
        <f ca="1">IF(ISBLANK(OFFSET('Min. Expl. By Commodity (Data)'!E94, 0, VLOOKUP($C$7, 'Min. Expl. By Commodity (Data)'!$A$9:$B$19, 2, FALSE))),
        "",
        OFFSET('Min. Expl. By Commodity (Data)'!E94, 0, VLOOKUP($C$7, 'Min. Expl. By Commodity (Data)'!$A$9:$B$19, 2, FALSE))
)</f>
        <v>261.59999999999997</v>
      </c>
      <c r="E95" s="15">
        <f ca="1">IF(ISBLANK(OFFSET('Min. Expl. By Commodity (Data)'!F94, 0, VLOOKUP($C$7, 'Min. Expl. By Commodity (Data)'!$A$9:$B$19, 2, FALSE))),
        "",
        OFFSET('Min. Expl. By Commodity (Data)'!F94, 0, VLOOKUP($C$7, 'Min. Expl. By Commodity (Data)'!$A$9:$B$19, 2, FALSE))
)</f>
        <v>744.9</v>
      </c>
      <c r="F95" s="140">
        <f t="shared" ca="1" si="12"/>
        <v>0.64881192106323005</v>
      </c>
    </row>
    <row r="96" spans="1:6" x14ac:dyDescent="0.25">
      <c r="A96">
        <f t="shared" si="13"/>
        <v>2020</v>
      </c>
      <c r="B96" s="139">
        <v>44166</v>
      </c>
      <c r="C96" s="146">
        <f ca="1">IF(ISBLANK(OFFSET('Min. Expl. By Commodity (Data)'!D95, 0, VLOOKUP($C$7, 'Min. Expl. By Commodity (Data)'!$A$9:$B$19, 2, FALSE))),
        "",
        OFFSET('Min. Expl. By Commodity (Data)'!D95, 0, VLOOKUP($C$7, 'Min. Expl. By Commodity (Data)'!$A$9:$B$19, 2, FALSE))
)</f>
        <v>494.7</v>
      </c>
      <c r="D96" s="147">
        <f ca="1">IF(ISBLANK(OFFSET('Min. Expl. By Commodity (Data)'!E95, 0, VLOOKUP($C$7, 'Min. Expl. By Commodity (Data)'!$A$9:$B$19, 2, FALSE))),
        "",
        OFFSET('Min. Expl. By Commodity (Data)'!E95, 0, VLOOKUP($C$7, 'Min. Expl. By Commodity (Data)'!$A$9:$B$19, 2, FALSE))
)</f>
        <v>275.3</v>
      </c>
      <c r="E96" s="146">
        <f ca="1">IF(ISBLANK(OFFSET('Min. Expl. By Commodity (Data)'!F95, 0, VLOOKUP($C$7, 'Min. Expl. By Commodity (Data)'!$A$9:$B$19, 2, FALSE))),
        "",
        OFFSET('Min. Expl. By Commodity (Data)'!F95, 0, VLOOKUP($C$7, 'Min. Expl. By Commodity (Data)'!$A$9:$B$19, 2, FALSE))
)</f>
        <v>770</v>
      </c>
      <c r="F96" s="148">
        <f t="shared" ca="1" si="12"/>
        <v>0.64246753246753241</v>
      </c>
    </row>
    <row r="97" spans="1:6" x14ac:dyDescent="0.25">
      <c r="A97">
        <f t="shared" si="13"/>
        <v>2021</v>
      </c>
      <c r="B97" s="139">
        <v>44256</v>
      </c>
      <c r="C97" s="15">
        <f ca="1">IF(ISBLANK(OFFSET('Min. Expl. By Commodity (Data)'!D96, 0, VLOOKUP($C$7, 'Min. Expl. By Commodity (Data)'!$A$9:$B$19, 2, FALSE))),
        "",
        OFFSET('Min. Expl. By Commodity (Data)'!D96, 0, VLOOKUP($C$7, 'Min. Expl. By Commodity (Data)'!$A$9:$B$19, 2, FALSE))
)</f>
        <v>480.2</v>
      </c>
      <c r="D97" s="16">
        <f ca="1">IF(ISBLANK(OFFSET('Min. Expl. By Commodity (Data)'!E96, 0, VLOOKUP($C$7, 'Min. Expl. By Commodity (Data)'!$A$9:$B$19, 2, FALSE))),
        "",
        OFFSET('Min. Expl. By Commodity (Data)'!E96, 0, VLOOKUP($C$7, 'Min. Expl. By Commodity (Data)'!$A$9:$B$19, 2, FALSE))
)</f>
        <v>254.59999999999997</v>
      </c>
      <c r="E97" s="15">
        <f ca="1">IF(ISBLANK(OFFSET('Min. Expl. By Commodity (Data)'!F96, 0, VLOOKUP($C$7, 'Min. Expl. By Commodity (Data)'!$A$9:$B$19, 2, FALSE))),
        "",
        OFFSET('Min. Expl. By Commodity (Data)'!F96, 0, VLOOKUP($C$7, 'Min. Expl. By Commodity (Data)'!$A$9:$B$19, 2, FALSE))
)</f>
        <v>734.8</v>
      </c>
      <c r="F97" s="140">
        <f t="shared" ca="1" si="12"/>
        <v>0.65351115949918348</v>
      </c>
    </row>
    <row r="98" spans="1:6" x14ac:dyDescent="0.25">
      <c r="A98">
        <f t="shared" si="13"/>
        <v>2021</v>
      </c>
      <c r="B98" s="139">
        <v>44348</v>
      </c>
      <c r="C98" s="146">
        <f ca="1">IF(ISBLANK(OFFSET('Min. Expl. By Commodity (Data)'!D97, 0, VLOOKUP($C$7, 'Min. Expl. By Commodity (Data)'!$A$9:$B$19, 2, FALSE))),
        "",
        OFFSET('Min. Expl. By Commodity (Data)'!D97, 0, VLOOKUP($C$7, 'Min. Expl. By Commodity (Data)'!$A$9:$B$19, 2, FALSE))
)</f>
        <v>593.9</v>
      </c>
      <c r="D98" s="147">
        <f ca="1">IF(ISBLANK(OFFSET('Min. Expl. By Commodity (Data)'!E97, 0, VLOOKUP($C$7, 'Min. Expl. By Commodity (Data)'!$A$9:$B$19, 2, FALSE))),
        "",
        OFFSET('Min. Expl. By Commodity (Data)'!E97, 0, VLOOKUP($C$7, 'Min. Expl. By Commodity (Data)'!$A$9:$B$19, 2, FALSE))
)</f>
        <v>318.10000000000002</v>
      </c>
      <c r="E98" s="146">
        <f ca="1">IF(ISBLANK(OFFSET('Min. Expl. By Commodity (Data)'!F97, 0, VLOOKUP($C$7, 'Min. Expl. By Commodity (Data)'!$A$9:$B$19, 2, FALSE))),
        "",
        OFFSET('Min. Expl. By Commodity (Data)'!F97, 0, VLOOKUP($C$7, 'Min. Expl. By Commodity (Data)'!$A$9:$B$19, 2, FALSE))
)</f>
        <v>912</v>
      </c>
      <c r="F98" s="148">
        <f t="shared" ca="1" si="12"/>
        <v>0.65120614035087721</v>
      </c>
    </row>
    <row r="99" spans="1:6" x14ac:dyDescent="0.25">
      <c r="A99">
        <f t="shared" si="13"/>
        <v>2021</v>
      </c>
      <c r="B99" s="139">
        <v>44440</v>
      </c>
      <c r="C99" s="15">
        <f ca="1">IF(ISBLANK(OFFSET('Min. Expl. By Commodity (Data)'!D98, 0, VLOOKUP($C$7, 'Min. Expl. By Commodity (Data)'!$A$9:$B$19, 2, FALSE))),
        "",
        OFFSET('Min. Expl. By Commodity (Data)'!D98, 0, VLOOKUP($C$7, 'Min. Expl. By Commodity (Data)'!$A$9:$B$19, 2, FALSE))
)</f>
        <v>670.5</v>
      </c>
      <c r="D99" s="16">
        <f ca="1">IF(ISBLANK(OFFSET('Min. Expl. By Commodity (Data)'!E98, 0, VLOOKUP($C$7, 'Min. Expl. By Commodity (Data)'!$A$9:$B$19, 2, FALSE))),
        "",
        OFFSET('Min. Expl. By Commodity (Data)'!E98, 0, VLOOKUP($C$7, 'Min. Expl. By Commodity (Data)'!$A$9:$B$19, 2, FALSE))
)</f>
        <v>327.10000000000002</v>
      </c>
      <c r="E99" s="15">
        <f ca="1">IF(ISBLANK(OFFSET('Min. Expl. By Commodity (Data)'!F98, 0, VLOOKUP($C$7, 'Min. Expl. By Commodity (Data)'!$A$9:$B$19, 2, FALSE))),
        "",
        OFFSET('Min. Expl. By Commodity (Data)'!F98, 0, VLOOKUP($C$7, 'Min. Expl. By Commodity (Data)'!$A$9:$B$19, 2, FALSE))
)</f>
        <v>997.6</v>
      </c>
      <c r="F99" s="140">
        <f t="shared" ca="1" si="12"/>
        <v>0.67211307137129106</v>
      </c>
    </row>
    <row r="100" spans="1:6" x14ac:dyDescent="0.25">
      <c r="A100">
        <f t="shared" si="13"/>
        <v>2021</v>
      </c>
      <c r="B100" s="139">
        <v>44531</v>
      </c>
      <c r="C100" s="146">
        <f ca="1">IF(ISBLANK(OFFSET('Min. Expl. By Commodity (Data)'!D99, 0, VLOOKUP($C$7, 'Min. Expl. By Commodity (Data)'!$A$9:$B$19, 2, FALSE))),
        "",
        OFFSET('Min. Expl. By Commodity (Data)'!D99, 0, VLOOKUP($C$7, 'Min. Expl. By Commodity (Data)'!$A$9:$B$19, 2, FALSE))
)</f>
        <v>606.79999999999995</v>
      </c>
      <c r="D100" s="147">
        <f ca="1">IF(ISBLANK(OFFSET('Min. Expl. By Commodity (Data)'!E99, 0, VLOOKUP($C$7, 'Min. Expl. By Commodity (Data)'!$A$9:$B$19, 2, FALSE))),
        "",
        OFFSET('Min. Expl. By Commodity (Data)'!E99, 0, VLOOKUP($C$7, 'Min. Expl. By Commodity (Data)'!$A$9:$B$19, 2, FALSE))
)</f>
        <v>344.90000000000009</v>
      </c>
      <c r="E100" s="146">
        <f ca="1">IF(ISBLANK(OFFSET('Min. Expl. By Commodity (Data)'!F99, 0, VLOOKUP($C$7, 'Min. Expl. By Commodity (Data)'!$A$9:$B$19, 2, FALSE))),
        "",
        OFFSET('Min. Expl. By Commodity (Data)'!F99, 0, VLOOKUP($C$7, 'Min. Expl. By Commodity (Data)'!$A$9:$B$19, 2, FALSE))
)</f>
        <v>951.7</v>
      </c>
      <c r="F100" s="148">
        <f t="shared" ca="1" si="12"/>
        <v>0.63759588105495424</v>
      </c>
    </row>
    <row r="101" spans="1:6" x14ac:dyDescent="0.25">
      <c r="A101">
        <f t="shared" si="13"/>
        <v>2022</v>
      </c>
      <c r="B101" s="139">
        <v>44621</v>
      </c>
      <c r="C101" s="15">
        <f ca="1">IF(ISBLANK(OFFSET('Min. Expl. By Commodity (Data)'!D100, 0, VLOOKUP($C$7, 'Min. Expl. By Commodity (Data)'!$A$9:$B$19, 2, FALSE))),
        "",
        OFFSET('Min. Expl. By Commodity (Data)'!D100, 0, VLOOKUP($C$7, 'Min. Expl. By Commodity (Data)'!$A$9:$B$19, 2, FALSE))
)</f>
        <v>526.5</v>
      </c>
      <c r="D101" s="16">
        <f ca="1">IF(ISBLANK(OFFSET('Min. Expl. By Commodity (Data)'!E100, 0, VLOOKUP($C$7, 'Min. Expl. By Commodity (Data)'!$A$9:$B$19, 2, FALSE))),
        "",
        OFFSET('Min. Expl. By Commodity (Data)'!E100, 0, VLOOKUP($C$7, 'Min. Expl. By Commodity (Data)'!$A$9:$B$19, 2, FALSE))
)</f>
        <v>328.79999999999995</v>
      </c>
      <c r="E101" s="15">
        <f ca="1">IF(ISBLANK(OFFSET('Min. Expl. By Commodity (Data)'!F100, 0, VLOOKUP($C$7, 'Min. Expl. By Commodity (Data)'!$A$9:$B$19, 2, FALSE))),
        "",
        OFFSET('Min. Expl. By Commodity (Data)'!F100, 0, VLOOKUP($C$7, 'Min. Expl. By Commodity (Data)'!$A$9:$B$19, 2, FALSE))
)</f>
        <v>855.3</v>
      </c>
      <c r="F101" s="140">
        <f t="shared" ca="1" si="12"/>
        <v>0.61557348298842518</v>
      </c>
    </row>
    <row r="102" spans="1:6" x14ac:dyDescent="0.25">
      <c r="A102">
        <f t="shared" si="13"/>
        <v>2022</v>
      </c>
      <c r="B102" s="139">
        <v>44713</v>
      </c>
      <c r="C102" s="146">
        <f ca="1">IF(ISBLANK(OFFSET('Min. Expl. By Commodity (Data)'!D101, 0, VLOOKUP($C$7, 'Min. Expl. By Commodity (Data)'!$A$9:$B$19, 2, FALSE))),
        "",
        OFFSET('Min. Expl. By Commodity (Data)'!D101, 0, VLOOKUP($C$7, 'Min. Expl. By Commodity (Data)'!$A$9:$B$19, 2, FALSE))
)</f>
        <v>674.8</v>
      </c>
      <c r="D102" s="147">
        <f ca="1">IF(ISBLANK(OFFSET('Min. Expl. By Commodity (Data)'!E101, 0, VLOOKUP($C$7, 'Min. Expl. By Commodity (Data)'!$A$9:$B$19, 2, FALSE))),
        "",
        OFFSET('Min. Expl. By Commodity (Data)'!E101, 0, VLOOKUP($C$7, 'Min. Expl. By Commodity (Data)'!$A$9:$B$19, 2, FALSE))
)</f>
        <v>382.5</v>
      </c>
      <c r="E102" s="146">
        <f ca="1">IF(ISBLANK(OFFSET('Min. Expl. By Commodity (Data)'!F101, 0, VLOOKUP($C$7, 'Min. Expl. By Commodity (Data)'!$A$9:$B$19, 2, FALSE))),
        "",
        OFFSET('Min. Expl. By Commodity (Data)'!F101, 0, VLOOKUP($C$7, 'Min. Expl. By Commodity (Data)'!$A$9:$B$19, 2, FALSE))
)</f>
        <v>1057.3</v>
      </c>
      <c r="F102" s="148">
        <f t="shared" ca="1" si="12"/>
        <v>0.63822945237870043</v>
      </c>
    </row>
    <row r="103" spans="1:6" x14ac:dyDescent="0.25">
      <c r="A103">
        <f t="shared" si="13"/>
        <v>2022</v>
      </c>
      <c r="B103" s="139">
        <v>44805</v>
      </c>
      <c r="C103" s="15">
        <f ca="1">IF(ISBLANK(OFFSET('Min. Expl. By Commodity (Data)'!D102, 0, VLOOKUP($C$7, 'Min. Expl. By Commodity (Data)'!$A$9:$B$19, 2, FALSE))),
        "",
        OFFSET('Min. Expl. By Commodity (Data)'!D102, 0, VLOOKUP($C$7, 'Min. Expl. By Commodity (Data)'!$A$9:$B$19, 2, FALSE))
)</f>
        <v>700.5</v>
      </c>
      <c r="D103" s="16">
        <f ca="1">IF(ISBLANK(OFFSET('Min. Expl. By Commodity (Data)'!E102, 0, VLOOKUP($C$7, 'Min. Expl. By Commodity (Data)'!$A$9:$B$19, 2, FALSE))),
        "",
        OFFSET('Min. Expl. By Commodity (Data)'!E102, 0, VLOOKUP($C$7, 'Min. Expl. By Commodity (Data)'!$A$9:$B$19, 2, FALSE))
)</f>
        <v>398.79999999999995</v>
      </c>
      <c r="E103" s="15">
        <f ca="1">IF(ISBLANK(OFFSET('Min. Expl. By Commodity (Data)'!F102, 0, VLOOKUP($C$7, 'Min. Expl. By Commodity (Data)'!$A$9:$B$19, 2, FALSE))),
        "",
        OFFSET('Min. Expl. By Commodity (Data)'!F102, 0, VLOOKUP($C$7, 'Min. Expl. By Commodity (Data)'!$A$9:$B$19, 2, FALSE))
)</f>
        <v>1099.3</v>
      </c>
      <c r="F103" s="140">
        <f t="shared" ca="1" si="12"/>
        <v>0.6372236878013281</v>
      </c>
    </row>
    <row r="104" spans="1:6" x14ac:dyDescent="0.25">
      <c r="A104">
        <f t="shared" si="13"/>
        <v>2022</v>
      </c>
      <c r="B104" s="139">
        <v>44896</v>
      </c>
      <c r="C104" s="146">
        <f ca="1">IF(ISBLANK(OFFSET('Min. Expl. By Commodity (Data)'!D103, 0, VLOOKUP($C$7, 'Min. Expl. By Commodity (Data)'!$A$9:$B$19, 2, FALSE))),
        "",
        OFFSET('Min. Expl. By Commodity (Data)'!D103, 0, VLOOKUP($C$7, 'Min. Expl. By Commodity (Data)'!$A$9:$B$19, 2, FALSE))
)</f>
        <v>645</v>
      </c>
      <c r="D104" s="147">
        <f ca="1">IF(ISBLANK(OFFSET('Min. Expl. By Commodity (Data)'!E103, 0, VLOOKUP($C$7, 'Min. Expl. By Commodity (Data)'!$A$9:$B$19, 2, FALSE))),
        "",
        OFFSET('Min. Expl. By Commodity (Data)'!E103, 0, VLOOKUP($C$7, 'Min. Expl. By Commodity (Data)'!$A$9:$B$19, 2, FALSE))
)</f>
        <v>403.20000000000005</v>
      </c>
      <c r="E104" s="146">
        <f ca="1">IF(ISBLANK(OFFSET('Min. Expl. By Commodity (Data)'!F103, 0, VLOOKUP($C$7, 'Min. Expl. By Commodity (Data)'!$A$9:$B$19, 2, FALSE))),
        "",
        OFFSET('Min. Expl. By Commodity (Data)'!F103, 0, VLOOKUP($C$7, 'Min. Expl. By Commodity (Data)'!$A$9:$B$19, 2, FALSE))
)</f>
        <v>1048.2</v>
      </c>
      <c r="F104" s="148">
        <f t="shared" ca="1" si="12"/>
        <v>0.61534058385804236</v>
      </c>
    </row>
    <row r="105" spans="1:6" x14ac:dyDescent="0.25">
      <c r="A105">
        <f t="shared" si="13"/>
        <v>2023</v>
      </c>
      <c r="B105" s="139">
        <v>44986</v>
      </c>
      <c r="C105" s="15">
        <f ca="1">IF(ISBLANK(OFFSET('Min. Expl. By Commodity (Data)'!D104, 0, VLOOKUP($C$7, 'Min. Expl. By Commodity (Data)'!$A$9:$B$19, 2, FALSE))),
        "",
        OFFSET('Min. Expl. By Commodity (Data)'!D104, 0, VLOOKUP($C$7, 'Min. Expl. By Commodity (Data)'!$A$9:$B$19, 2, FALSE))
)</f>
        <v>545.5</v>
      </c>
      <c r="D105" s="16">
        <f ca="1">IF(ISBLANK(OFFSET('Min. Expl. By Commodity (Data)'!E104, 0, VLOOKUP($C$7, 'Min. Expl. By Commodity (Data)'!$A$9:$B$19, 2, FALSE))),
        "",
        OFFSET('Min. Expl. By Commodity (Data)'!E104, 0, VLOOKUP($C$7, 'Min. Expl. By Commodity (Data)'!$A$9:$B$19, 2, FALSE))
)</f>
        <v>350.4</v>
      </c>
      <c r="E105" s="15">
        <f ca="1">IF(ISBLANK(OFFSET('Min. Expl. By Commodity (Data)'!F104, 0, VLOOKUP($C$7, 'Min. Expl. By Commodity (Data)'!$A$9:$B$19, 2, FALSE))),
        "",
        OFFSET('Min. Expl. By Commodity (Data)'!F104, 0, VLOOKUP($C$7, 'Min. Expl. By Commodity (Data)'!$A$9:$B$19, 2, FALSE))
)</f>
        <v>895.9</v>
      </c>
      <c r="F105" s="140">
        <f t="shared" ca="1" si="12"/>
        <v>0.6088849201919857</v>
      </c>
    </row>
    <row r="106" spans="1:6" x14ac:dyDescent="0.25">
      <c r="A106">
        <f t="shared" si="13"/>
        <v>2023</v>
      </c>
      <c r="B106" s="139">
        <v>45078</v>
      </c>
      <c r="C106" s="146">
        <f ca="1">IF(ISBLANK(OFFSET('Min. Expl. By Commodity (Data)'!D105, 0, VLOOKUP($C$7, 'Min. Expl. By Commodity (Data)'!$A$9:$B$19, 2, FALSE))),
        "",
        OFFSET('Min. Expl. By Commodity (Data)'!D105, 0, VLOOKUP($C$7, 'Min. Expl. By Commodity (Data)'!$A$9:$B$19, 2, FALSE))
)</f>
        <v>663.9</v>
      </c>
      <c r="D106" s="147">
        <f ca="1">IF(ISBLANK(OFFSET('Min. Expl. By Commodity (Data)'!E105, 0, VLOOKUP($C$7, 'Min. Expl. By Commodity (Data)'!$A$9:$B$19, 2, FALSE))),
        "",
        OFFSET('Min. Expl. By Commodity (Data)'!E105, 0, VLOOKUP($C$7, 'Min. Expl. By Commodity (Data)'!$A$9:$B$19, 2, FALSE))
)</f>
        <v>426.1</v>
      </c>
      <c r="E106" s="146">
        <f ca="1">IF(ISBLANK(OFFSET('Min. Expl. By Commodity (Data)'!F105, 0, VLOOKUP($C$7, 'Min. Expl. By Commodity (Data)'!$A$9:$B$19, 2, FALSE))),
        "",
        OFFSET('Min. Expl. By Commodity (Data)'!F105, 0, VLOOKUP($C$7, 'Min. Expl. By Commodity (Data)'!$A$9:$B$19, 2, FALSE))
)</f>
        <v>1090</v>
      </c>
      <c r="F106" s="148">
        <f t="shared" ca="1" si="12"/>
        <v>0.60908256880733946</v>
      </c>
    </row>
    <row r="107" spans="1:6" x14ac:dyDescent="0.25">
      <c r="A107">
        <f t="shared" si="13"/>
        <v>2023</v>
      </c>
      <c r="B107" s="139">
        <v>45170</v>
      </c>
      <c r="C107" s="15">
        <f ca="1">IF(ISBLANK(OFFSET('Min. Expl. By Commodity (Data)'!D106, 0, VLOOKUP($C$7, 'Min. Expl. By Commodity (Data)'!$A$9:$B$19, 2, FALSE))),
        "",
        OFFSET('Min. Expl. By Commodity (Data)'!D106, 0, VLOOKUP($C$7, 'Min. Expl. By Commodity (Data)'!$A$9:$B$19, 2, FALSE))
)</f>
        <v>714.9</v>
      </c>
      <c r="D107" s="16">
        <f ca="1">IF(ISBLANK(OFFSET('Min. Expl. By Commodity (Data)'!E106, 0, VLOOKUP($C$7, 'Min. Expl. By Commodity (Data)'!$A$9:$B$19, 2, FALSE))),
        "",
        OFFSET('Min. Expl. By Commodity (Data)'!E106, 0, VLOOKUP($C$7, 'Min. Expl. By Commodity (Data)'!$A$9:$B$19, 2, FALSE))
)</f>
        <v>445.00000000000011</v>
      </c>
      <c r="E107" s="15">
        <f ca="1">IF(ISBLANK(OFFSET('Min. Expl. By Commodity (Data)'!F106, 0, VLOOKUP($C$7, 'Min. Expl. By Commodity (Data)'!$A$9:$B$19, 2, FALSE))),
        "",
        OFFSET('Min. Expl. By Commodity (Data)'!F106, 0, VLOOKUP($C$7, 'Min. Expl. By Commodity (Data)'!$A$9:$B$19, 2, FALSE))
)</f>
        <v>1159.9000000000001</v>
      </c>
      <c r="F107" s="140">
        <f t="shared" ca="1" si="12"/>
        <v>0.61634623674454692</v>
      </c>
    </row>
    <row r="108" spans="1:6" x14ac:dyDescent="0.25">
      <c r="A108">
        <f t="shared" si="13"/>
        <v>2023</v>
      </c>
      <c r="B108" s="139">
        <v>45261</v>
      </c>
      <c r="C108" s="146">
        <f ca="1">IF(ISBLANK(OFFSET('Min. Expl. By Commodity (Data)'!D107, 0, VLOOKUP($C$7, 'Min. Expl. By Commodity (Data)'!$A$9:$B$19, 2, FALSE))),
        "",
        OFFSET('Min. Expl. By Commodity (Data)'!D107, 0, VLOOKUP($C$7, 'Min. Expl. By Commodity (Data)'!$A$9:$B$19, 2, FALSE))
)</f>
        <v>676.9</v>
      </c>
      <c r="D108" s="147">
        <f ca="1">IF(ISBLANK(OFFSET('Min. Expl. By Commodity (Data)'!E107, 0, VLOOKUP($C$7, 'Min. Expl. By Commodity (Data)'!$A$9:$B$19, 2, FALSE))),
        "",
        OFFSET('Min. Expl. By Commodity (Data)'!E107, 0, VLOOKUP($C$7, 'Min. Expl. By Commodity (Data)'!$A$9:$B$19, 2, FALSE))
)</f>
        <v>437.9</v>
      </c>
      <c r="E108" s="146">
        <f ca="1">IF(ISBLANK(OFFSET('Min. Expl. By Commodity (Data)'!F107, 0, VLOOKUP($C$7, 'Min. Expl. By Commodity (Data)'!$A$9:$B$19, 2, FALSE))),
        "",
        OFFSET('Min. Expl. By Commodity (Data)'!F107, 0, VLOOKUP($C$7, 'Min. Expl. By Commodity (Data)'!$A$9:$B$19, 2, FALSE))
)</f>
        <v>1114.8</v>
      </c>
      <c r="F108" s="148">
        <f t="shared" ca="1" si="12"/>
        <v>0.60719411553641911</v>
      </c>
    </row>
    <row r="109" spans="1:6" x14ac:dyDescent="0.25">
      <c r="A109">
        <f t="shared" si="13"/>
        <v>2024</v>
      </c>
      <c r="B109" s="139">
        <v>45352</v>
      </c>
      <c r="C109" s="15">
        <f ca="1">IF(ISBLANK(OFFSET('Min. Expl. By Commodity (Data)'!D108, 0, VLOOKUP($C$7, 'Min. Expl. By Commodity (Data)'!$A$9:$B$19, 2, FALSE))),
        "",
        OFFSET('Min. Expl. By Commodity (Data)'!D108, 0, VLOOKUP($C$7, 'Min. Expl. By Commodity (Data)'!$A$9:$B$19, 2, FALSE))
)</f>
        <v>553.6</v>
      </c>
      <c r="D109" s="16">
        <f ca="1">IF(ISBLANK(OFFSET('Min. Expl. By Commodity (Data)'!E108, 0, VLOOKUP($C$7, 'Min. Expl. By Commodity (Data)'!$A$9:$B$19, 2, FALSE))),
        "",
        OFFSET('Min. Expl. By Commodity (Data)'!E108, 0, VLOOKUP($C$7, 'Min. Expl. By Commodity (Data)'!$A$9:$B$19, 2, FALSE))
)</f>
        <v>356</v>
      </c>
      <c r="E109" s="15">
        <f ca="1">IF(ISBLANK(OFFSET('Min. Expl. By Commodity (Data)'!F108, 0, VLOOKUP($C$7, 'Min. Expl. By Commodity (Data)'!$A$9:$B$19, 2, FALSE))),
        "",
        OFFSET('Min. Expl. By Commodity (Data)'!F108, 0, VLOOKUP($C$7, 'Min. Expl. By Commodity (Data)'!$A$9:$B$19, 2, FALSE))
)</f>
        <v>909.6</v>
      </c>
      <c r="F109" s="140">
        <f t="shared" ref="F109:F110" ca="1" si="14">IF(OR(C109="", E109=""), "n/a", C109/E109)</f>
        <v>0.60861917326297277</v>
      </c>
    </row>
    <row r="110" spans="1:6" x14ac:dyDescent="0.25">
      <c r="A110">
        <f t="shared" si="13"/>
        <v>2024</v>
      </c>
      <c r="B110" s="139">
        <v>45444</v>
      </c>
      <c r="C110" s="146">
        <f ca="1">IF(ISBLANK(OFFSET('Min. Expl. By Commodity (Data)'!D109, 0, VLOOKUP($C$7, 'Min. Expl. By Commodity (Data)'!$A$9:$B$19, 2, FALSE))),
        "",
        OFFSET('Min. Expl. By Commodity (Data)'!D109, 0, VLOOKUP($C$7, 'Min. Expl. By Commodity (Data)'!$A$9:$B$19, 2, FALSE))
)</f>
        <v>638.1</v>
      </c>
      <c r="D110" s="147">
        <f ca="1">IF(ISBLANK(OFFSET('Min. Expl. By Commodity (Data)'!E109, 0, VLOOKUP($C$7, 'Min. Expl. By Commodity (Data)'!$A$9:$B$19, 2, FALSE))),
        "",
        OFFSET('Min. Expl. By Commodity (Data)'!E109, 0, VLOOKUP($C$7, 'Min. Expl. By Commodity (Data)'!$A$9:$B$19, 2, FALSE))
)</f>
        <v>392.30000000000007</v>
      </c>
      <c r="E110" s="146">
        <f ca="1">IF(ISBLANK(OFFSET('Min. Expl. By Commodity (Data)'!F109, 0, VLOOKUP($C$7, 'Min. Expl. By Commodity (Data)'!$A$9:$B$19, 2, FALSE))),
        "",
        OFFSET('Min. Expl. By Commodity (Data)'!F109, 0, VLOOKUP($C$7, 'Min. Expl. By Commodity (Data)'!$A$9:$B$19, 2, FALSE))
)</f>
        <v>1030.4000000000001</v>
      </c>
      <c r="F110" s="148">
        <f t="shared" ca="1" si="14"/>
        <v>0.61927406832298137</v>
      </c>
    </row>
    <row r="111" spans="1:6" x14ac:dyDescent="0.25">
      <c r="A111">
        <f t="shared" si="13"/>
        <v>2024</v>
      </c>
      <c r="B111" s="139">
        <v>45536</v>
      </c>
      <c r="C111" s="15">
        <f ca="1">IF(ISBLANK(OFFSET('Min. Expl. By Commodity (Data)'!D110, 0, VLOOKUP($C$7, 'Min. Expl. By Commodity (Data)'!$A$9:$B$19, 2, FALSE))),
        "",
        OFFSET('Min. Expl. By Commodity (Data)'!D110, 0, VLOOKUP($C$7, 'Min. Expl. By Commodity (Data)'!$A$9:$B$19, 2, FALSE))
)</f>
        <v>663.9</v>
      </c>
      <c r="D111" s="16">
        <f ca="1">IF(ISBLANK(OFFSET('Min. Expl. By Commodity (Data)'!E110, 0, VLOOKUP($C$7, 'Min. Expl. By Commodity (Data)'!$A$9:$B$19, 2, FALSE))),
        "",
        OFFSET('Min. Expl. By Commodity (Data)'!E110, 0, VLOOKUP($C$7, 'Min. Expl. By Commodity (Data)'!$A$9:$B$19, 2, FALSE))
)</f>
        <v>352.80000000000007</v>
      </c>
      <c r="E111" s="15">
        <f ca="1">IF(ISBLANK(OFFSET('Min. Expl. By Commodity (Data)'!F110, 0, VLOOKUP($C$7, 'Min. Expl. By Commodity (Data)'!$A$9:$B$19, 2, FALSE))),
        "",
        OFFSET('Min. Expl. By Commodity (Data)'!F110, 0, VLOOKUP($C$7, 'Min. Expl. By Commodity (Data)'!$A$9:$B$19, 2, FALSE))
)</f>
        <v>1016.7</v>
      </c>
      <c r="F111" s="140">
        <f t="shared" ref="F111:F112" ca="1" si="15">IF(OR(C111="", E111=""), "n/a", C111/E111)</f>
        <v>0.65299498377102383</v>
      </c>
    </row>
    <row r="112" spans="1:6" x14ac:dyDescent="0.25">
      <c r="A112">
        <f t="shared" si="13"/>
        <v>2024</v>
      </c>
      <c r="B112" s="139">
        <v>45627</v>
      </c>
      <c r="C112" s="146">
        <f ca="1">IF(ISBLANK(OFFSET('Min. Expl. By Commodity (Data)'!D111, 0, VLOOKUP($C$7, 'Min. Expl. By Commodity (Data)'!$A$9:$B$19, 2, FALSE))),
        "",
        OFFSET('Min. Expl. By Commodity (Data)'!D111, 0, VLOOKUP($C$7, 'Min. Expl. By Commodity (Data)'!$A$9:$B$19, 2, FALSE))
)</f>
        <v>659</v>
      </c>
      <c r="D112" s="147">
        <f ca="1">IF(ISBLANK(OFFSET('Min. Expl. By Commodity (Data)'!E111, 0, VLOOKUP($C$7, 'Min. Expl. By Commodity (Data)'!$A$9:$B$19, 2, FALSE))),
        "",
        OFFSET('Min. Expl. By Commodity (Data)'!E111, 0, VLOOKUP($C$7, 'Min. Expl. By Commodity (Data)'!$A$9:$B$19, 2, FALSE))
)</f>
        <v>327</v>
      </c>
      <c r="E112" s="146">
        <f ca="1">IF(ISBLANK(OFFSET('Min. Expl. By Commodity (Data)'!F111, 0, VLOOKUP($C$7, 'Min. Expl. By Commodity (Data)'!$A$9:$B$19, 2, FALSE))),
        "",
        OFFSET('Min. Expl. By Commodity (Data)'!F111, 0, VLOOKUP($C$7, 'Min. Expl. By Commodity (Data)'!$A$9:$B$19, 2, FALSE))
)</f>
        <v>986</v>
      </c>
      <c r="F112" s="148">
        <f t="shared" ca="1" si="15"/>
        <v>0.66835699797160242</v>
      </c>
    </row>
    <row r="113" spans="1:6" x14ac:dyDescent="0.25">
      <c r="A113">
        <f t="shared" si="13"/>
        <v>2025</v>
      </c>
      <c r="B113" s="139">
        <v>45717</v>
      </c>
      <c r="C113" s="15">
        <f ca="1">IF(ISBLANK(OFFSET('Min. Expl. By Commodity (Data)'!D112, 0, VLOOKUP($C$7, 'Min. Expl. By Commodity (Data)'!$A$9:$B$19, 2, FALSE))),
        "",
        OFFSET('Min. Expl. By Commodity (Data)'!D112, 0, VLOOKUP($C$7, 'Min. Expl. By Commodity (Data)'!$A$9:$B$19, 2, FALSE))
)</f>
        <v>543.6</v>
      </c>
      <c r="D113" s="16">
        <f ca="1">IF(ISBLANK(OFFSET('Min. Expl. By Commodity (Data)'!E112, 0, VLOOKUP($C$7, 'Min. Expl. By Commodity (Data)'!$A$9:$B$19, 2, FALSE))),
        "",
        OFFSET('Min. Expl. By Commodity (Data)'!E112, 0, VLOOKUP($C$7, 'Min. Expl. By Commodity (Data)'!$A$9:$B$19, 2, FALSE))
)</f>
        <v>272.60000000000002</v>
      </c>
      <c r="E113" s="15">
        <f ca="1">IF(ISBLANK(OFFSET('Min. Expl. By Commodity (Data)'!F112, 0, VLOOKUP($C$7, 'Min. Expl. By Commodity (Data)'!$A$9:$B$19, 2, FALSE))),
        "",
        OFFSET('Min. Expl. By Commodity (Data)'!F112, 0, VLOOKUP($C$7, 'Min. Expl. By Commodity (Data)'!$A$9:$B$19, 2, FALSE))
)</f>
        <v>816.2</v>
      </c>
      <c r="F113" s="140">
        <f t="shared" ref="F113:F114" ca="1" si="16">IF(OR(C113="", E113=""), "n/a", C113/E113)</f>
        <v>0.66601323205096785</v>
      </c>
    </row>
    <row r="114" spans="1:6" x14ac:dyDescent="0.25">
      <c r="A114">
        <f t="shared" si="13"/>
        <v>2025</v>
      </c>
      <c r="B114" s="139">
        <v>45809</v>
      </c>
      <c r="C114" s="146">
        <f ca="1">IF(ISBLANK(OFFSET('Min. Expl. By Commodity (Data)'!D113, 0, VLOOKUP($C$7, 'Min. Expl. By Commodity (Data)'!$A$9:$B$19, 2, FALSE))),
        "",
        OFFSET('Min. Expl. By Commodity (Data)'!D113, 0, VLOOKUP($C$7, 'Min. Expl. By Commodity (Data)'!$A$9:$B$19, 2, FALSE))
)</f>
        <v>698.4</v>
      </c>
      <c r="D114" s="147">
        <f ca="1">IF(ISBLANK(OFFSET('Min. Expl. By Commodity (Data)'!E113, 0, VLOOKUP($C$7, 'Min. Expl. By Commodity (Data)'!$A$9:$B$19, 2, FALSE))),
        "",
        OFFSET('Min. Expl. By Commodity (Data)'!E113, 0, VLOOKUP($C$7, 'Min. Expl. By Commodity (Data)'!$A$9:$B$19, 2, FALSE))
)</f>
        <v>311.5</v>
      </c>
      <c r="E114" s="146">
        <f ca="1">IF(ISBLANK(OFFSET('Min. Expl. By Commodity (Data)'!F113, 0, VLOOKUP($C$7, 'Min. Expl. By Commodity (Data)'!$A$9:$B$19, 2, FALSE))),
        "",
        OFFSET('Min. Expl. By Commodity (Data)'!F113, 0, VLOOKUP($C$7, 'Min. Expl. By Commodity (Data)'!$A$9:$B$19, 2, FALSE))
)</f>
        <v>1009.9</v>
      </c>
      <c r="F114" s="148">
        <f t="shared" ca="1" si="16"/>
        <v>0.69155361917021485</v>
      </c>
    </row>
    <row r="115" spans="1:6" x14ac:dyDescent="0.25">
      <c r="A115">
        <f t="shared" si="13"/>
        <v>2025</v>
      </c>
      <c r="B115" s="139">
        <v>45901</v>
      </c>
      <c r="C115" s="15">
        <f ca="1">IF(ISBLANK(OFFSET('Min. Expl. By Commodity (Data)'!D114, 0, VLOOKUP($C$7, 'Min. Expl. By Commodity (Data)'!$A$9:$B$19, 2, FALSE))),
        "",
        OFFSET('Min. Expl. By Commodity (Data)'!D114, 0, VLOOKUP($C$7, 'Min. Expl. By Commodity (Data)'!$A$9:$B$19, 2, FALSE))
)</f>
        <v>733.4</v>
      </c>
      <c r="D115" s="16">
        <f ca="1">IF(ISBLANK(OFFSET('Min. Expl. By Commodity (Data)'!E114, 0, VLOOKUP($C$7, 'Min. Expl. By Commodity (Data)'!$A$9:$B$19, 2, FALSE))),
        "",
        OFFSET('Min. Expl. By Commodity (Data)'!E114, 0, VLOOKUP($C$7, 'Min. Expl. By Commodity (Data)'!$A$9:$B$19, 2, FALSE))
)</f>
        <v>336.00000000000011</v>
      </c>
      <c r="E115" s="15">
        <f ca="1">IF(ISBLANK(OFFSET('Min. Expl. By Commodity (Data)'!F114, 0, VLOOKUP($C$7, 'Min. Expl. By Commodity (Data)'!$A$9:$B$19, 2, FALSE))),
        "",
        OFFSET('Min. Expl. By Commodity (Data)'!F114, 0, VLOOKUP($C$7, 'Min. Expl. By Commodity (Data)'!$A$9:$B$19, 2, FALSE))
)</f>
        <v>1069.4000000000001</v>
      </c>
      <c r="F115" s="140">
        <f t="shared" ref="F115:F116" ca="1" si="17">IF(OR(C115="", E115=""), "n/a", C115/E115)</f>
        <v>0.68580512436880481</v>
      </c>
    </row>
    <row r="116" spans="1:6" ht="15.75" thickBot="1" x14ac:dyDescent="0.3">
      <c r="A116">
        <f t="shared" si="13"/>
        <v>2025</v>
      </c>
      <c r="B116" s="161">
        <v>45992</v>
      </c>
      <c r="C116" s="162">
        <f ca="1">IF(ISBLANK(OFFSET('Min. Expl. By Commodity (Data)'!D115, 0, VLOOKUP($C$7, 'Min. Expl. By Commodity (Data)'!$A$9:$B$19, 2, FALSE))),
        "",
        OFFSET('Min. Expl. By Commodity (Data)'!D115, 0, VLOOKUP($C$7, 'Min. Expl. By Commodity (Data)'!$A$9:$B$19, 2, FALSE))
)</f>
        <v>723.6</v>
      </c>
      <c r="D116" s="163">
        <f ca="1">IF(ISBLANK(OFFSET('Min. Expl. By Commodity (Data)'!E115, 0, VLOOKUP($C$7, 'Min. Expl. By Commodity (Data)'!$A$9:$B$19, 2, FALSE))),
        "",
        OFFSET('Min. Expl. By Commodity (Data)'!E115, 0, VLOOKUP($C$7, 'Min. Expl. By Commodity (Data)'!$A$9:$B$19, 2, FALSE))
)</f>
        <v>330.19999999999993</v>
      </c>
      <c r="E116" s="162">
        <f ca="1">IF(ISBLANK(OFFSET('Min. Expl. By Commodity (Data)'!F115, 0, VLOOKUP($C$7, 'Min. Expl. By Commodity (Data)'!$A$9:$B$19, 2, FALSE))),
        "",
        OFFSET('Min. Expl. By Commodity (Data)'!F115, 0, VLOOKUP($C$7, 'Min. Expl. By Commodity (Data)'!$A$9:$B$19, 2, FALSE))
)</f>
        <v>1053.8</v>
      </c>
      <c r="F116" s="164">
        <f t="shared" ca="1" si="17"/>
        <v>0.6866578098310876</v>
      </c>
    </row>
    <row r="117" spans="1:6" x14ac:dyDescent="0.25">
      <c r="A117">
        <f t="shared" si="13"/>
        <v>1900</v>
      </c>
      <c r="B117" s="165"/>
      <c r="C117" s="169"/>
      <c r="E117" s="169"/>
    </row>
    <row r="118" spans="1:6" x14ac:dyDescent="0.25">
      <c r="A118">
        <f t="shared" si="13"/>
        <v>1900</v>
      </c>
      <c r="B118" s="165"/>
      <c r="C118" s="169"/>
      <c r="E118" s="169"/>
    </row>
    <row r="119" spans="1:6" x14ac:dyDescent="0.25">
      <c r="A119">
        <f t="shared" si="13"/>
        <v>1900</v>
      </c>
      <c r="B119" s="165"/>
      <c r="C119" s="169"/>
      <c r="E119" s="169"/>
    </row>
    <row r="120" spans="1:6" x14ac:dyDescent="0.25">
      <c r="A120">
        <f t="shared" si="13"/>
        <v>1900</v>
      </c>
      <c r="B120" s="167"/>
      <c r="C120" s="169"/>
      <c r="D120" s="169"/>
      <c r="E120" s="169"/>
    </row>
    <row r="121" spans="1:6" x14ac:dyDescent="0.25">
      <c r="A121">
        <f t="shared" si="13"/>
        <v>1900</v>
      </c>
      <c r="B121" s="167"/>
      <c r="C121" s="169"/>
      <c r="D121" s="169"/>
      <c r="E121" s="169"/>
    </row>
    <row r="122" spans="1:6" x14ac:dyDescent="0.25">
      <c r="A122">
        <f t="shared" si="13"/>
        <v>1900</v>
      </c>
      <c r="B122" s="165"/>
      <c r="C122" s="169"/>
      <c r="D122" s="169"/>
      <c r="E122" s="169"/>
    </row>
    <row r="123" spans="1:6" x14ac:dyDescent="0.25">
      <c r="A123">
        <f t="shared" si="13"/>
        <v>1900</v>
      </c>
      <c r="B123" s="166"/>
      <c r="C123" s="169"/>
      <c r="D123" s="169"/>
      <c r="E123" s="169"/>
    </row>
    <row r="124" spans="1:6" x14ac:dyDescent="0.25">
      <c r="A124">
        <f t="shared" si="13"/>
        <v>1900</v>
      </c>
      <c r="B124" s="167"/>
      <c r="C124" s="169"/>
      <c r="D124" s="169"/>
      <c r="E124" s="169"/>
    </row>
    <row r="125" spans="1:6" x14ac:dyDescent="0.25">
      <c r="A125">
        <f t="shared" si="13"/>
        <v>1900</v>
      </c>
      <c r="B125" s="167"/>
      <c r="C125" s="169"/>
      <c r="D125" s="169"/>
      <c r="E125" s="169"/>
    </row>
    <row r="126" spans="1:6" x14ac:dyDescent="0.25">
      <c r="A126">
        <f t="shared" si="13"/>
        <v>1900</v>
      </c>
      <c r="B126" s="167"/>
      <c r="C126" s="169"/>
      <c r="D126" s="169"/>
      <c r="E126" s="169"/>
    </row>
    <row r="127" spans="1:6" x14ac:dyDescent="0.25">
      <c r="A127">
        <f t="shared" si="13"/>
        <v>1900</v>
      </c>
      <c r="B127" s="168"/>
      <c r="C127" s="169"/>
      <c r="D127" s="169"/>
      <c r="E127" s="169"/>
    </row>
    <row r="128" spans="1:6" x14ac:dyDescent="0.25">
      <c r="A128">
        <f t="shared" si="13"/>
        <v>1900</v>
      </c>
      <c r="C128" s="169"/>
      <c r="D128" s="169"/>
      <c r="E128" s="169"/>
    </row>
    <row r="129" spans="1:5" x14ac:dyDescent="0.25">
      <c r="A129">
        <f t="shared" si="13"/>
        <v>1900</v>
      </c>
      <c r="C129" s="169"/>
      <c r="D129" s="169"/>
      <c r="E129" s="169"/>
    </row>
    <row r="130" spans="1:5" x14ac:dyDescent="0.25">
      <c r="A130">
        <f t="shared" si="13"/>
        <v>1900</v>
      </c>
      <c r="C130" s="169"/>
      <c r="D130" s="169"/>
      <c r="E130" s="169"/>
    </row>
    <row r="131" spans="1:5" x14ac:dyDescent="0.25">
      <c r="A131">
        <f t="shared" si="13"/>
        <v>1900</v>
      </c>
      <c r="C131" s="169"/>
      <c r="D131" s="169"/>
      <c r="E131" s="169"/>
    </row>
    <row r="132" spans="1:5" x14ac:dyDescent="0.25">
      <c r="A132">
        <f t="shared" si="13"/>
        <v>1900</v>
      </c>
      <c r="C132" s="169"/>
      <c r="D132" s="169"/>
      <c r="E132" s="169"/>
    </row>
    <row r="133" spans="1:5" x14ac:dyDescent="0.25">
      <c r="A133">
        <f t="shared" si="13"/>
        <v>1900</v>
      </c>
      <c r="C133" s="169"/>
      <c r="D133" s="169"/>
      <c r="E133" s="169"/>
    </row>
    <row r="134" spans="1:5" x14ac:dyDescent="0.25">
      <c r="A134">
        <f t="shared" si="13"/>
        <v>1900</v>
      </c>
      <c r="C134" s="169"/>
      <c r="D134" s="169"/>
      <c r="E134" s="169"/>
    </row>
    <row r="135" spans="1:5" x14ac:dyDescent="0.25">
      <c r="A135">
        <f t="shared" si="13"/>
        <v>1900</v>
      </c>
      <c r="C135" s="169"/>
      <c r="D135" s="169"/>
      <c r="E135" s="169"/>
    </row>
    <row r="136" spans="1:5" x14ac:dyDescent="0.25">
      <c r="A136">
        <f t="shared" si="13"/>
        <v>1900</v>
      </c>
      <c r="C136" s="169"/>
      <c r="D136" s="169"/>
      <c r="E136" s="169"/>
    </row>
    <row r="137" spans="1:5" x14ac:dyDescent="0.25">
      <c r="A137">
        <f t="shared" si="13"/>
        <v>1900</v>
      </c>
      <c r="C137" s="169"/>
      <c r="D137" s="169"/>
      <c r="E137" s="169"/>
    </row>
    <row r="138" spans="1:5" x14ac:dyDescent="0.25">
      <c r="A138">
        <f t="shared" si="13"/>
        <v>1900</v>
      </c>
      <c r="C138" s="169"/>
      <c r="D138" s="169"/>
      <c r="E138" s="169"/>
    </row>
    <row r="139" spans="1:5" x14ac:dyDescent="0.25">
      <c r="A139">
        <f t="shared" si="13"/>
        <v>1900</v>
      </c>
      <c r="C139" s="169"/>
      <c r="D139" s="169"/>
      <c r="E139" s="169"/>
    </row>
    <row r="140" spans="1:5" x14ac:dyDescent="0.25">
      <c r="A140">
        <f t="shared" ref="A140:A203" si="18">YEAR(B140)</f>
        <v>1900</v>
      </c>
      <c r="C140" s="169"/>
      <c r="D140" s="169"/>
      <c r="E140" s="169"/>
    </row>
    <row r="141" spans="1:5" x14ac:dyDescent="0.25">
      <c r="A141">
        <f t="shared" si="18"/>
        <v>1900</v>
      </c>
      <c r="C141" s="169"/>
      <c r="D141" s="169"/>
      <c r="E141" s="169"/>
    </row>
    <row r="142" spans="1:5" x14ac:dyDescent="0.25">
      <c r="A142">
        <f t="shared" si="18"/>
        <v>1900</v>
      </c>
      <c r="C142" s="169"/>
      <c r="D142" s="169"/>
      <c r="E142" s="169"/>
    </row>
    <row r="143" spans="1:5" x14ac:dyDescent="0.25">
      <c r="A143">
        <f t="shared" si="18"/>
        <v>1900</v>
      </c>
      <c r="C143" s="169"/>
      <c r="D143" s="169"/>
      <c r="E143" s="169"/>
    </row>
    <row r="144" spans="1:5" x14ac:dyDescent="0.25">
      <c r="A144">
        <f t="shared" si="18"/>
        <v>1900</v>
      </c>
    </row>
    <row r="145" spans="1:1" x14ac:dyDescent="0.25">
      <c r="A145">
        <f t="shared" si="18"/>
        <v>1900</v>
      </c>
    </row>
    <row r="146" spans="1:1" x14ac:dyDescent="0.25">
      <c r="A146">
        <f t="shared" si="18"/>
        <v>1900</v>
      </c>
    </row>
    <row r="147" spans="1:1" x14ac:dyDescent="0.25">
      <c r="A147">
        <f t="shared" si="18"/>
        <v>1900</v>
      </c>
    </row>
    <row r="148" spans="1:1" x14ac:dyDescent="0.25">
      <c r="A148">
        <f t="shared" si="18"/>
        <v>1900</v>
      </c>
    </row>
    <row r="149" spans="1:1" x14ac:dyDescent="0.25">
      <c r="A149">
        <f t="shared" si="18"/>
        <v>1900</v>
      </c>
    </row>
    <row r="150" spans="1:1" x14ac:dyDescent="0.25">
      <c r="A150">
        <f t="shared" si="18"/>
        <v>1900</v>
      </c>
    </row>
    <row r="151" spans="1:1" x14ac:dyDescent="0.25">
      <c r="A151">
        <f t="shared" si="18"/>
        <v>1900</v>
      </c>
    </row>
    <row r="152" spans="1:1" x14ac:dyDescent="0.25">
      <c r="A152">
        <f t="shared" si="18"/>
        <v>1900</v>
      </c>
    </row>
    <row r="153" spans="1:1" x14ac:dyDescent="0.25">
      <c r="A153">
        <f t="shared" si="18"/>
        <v>1900</v>
      </c>
    </row>
    <row r="154" spans="1:1" x14ac:dyDescent="0.25">
      <c r="A154">
        <f t="shared" si="18"/>
        <v>1900</v>
      </c>
    </row>
    <row r="155" spans="1:1" x14ac:dyDescent="0.25">
      <c r="A155">
        <f t="shared" si="18"/>
        <v>1900</v>
      </c>
    </row>
    <row r="156" spans="1:1" x14ac:dyDescent="0.25">
      <c r="A156">
        <f t="shared" si="18"/>
        <v>1900</v>
      </c>
    </row>
    <row r="157" spans="1:1" x14ac:dyDescent="0.25">
      <c r="A157">
        <f t="shared" si="18"/>
        <v>1900</v>
      </c>
    </row>
    <row r="158" spans="1:1" x14ac:dyDescent="0.25">
      <c r="A158">
        <f t="shared" si="18"/>
        <v>1900</v>
      </c>
    </row>
    <row r="159" spans="1:1" x14ac:dyDescent="0.25">
      <c r="A159">
        <f t="shared" si="18"/>
        <v>1900</v>
      </c>
    </row>
    <row r="160" spans="1:1" x14ac:dyDescent="0.25">
      <c r="A160">
        <f t="shared" si="18"/>
        <v>1900</v>
      </c>
    </row>
    <row r="161" spans="1:1" x14ac:dyDescent="0.25">
      <c r="A161">
        <f t="shared" si="18"/>
        <v>1900</v>
      </c>
    </row>
    <row r="162" spans="1:1" x14ac:dyDescent="0.25">
      <c r="A162">
        <f t="shared" si="18"/>
        <v>1900</v>
      </c>
    </row>
    <row r="163" spans="1:1" x14ac:dyDescent="0.25">
      <c r="A163">
        <f t="shared" si="18"/>
        <v>1900</v>
      </c>
    </row>
    <row r="164" spans="1:1" x14ac:dyDescent="0.25">
      <c r="A164">
        <f t="shared" si="18"/>
        <v>1900</v>
      </c>
    </row>
    <row r="165" spans="1:1" x14ac:dyDescent="0.25">
      <c r="A165">
        <f t="shared" si="18"/>
        <v>1900</v>
      </c>
    </row>
    <row r="166" spans="1:1" x14ac:dyDescent="0.25">
      <c r="A166">
        <f t="shared" si="18"/>
        <v>1900</v>
      </c>
    </row>
    <row r="167" spans="1:1" x14ac:dyDescent="0.25">
      <c r="A167">
        <f t="shared" si="18"/>
        <v>1900</v>
      </c>
    </row>
    <row r="168" spans="1:1" x14ac:dyDescent="0.25">
      <c r="A168">
        <f t="shared" si="18"/>
        <v>1900</v>
      </c>
    </row>
    <row r="169" spans="1:1" x14ac:dyDescent="0.25">
      <c r="A169">
        <f t="shared" si="18"/>
        <v>1900</v>
      </c>
    </row>
    <row r="170" spans="1:1" x14ac:dyDescent="0.25">
      <c r="A170">
        <f t="shared" si="18"/>
        <v>1900</v>
      </c>
    </row>
    <row r="171" spans="1:1" x14ac:dyDescent="0.25">
      <c r="A171">
        <f t="shared" si="18"/>
        <v>1900</v>
      </c>
    </row>
    <row r="172" spans="1:1" x14ac:dyDescent="0.25">
      <c r="A172">
        <f t="shared" si="18"/>
        <v>1900</v>
      </c>
    </row>
    <row r="173" spans="1:1" x14ac:dyDescent="0.25">
      <c r="A173">
        <f t="shared" si="18"/>
        <v>1900</v>
      </c>
    </row>
    <row r="174" spans="1:1" x14ac:dyDescent="0.25">
      <c r="A174">
        <f t="shared" si="18"/>
        <v>1900</v>
      </c>
    </row>
    <row r="175" spans="1:1" x14ac:dyDescent="0.25">
      <c r="A175">
        <f t="shared" si="18"/>
        <v>1900</v>
      </c>
    </row>
    <row r="176" spans="1:1" x14ac:dyDescent="0.25">
      <c r="A176">
        <f t="shared" si="18"/>
        <v>1900</v>
      </c>
    </row>
    <row r="177" spans="1:1" x14ac:dyDescent="0.25">
      <c r="A177">
        <f t="shared" si="18"/>
        <v>1900</v>
      </c>
    </row>
    <row r="178" spans="1:1" x14ac:dyDescent="0.25">
      <c r="A178">
        <f t="shared" si="18"/>
        <v>1900</v>
      </c>
    </row>
    <row r="179" spans="1:1" x14ac:dyDescent="0.25">
      <c r="A179">
        <f t="shared" si="18"/>
        <v>1900</v>
      </c>
    </row>
    <row r="180" spans="1:1" x14ac:dyDescent="0.25">
      <c r="A180">
        <f t="shared" si="18"/>
        <v>1900</v>
      </c>
    </row>
    <row r="181" spans="1:1" x14ac:dyDescent="0.25">
      <c r="A181">
        <f t="shared" si="18"/>
        <v>1900</v>
      </c>
    </row>
    <row r="182" spans="1:1" x14ac:dyDescent="0.25">
      <c r="A182">
        <f t="shared" si="18"/>
        <v>1900</v>
      </c>
    </row>
    <row r="183" spans="1:1" x14ac:dyDescent="0.25">
      <c r="A183">
        <f t="shared" si="18"/>
        <v>1900</v>
      </c>
    </row>
    <row r="184" spans="1:1" x14ac:dyDescent="0.25">
      <c r="A184">
        <f t="shared" si="18"/>
        <v>1900</v>
      </c>
    </row>
    <row r="185" spans="1:1" x14ac:dyDescent="0.25">
      <c r="A185">
        <f t="shared" si="18"/>
        <v>1900</v>
      </c>
    </row>
    <row r="186" spans="1:1" x14ac:dyDescent="0.25">
      <c r="A186">
        <f t="shared" si="18"/>
        <v>1900</v>
      </c>
    </row>
    <row r="187" spans="1:1" x14ac:dyDescent="0.25">
      <c r="A187">
        <f t="shared" si="18"/>
        <v>1900</v>
      </c>
    </row>
    <row r="188" spans="1:1" x14ac:dyDescent="0.25">
      <c r="A188">
        <f t="shared" si="18"/>
        <v>1900</v>
      </c>
    </row>
    <row r="189" spans="1:1" x14ac:dyDescent="0.25">
      <c r="A189">
        <f t="shared" si="18"/>
        <v>1900</v>
      </c>
    </row>
    <row r="190" spans="1:1" x14ac:dyDescent="0.25">
      <c r="A190">
        <f t="shared" si="18"/>
        <v>1900</v>
      </c>
    </row>
    <row r="191" spans="1:1" x14ac:dyDescent="0.25">
      <c r="A191">
        <f t="shared" si="18"/>
        <v>1900</v>
      </c>
    </row>
    <row r="192" spans="1:1" x14ac:dyDescent="0.25">
      <c r="A192">
        <f t="shared" si="18"/>
        <v>1900</v>
      </c>
    </row>
    <row r="193" spans="1:1" x14ac:dyDescent="0.25">
      <c r="A193">
        <f t="shared" si="18"/>
        <v>1900</v>
      </c>
    </row>
    <row r="194" spans="1:1" x14ac:dyDescent="0.25">
      <c r="A194">
        <f t="shared" si="18"/>
        <v>1900</v>
      </c>
    </row>
    <row r="195" spans="1:1" x14ac:dyDescent="0.25">
      <c r="A195">
        <f t="shared" si="18"/>
        <v>1900</v>
      </c>
    </row>
    <row r="196" spans="1:1" x14ac:dyDescent="0.25">
      <c r="A196">
        <f t="shared" si="18"/>
        <v>1900</v>
      </c>
    </row>
    <row r="197" spans="1:1" x14ac:dyDescent="0.25">
      <c r="A197">
        <f t="shared" si="18"/>
        <v>1900</v>
      </c>
    </row>
    <row r="198" spans="1:1" x14ac:dyDescent="0.25">
      <c r="A198">
        <f t="shared" si="18"/>
        <v>1900</v>
      </c>
    </row>
    <row r="199" spans="1:1" x14ac:dyDescent="0.25">
      <c r="A199">
        <f t="shared" si="18"/>
        <v>1900</v>
      </c>
    </row>
    <row r="200" spans="1:1" x14ac:dyDescent="0.25">
      <c r="A200">
        <f t="shared" si="18"/>
        <v>1900</v>
      </c>
    </row>
    <row r="201" spans="1:1" x14ac:dyDescent="0.25">
      <c r="A201">
        <f t="shared" si="18"/>
        <v>1900</v>
      </c>
    </row>
    <row r="202" spans="1:1" x14ac:dyDescent="0.25">
      <c r="A202">
        <f t="shared" si="18"/>
        <v>1900</v>
      </c>
    </row>
    <row r="203" spans="1:1" x14ac:dyDescent="0.25">
      <c r="A203">
        <f t="shared" si="18"/>
        <v>1900</v>
      </c>
    </row>
    <row r="204" spans="1:1" x14ac:dyDescent="0.25">
      <c r="A204">
        <f t="shared" ref="A204:A267" si="19">YEAR(B204)</f>
        <v>1900</v>
      </c>
    </row>
    <row r="205" spans="1:1" x14ac:dyDescent="0.25">
      <c r="A205">
        <f t="shared" si="19"/>
        <v>1900</v>
      </c>
    </row>
    <row r="206" spans="1:1" x14ac:dyDescent="0.25">
      <c r="A206">
        <f t="shared" si="19"/>
        <v>1900</v>
      </c>
    </row>
    <row r="207" spans="1:1" x14ac:dyDescent="0.25">
      <c r="A207">
        <f t="shared" si="19"/>
        <v>1900</v>
      </c>
    </row>
    <row r="208" spans="1:1" x14ac:dyDescent="0.25">
      <c r="A208">
        <f t="shared" si="19"/>
        <v>1900</v>
      </c>
    </row>
    <row r="209" spans="1:1" x14ac:dyDescent="0.25">
      <c r="A209">
        <f t="shared" si="19"/>
        <v>1900</v>
      </c>
    </row>
    <row r="210" spans="1:1" x14ac:dyDescent="0.25">
      <c r="A210">
        <f t="shared" si="19"/>
        <v>1900</v>
      </c>
    </row>
    <row r="211" spans="1:1" x14ac:dyDescent="0.25">
      <c r="A211">
        <f t="shared" si="19"/>
        <v>1900</v>
      </c>
    </row>
    <row r="212" spans="1:1" x14ac:dyDescent="0.25">
      <c r="A212">
        <f t="shared" si="19"/>
        <v>1900</v>
      </c>
    </row>
    <row r="213" spans="1:1" x14ac:dyDescent="0.25">
      <c r="A213">
        <f t="shared" si="19"/>
        <v>1900</v>
      </c>
    </row>
    <row r="214" spans="1:1" x14ac:dyDescent="0.25">
      <c r="A214">
        <f t="shared" si="19"/>
        <v>1900</v>
      </c>
    </row>
    <row r="215" spans="1:1" x14ac:dyDescent="0.25">
      <c r="A215">
        <f t="shared" si="19"/>
        <v>1900</v>
      </c>
    </row>
    <row r="216" spans="1:1" x14ac:dyDescent="0.25">
      <c r="A216">
        <f t="shared" si="19"/>
        <v>1900</v>
      </c>
    </row>
    <row r="217" spans="1:1" x14ac:dyDescent="0.25">
      <c r="A217">
        <f t="shared" si="19"/>
        <v>1900</v>
      </c>
    </row>
    <row r="218" spans="1:1" x14ac:dyDescent="0.25">
      <c r="A218">
        <f t="shared" si="19"/>
        <v>1900</v>
      </c>
    </row>
    <row r="219" spans="1:1" x14ac:dyDescent="0.25">
      <c r="A219">
        <f t="shared" si="19"/>
        <v>1900</v>
      </c>
    </row>
    <row r="220" spans="1:1" x14ac:dyDescent="0.25">
      <c r="A220">
        <f t="shared" si="19"/>
        <v>1900</v>
      </c>
    </row>
    <row r="221" spans="1:1" x14ac:dyDescent="0.25">
      <c r="A221">
        <f t="shared" si="19"/>
        <v>1900</v>
      </c>
    </row>
    <row r="222" spans="1:1" x14ac:dyDescent="0.25">
      <c r="A222">
        <f t="shared" si="19"/>
        <v>1900</v>
      </c>
    </row>
    <row r="223" spans="1:1" x14ac:dyDescent="0.25">
      <c r="A223">
        <f t="shared" si="19"/>
        <v>1900</v>
      </c>
    </row>
    <row r="224" spans="1:1" x14ac:dyDescent="0.25">
      <c r="A224">
        <f t="shared" si="19"/>
        <v>1900</v>
      </c>
    </row>
    <row r="225" spans="1:1" x14ac:dyDescent="0.25">
      <c r="A225">
        <f t="shared" si="19"/>
        <v>1900</v>
      </c>
    </row>
    <row r="226" spans="1:1" x14ac:dyDescent="0.25">
      <c r="A226">
        <f t="shared" si="19"/>
        <v>1900</v>
      </c>
    </row>
    <row r="227" spans="1:1" x14ac:dyDescent="0.25">
      <c r="A227">
        <f t="shared" si="19"/>
        <v>1900</v>
      </c>
    </row>
    <row r="228" spans="1:1" x14ac:dyDescent="0.25">
      <c r="A228">
        <f t="shared" si="19"/>
        <v>1900</v>
      </c>
    </row>
    <row r="229" spans="1:1" x14ac:dyDescent="0.25">
      <c r="A229">
        <f t="shared" si="19"/>
        <v>1900</v>
      </c>
    </row>
    <row r="230" spans="1:1" x14ac:dyDescent="0.25">
      <c r="A230">
        <f t="shared" si="19"/>
        <v>1900</v>
      </c>
    </row>
    <row r="231" spans="1:1" x14ac:dyDescent="0.25">
      <c r="A231">
        <f t="shared" si="19"/>
        <v>1900</v>
      </c>
    </row>
    <row r="232" spans="1:1" x14ac:dyDescent="0.25">
      <c r="A232">
        <f t="shared" si="19"/>
        <v>1900</v>
      </c>
    </row>
    <row r="233" spans="1:1" x14ac:dyDescent="0.25">
      <c r="A233">
        <f t="shared" si="19"/>
        <v>1900</v>
      </c>
    </row>
    <row r="234" spans="1:1" x14ac:dyDescent="0.25">
      <c r="A234">
        <f t="shared" si="19"/>
        <v>1900</v>
      </c>
    </row>
    <row r="235" spans="1:1" x14ac:dyDescent="0.25">
      <c r="A235">
        <f t="shared" si="19"/>
        <v>1900</v>
      </c>
    </row>
    <row r="236" spans="1:1" x14ac:dyDescent="0.25">
      <c r="A236">
        <f t="shared" si="19"/>
        <v>1900</v>
      </c>
    </row>
    <row r="237" spans="1:1" x14ac:dyDescent="0.25">
      <c r="A237">
        <f t="shared" si="19"/>
        <v>1900</v>
      </c>
    </row>
    <row r="238" spans="1:1" x14ac:dyDescent="0.25">
      <c r="A238">
        <f t="shared" si="19"/>
        <v>1900</v>
      </c>
    </row>
    <row r="239" spans="1:1" x14ac:dyDescent="0.25">
      <c r="A239">
        <f t="shared" si="19"/>
        <v>1900</v>
      </c>
    </row>
    <row r="240" spans="1:1" x14ac:dyDescent="0.25">
      <c r="A240">
        <f t="shared" si="19"/>
        <v>1900</v>
      </c>
    </row>
    <row r="241" spans="1:1" x14ac:dyDescent="0.25">
      <c r="A241">
        <f t="shared" si="19"/>
        <v>1900</v>
      </c>
    </row>
    <row r="242" spans="1:1" x14ac:dyDescent="0.25">
      <c r="A242">
        <f t="shared" si="19"/>
        <v>1900</v>
      </c>
    </row>
    <row r="243" spans="1:1" x14ac:dyDescent="0.25">
      <c r="A243">
        <f t="shared" si="19"/>
        <v>1900</v>
      </c>
    </row>
    <row r="244" spans="1:1" x14ac:dyDescent="0.25">
      <c r="A244">
        <f t="shared" si="19"/>
        <v>1900</v>
      </c>
    </row>
    <row r="245" spans="1:1" x14ac:dyDescent="0.25">
      <c r="A245">
        <f t="shared" si="19"/>
        <v>1900</v>
      </c>
    </row>
    <row r="246" spans="1:1" x14ac:dyDescent="0.25">
      <c r="A246">
        <f t="shared" si="19"/>
        <v>1900</v>
      </c>
    </row>
    <row r="247" spans="1:1" x14ac:dyDescent="0.25">
      <c r="A247">
        <f t="shared" si="19"/>
        <v>1900</v>
      </c>
    </row>
    <row r="248" spans="1:1" x14ac:dyDescent="0.25">
      <c r="A248">
        <f t="shared" si="19"/>
        <v>1900</v>
      </c>
    </row>
    <row r="249" spans="1:1" x14ac:dyDescent="0.25">
      <c r="A249">
        <f t="shared" si="19"/>
        <v>1900</v>
      </c>
    </row>
    <row r="250" spans="1:1" x14ac:dyDescent="0.25">
      <c r="A250">
        <f t="shared" si="19"/>
        <v>1900</v>
      </c>
    </row>
    <row r="251" spans="1:1" x14ac:dyDescent="0.25">
      <c r="A251">
        <f t="shared" si="19"/>
        <v>1900</v>
      </c>
    </row>
    <row r="252" spans="1:1" x14ac:dyDescent="0.25">
      <c r="A252">
        <f t="shared" si="19"/>
        <v>1900</v>
      </c>
    </row>
    <row r="253" spans="1:1" x14ac:dyDescent="0.25">
      <c r="A253">
        <f t="shared" si="19"/>
        <v>1900</v>
      </c>
    </row>
    <row r="254" spans="1:1" x14ac:dyDescent="0.25">
      <c r="A254">
        <f t="shared" si="19"/>
        <v>1900</v>
      </c>
    </row>
    <row r="255" spans="1:1" x14ac:dyDescent="0.25">
      <c r="A255">
        <f t="shared" si="19"/>
        <v>1900</v>
      </c>
    </row>
    <row r="256" spans="1:1" x14ac:dyDescent="0.25">
      <c r="A256">
        <f t="shared" si="19"/>
        <v>1900</v>
      </c>
    </row>
    <row r="257" spans="1:1" x14ac:dyDescent="0.25">
      <c r="A257">
        <f t="shared" si="19"/>
        <v>1900</v>
      </c>
    </row>
    <row r="258" spans="1:1" x14ac:dyDescent="0.25">
      <c r="A258">
        <f t="shared" si="19"/>
        <v>1900</v>
      </c>
    </row>
    <row r="259" spans="1:1" x14ac:dyDescent="0.25">
      <c r="A259">
        <f t="shared" si="19"/>
        <v>1900</v>
      </c>
    </row>
    <row r="260" spans="1:1" x14ac:dyDescent="0.25">
      <c r="A260">
        <f t="shared" si="19"/>
        <v>1900</v>
      </c>
    </row>
    <row r="261" spans="1:1" x14ac:dyDescent="0.25">
      <c r="A261">
        <f t="shared" si="19"/>
        <v>1900</v>
      </c>
    </row>
    <row r="262" spans="1:1" x14ac:dyDescent="0.25">
      <c r="A262">
        <f t="shared" si="19"/>
        <v>1900</v>
      </c>
    </row>
    <row r="263" spans="1:1" x14ac:dyDescent="0.25">
      <c r="A263">
        <f t="shared" si="19"/>
        <v>1900</v>
      </c>
    </row>
    <row r="264" spans="1:1" x14ac:dyDescent="0.25">
      <c r="A264">
        <f t="shared" si="19"/>
        <v>1900</v>
      </c>
    </row>
    <row r="265" spans="1:1" x14ac:dyDescent="0.25">
      <c r="A265">
        <f t="shared" si="19"/>
        <v>1900</v>
      </c>
    </row>
    <row r="266" spans="1:1" x14ac:dyDescent="0.25">
      <c r="A266">
        <f t="shared" si="19"/>
        <v>1900</v>
      </c>
    </row>
    <row r="267" spans="1:1" x14ac:dyDescent="0.25">
      <c r="A267">
        <f t="shared" si="19"/>
        <v>1900</v>
      </c>
    </row>
    <row r="268" spans="1:1" x14ac:dyDescent="0.25">
      <c r="A268">
        <f t="shared" ref="A268:A331" si="20">YEAR(B268)</f>
        <v>1900</v>
      </c>
    </row>
    <row r="269" spans="1:1" x14ac:dyDescent="0.25">
      <c r="A269">
        <f t="shared" si="20"/>
        <v>1900</v>
      </c>
    </row>
    <row r="270" spans="1:1" x14ac:dyDescent="0.25">
      <c r="A270">
        <f t="shared" si="20"/>
        <v>1900</v>
      </c>
    </row>
    <row r="271" spans="1:1" x14ac:dyDescent="0.25">
      <c r="A271">
        <f t="shared" si="20"/>
        <v>1900</v>
      </c>
    </row>
    <row r="272" spans="1:1" x14ac:dyDescent="0.25">
      <c r="A272">
        <f t="shared" si="20"/>
        <v>1900</v>
      </c>
    </row>
    <row r="273" spans="1:1" x14ac:dyDescent="0.25">
      <c r="A273">
        <f t="shared" si="20"/>
        <v>1900</v>
      </c>
    </row>
    <row r="274" spans="1:1" x14ac:dyDescent="0.25">
      <c r="A274">
        <f t="shared" si="20"/>
        <v>1900</v>
      </c>
    </row>
    <row r="275" spans="1:1" x14ac:dyDescent="0.25">
      <c r="A275">
        <f t="shared" si="20"/>
        <v>1900</v>
      </c>
    </row>
    <row r="276" spans="1:1" x14ac:dyDescent="0.25">
      <c r="A276">
        <f t="shared" si="20"/>
        <v>1900</v>
      </c>
    </row>
    <row r="277" spans="1:1" x14ac:dyDescent="0.25">
      <c r="A277">
        <f t="shared" si="20"/>
        <v>1900</v>
      </c>
    </row>
    <row r="278" spans="1:1" x14ac:dyDescent="0.25">
      <c r="A278">
        <f t="shared" si="20"/>
        <v>1900</v>
      </c>
    </row>
    <row r="279" spans="1:1" x14ac:dyDescent="0.25">
      <c r="A279">
        <f t="shared" si="20"/>
        <v>1900</v>
      </c>
    </row>
    <row r="280" spans="1:1" x14ac:dyDescent="0.25">
      <c r="A280">
        <f t="shared" si="20"/>
        <v>1900</v>
      </c>
    </row>
    <row r="281" spans="1:1" x14ac:dyDescent="0.25">
      <c r="A281">
        <f t="shared" si="20"/>
        <v>1900</v>
      </c>
    </row>
    <row r="282" spans="1:1" x14ac:dyDescent="0.25">
      <c r="A282">
        <f t="shared" si="20"/>
        <v>1900</v>
      </c>
    </row>
    <row r="283" spans="1:1" x14ac:dyDescent="0.25">
      <c r="A283">
        <f t="shared" si="20"/>
        <v>1900</v>
      </c>
    </row>
    <row r="284" spans="1:1" x14ac:dyDescent="0.25">
      <c r="A284">
        <f t="shared" si="20"/>
        <v>1900</v>
      </c>
    </row>
    <row r="285" spans="1:1" x14ac:dyDescent="0.25">
      <c r="A285">
        <f t="shared" si="20"/>
        <v>1900</v>
      </c>
    </row>
    <row r="286" spans="1:1" x14ac:dyDescent="0.25">
      <c r="A286">
        <f t="shared" si="20"/>
        <v>1900</v>
      </c>
    </row>
    <row r="287" spans="1:1" x14ac:dyDescent="0.25">
      <c r="A287">
        <f t="shared" si="20"/>
        <v>1900</v>
      </c>
    </row>
    <row r="288" spans="1:1" x14ac:dyDescent="0.25">
      <c r="A288">
        <f t="shared" si="20"/>
        <v>1900</v>
      </c>
    </row>
    <row r="289" spans="1:1" x14ac:dyDescent="0.25">
      <c r="A289">
        <f t="shared" si="20"/>
        <v>1900</v>
      </c>
    </row>
    <row r="290" spans="1:1" x14ac:dyDescent="0.25">
      <c r="A290">
        <f t="shared" si="20"/>
        <v>1900</v>
      </c>
    </row>
    <row r="291" spans="1:1" x14ac:dyDescent="0.25">
      <c r="A291">
        <f t="shared" si="20"/>
        <v>1900</v>
      </c>
    </row>
    <row r="292" spans="1:1" x14ac:dyDescent="0.25">
      <c r="A292">
        <f t="shared" si="20"/>
        <v>1900</v>
      </c>
    </row>
    <row r="293" spans="1:1" x14ac:dyDescent="0.25">
      <c r="A293">
        <f t="shared" si="20"/>
        <v>1900</v>
      </c>
    </row>
    <row r="294" spans="1:1" x14ac:dyDescent="0.25">
      <c r="A294">
        <f t="shared" si="20"/>
        <v>1900</v>
      </c>
    </row>
    <row r="295" spans="1:1" x14ac:dyDescent="0.25">
      <c r="A295">
        <f t="shared" si="20"/>
        <v>1900</v>
      </c>
    </row>
    <row r="296" spans="1:1" x14ac:dyDescent="0.25">
      <c r="A296">
        <f t="shared" si="20"/>
        <v>1900</v>
      </c>
    </row>
    <row r="297" spans="1:1" x14ac:dyDescent="0.25">
      <c r="A297">
        <f t="shared" si="20"/>
        <v>1900</v>
      </c>
    </row>
    <row r="298" spans="1:1" x14ac:dyDescent="0.25">
      <c r="A298">
        <f t="shared" si="20"/>
        <v>1900</v>
      </c>
    </row>
    <row r="299" spans="1:1" x14ac:dyDescent="0.25">
      <c r="A299">
        <f t="shared" si="20"/>
        <v>1900</v>
      </c>
    </row>
    <row r="300" spans="1:1" x14ac:dyDescent="0.25">
      <c r="A300">
        <f t="shared" si="20"/>
        <v>1900</v>
      </c>
    </row>
    <row r="301" spans="1:1" x14ac:dyDescent="0.25">
      <c r="A301">
        <f t="shared" si="20"/>
        <v>1900</v>
      </c>
    </row>
    <row r="302" spans="1:1" x14ac:dyDescent="0.25">
      <c r="A302">
        <f t="shared" si="20"/>
        <v>1900</v>
      </c>
    </row>
    <row r="303" spans="1:1" x14ac:dyDescent="0.25">
      <c r="A303">
        <f t="shared" si="20"/>
        <v>1900</v>
      </c>
    </row>
    <row r="304" spans="1:1" x14ac:dyDescent="0.25">
      <c r="A304">
        <f t="shared" si="20"/>
        <v>1900</v>
      </c>
    </row>
    <row r="305" spans="1:1" x14ac:dyDescent="0.25">
      <c r="A305">
        <f t="shared" si="20"/>
        <v>1900</v>
      </c>
    </row>
    <row r="306" spans="1:1" x14ac:dyDescent="0.25">
      <c r="A306">
        <f t="shared" si="20"/>
        <v>1900</v>
      </c>
    </row>
    <row r="307" spans="1:1" x14ac:dyDescent="0.25">
      <c r="A307">
        <f t="shared" si="20"/>
        <v>1900</v>
      </c>
    </row>
    <row r="308" spans="1:1" x14ac:dyDescent="0.25">
      <c r="A308">
        <f t="shared" si="20"/>
        <v>1900</v>
      </c>
    </row>
    <row r="309" spans="1:1" x14ac:dyDescent="0.25">
      <c r="A309">
        <f t="shared" si="20"/>
        <v>1900</v>
      </c>
    </row>
    <row r="310" spans="1:1" x14ac:dyDescent="0.25">
      <c r="A310">
        <f t="shared" si="20"/>
        <v>1900</v>
      </c>
    </row>
    <row r="311" spans="1:1" x14ac:dyDescent="0.25">
      <c r="A311">
        <f t="shared" si="20"/>
        <v>1900</v>
      </c>
    </row>
    <row r="312" spans="1:1" x14ac:dyDescent="0.25">
      <c r="A312">
        <f t="shared" si="20"/>
        <v>1900</v>
      </c>
    </row>
    <row r="313" spans="1:1" x14ac:dyDescent="0.25">
      <c r="A313">
        <f t="shared" si="20"/>
        <v>1900</v>
      </c>
    </row>
    <row r="314" spans="1:1" x14ac:dyDescent="0.25">
      <c r="A314">
        <f t="shared" si="20"/>
        <v>1900</v>
      </c>
    </row>
    <row r="315" spans="1:1" x14ac:dyDescent="0.25">
      <c r="A315">
        <f t="shared" si="20"/>
        <v>1900</v>
      </c>
    </row>
    <row r="316" spans="1:1" x14ac:dyDescent="0.25">
      <c r="A316">
        <f t="shared" si="20"/>
        <v>1900</v>
      </c>
    </row>
    <row r="317" spans="1:1" x14ac:dyDescent="0.25">
      <c r="A317">
        <f t="shared" si="20"/>
        <v>1900</v>
      </c>
    </row>
    <row r="318" spans="1:1" x14ac:dyDescent="0.25">
      <c r="A318">
        <f t="shared" si="20"/>
        <v>1900</v>
      </c>
    </row>
    <row r="319" spans="1:1" x14ac:dyDescent="0.25">
      <c r="A319">
        <f t="shared" si="20"/>
        <v>1900</v>
      </c>
    </row>
    <row r="320" spans="1:1" x14ac:dyDescent="0.25">
      <c r="A320">
        <f t="shared" si="20"/>
        <v>1900</v>
      </c>
    </row>
    <row r="321" spans="1:1" x14ac:dyDescent="0.25">
      <c r="A321">
        <f t="shared" si="20"/>
        <v>1900</v>
      </c>
    </row>
    <row r="322" spans="1:1" x14ac:dyDescent="0.25">
      <c r="A322">
        <f t="shared" si="20"/>
        <v>1900</v>
      </c>
    </row>
    <row r="323" spans="1:1" x14ac:dyDescent="0.25">
      <c r="A323">
        <f t="shared" si="20"/>
        <v>1900</v>
      </c>
    </row>
    <row r="324" spans="1:1" x14ac:dyDescent="0.25">
      <c r="A324">
        <f t="shared" si="20"/>
        <v>1900</v>
      </c>
    </row>
    <row r="325" spans="1:1" x14ac:dyDescent="0.25">
      <c r="A325">
        <f t="shared" si="20"/>
        <v>1900</v>
      </c>
    </row>
    <row r="326" spans="1:1" x14ac:dyDescent="0.25">
      <c r="A326">
        <f t="shared" si="20"/>
        <v>1900</v>
      </c>
    </row>
    <row r="327" spans="1:1" x14ac:dyDescent="0.25">
      <c r="A327">
        <f t="shared" si="20"/>
        <v>1900</v>
      </c>
    </row>
    <row r="328" spans="1:1" x14ac:dyDescent="0.25">
      <c r="A328">
        <f t="shared" si="20"/>
        <v>1900</v>
      </c>
    </row>
    <row r="329" spans="1:1" x14ac:dyDescent="0.25">
      <c r="A329">
        <f t="shared" si="20"/>
        <v>1900</v>
      </c>
    </row>
    <row r="330" spans="1:1" x14ac:dyDescent="0.25">
      <c r="A330">
        <f t="shared" si="20"/>
        <v>1900</v>
      </c>
    </row>
    <row r="331" spans="1:1" x14ac:dyDescent="0.25">
      <c r="A331">
        <f t="shared" si="20"/>
        <v>1900</v>
      </c>
    </row>
    <row r="332" spans="1:1" x14ac:dyDescent="0.25">
      <c r="A332">
        <f t="shared" ref="A332:A395" si="21">YEAR(B332)</f>
        <v>1900</v>
      </c>
    </row>
    <row r="333" spans="1:1" x14ac:dyDescent="0.25">
      <c r="A333">
        <f t="shared" si="21"/>
        <v>1900</v>
      </c>
    </row>
    <row r="334" spans="1:1" x14ac:dyDescent="0.25">
      <c r="A334">
        <f t="shared" si="21"/>
        <v>1900</v>
      </c>
    </row>
    <row r="335" spans="1:1" x14ac:dyDescent="0.25">
      <c r="A335">
        <f t="shared" si="21"/>
        <v>1900</v>
      </c>
    </row>
    <row r="336" spans="1:1" x14ac:dyDescent="0.25">
      <c r="A336">
        <f t="shared" si="21"/>
        <v>1900</v>
      </c>
    </row>
    <row r="337" spans="1:1" x14ac:dyDescent="0.25">
      <c r="A337">
        <f t="shared" si="21"/>
        <v>1900</v>
      </c>
    </row>
    <row r="338" spans="1:1" x14ac:dyDescent="0.25">
      <c r="A338">
        <f t="shared" si="21"/>
        <v>1900</v>
      </c>
    </row>
    <row r="339" spans="1:1" x14ac:dyDescent="0.25">
      <c r="A339">
        <f t="shared" si="21"/>
        <v>1900</v>
      </c>
    </row>
    <row r="340" spans="1:1" x14ac:dyDescent="0.25">
      <c r="A340">
        <f t="shared" si="21"/>
        <v>1900</v>
      </c>
    </row>
    <row r="341" spans="1:1" x14ac:dyDescent="0.25">
      <c r="A341">
        <f t="shared" si="21"/>
        <v>1900</v>
      </c>
    </row>
    <row r="342" spans="1:1" x14ac:dyDescent="0.25">
      <c r="A342">
        <f t="shared" si="21"/>
        <v>1900</v>
      </c>
    </row>
    <row r="343" spans="1:1" x14ac:dyDescent="0.25">
      <c r="A343">
        <f t="shared" si="21"/>
        <v>1900</v>
      </c>
    </row>
    <row r="344" spans="1:1" x14ac:dyDescent="0.25">
      <c r="A344">
        <f t="shared" si="21"/>
        <v>1900</v>
      </c>
    </row>
    <row r="345" spans="1:1" x14ac:dyDescent="0.25">
      <c r="A345">
        <f t="shared" si="21"/>
        <v>1900</v>
      </c>
    </row>
    <row r="346" spans="1:1" x14ac:dyDescent="0.25">
      <c r="A346">
        <f t="shared" si="21"/>
        <v>1900</v>
      </c>
    </row>
    <row r="347" spans="1:1" x14ac:dyDescent="0.25">
      <c r="A347">
        <f t="shared" si="21"/>
        <v>1900</v>
      </c>
    </row>
    <row r="348" spans="1:1" x14ac:dyDescent="0.25">
      <c r="A348">
        <f t="shared" si="21"/>
        <v>1900</v>
      </c>
    </row>
    <row r="349" spans="1:1" x14ac:dyDescent="0.25">
      <c r="A349">
        <f t="shared" si="21"/>
        <v>1900</v>
      </c>
    </row>
    <row r="350" spans="1:1" x14ac:dyDescent="0.25">
      <c r="A350">
        <f t="shared" si="21"/>
        <v>1900</v>
      </c>
    </row>
    <row r="351" spans="1:1" x14ac:dyDescent="0.25">
      <c r="A351">
        <f t="shared" si="21"/>
        <v>1900</v>
      </c>
    </row>
    <row r="352" spans="1:1" x14ac:dyDescent="0.25">
      <c r="A352">
        <f t="shared" si="21"/>
        <v>1900</v>
      </c>
    </row>
    <row r="353" spans="1:1" x14ac:dyDescent="0.25">
      <c r="A353">
        <f t="shared" si="21"/>
        <v>1900</v>
      </c>
    </row>
    <row r="354" spans="1:1" x14ac:dyDescent="0.25">
      <c r="A354">
        <f t="shared" si="21"/>
        <v>1900</v>
      </c>
    </row>
    <row r="355" spans="1:1" x14ac:dyDescent="0.25">
      <c r="A355">
        <f t="shared" si="21"/>
        <v>1900</v>
      </c>
    </row>
    <row r="356" spans="1:1" x14ac:dyDescent="0.25">
      <c r="A356">
        <f t="shared" si="21"/>
        <v>1900</v>
      </c>
    </row>
    <row r="357" spans="1:1" x14ac:dyDescent="0.25">
      <c r="A357">
        <f t="shared" si="21"/>
        <v>1900</v>
      </c>
    </row>
    <row r="358" spans="1:1" x14ac:dyDescent="0.25">
      <c r="A358">
        <f t="shared" si="21"/>
        <v>1900</v>
      </c>
    </row>
    <row r="359" spans="1:1" x14ac:dyDescent="0.25">
      <c r="A359">
        <f t="shared" si="21"/>
        <v>1900</v>
      </c>
    </row>
    <row r="360" spans="1:1" x14ac:dyDescent="0.25">
      <c r="A360">
        <f t="shared" si="21"/>
        <v>1900</v>
      </c>
    </row>
    <row r="361" spans="1:1" x14ac:dyDescent="0.25">
      <c r="A361">
        <f t="shared" si="21"/>
        <v>1900</v>
      </c>
    </row>
    <row r="362" spans="1:1" x14ac:dyDescent="0.25">
      <c r="A362">
        <f t="shared" si="21"/>
        <v>1900</v>
      </c>
    </row>
    <row r="363" spans="1:1" x14ac:dyDescent="0.25">
      <c r="A363">
        <f t="shared" si="21"/>
        <v>1900</v>
      </c>
    </row>
    <row r="364" spans="1:1" x14ac:dyDescent="0.25">
      <c r="A364">
        <f t="shared" si="21"/>
        <v>1900</v>
      </c>
    </row>
    <row r="365" spans="1:1" x14ac:dyDescent="0.25">
      <c r="A365">
        <f t="shared" si="21"/>
        <v>1900</v>
      </c>
    </row>
    <row r="366" spans="1:1" x14ac:dyDescent="0.25">
      <c r="A366">
        <f t="shared" si="21"/>
        <v>1900</v>
      </c>
    </row>
    <row r="367" spans="1:1" x14ac:dyDescent="0.25">
      <c r="A367">
        <f t="shared" si="21"/>
        <v>1900</v>
      </c>
    </row>
    <row r="368" spans="1:1" x14ac:dyDescent="0.25">
      <c r="A368">
        <f t="shared" si="21"/>
        <v>1900</v>
      </c>
    </row>
    <row r="369" spans="1:1" x14ac:dyDescent="0.25">
      <c r="A369">
        <f t="shared" si="21"/>
        <v>1900</v>
      </c>
    </row>
    <row r="370" spans="1:1" x14ac:dyDescent="0.25">
      <c r="A370">
        <f t="shared" si="21"/>
        <v>1900</v>
      </c>
    </row>
    <row r="371" spans="1:1" x14ac:dyDescent="0.25">
      <c r="A371">
        <f t="shared" si="21"/>
        <v>1900</v>
      </c>
    </row>
    <row r="372" spans="1:1" x14ac:dyDescent="0.25">
      <c r="A372">
        <f t="shared" si="21"/>
        <v>1900</v>
      </c>
    </row>
    <row r="373" spans="1:1" x14ac:dyDescent="0.25">
      <c r="A373">
        <f t="shared" si="21"/>
        <v>1900</v>
      </c>
    </row>
    <row r="374" spans="1:1" x14ac:dyDescent="0.25">
      <c r="A374">
        <f t="shared" si="21"/>
        <v>1900</v>
      </c>
    </row>
    <row r="375" spans="1:1" x14ac:dyDescent="0.25">
      <c r="A375">
        <f t="shared" si="21"/>
        <v>1900</v>
      </c>
    </row>
    <row r="376" spans="1:1" x14ac:dyDescent="0.25">
      <c r="A376">
        <f t="shared" si="21"/>
        <v>1900</v>
      </c>
    </row>
    <row r="377" spans="1:1" x14ac:dyDescent="0.25">
      <c r="A377">
        <f t="shared" si="21"/>
        <v>1900</v>
      </c>
    </row>
    <row r="378" spans="1:1" x14ac:dyDescent="0.25">
      <c r="A378">
        <f t="shared" si="21"/>
        <v>1900</v>
      </c>
    </row>
    <row r="379" spans="1:1" x14ac:dyDescent="0.25">
      <c r="A379">
        <f t="shared" si="21"/>
        <v>1900</v>
      </c>
    </row>
    <row r="380" spans="1:1" x14ac:dyDescent="0.25">
      <c r="A380">
        <f t="shared" si="21"/>
        <v>1900</v>
      </c>
    </row>
    <row r="381" spans="1:1" x14ac:dyDescent="0.25">
      <c r="A381">
        <f t="shared" si="21"/>
        <v>1900</v>
      </c>
    </row>
    <row r="382" spans="1:1" x14ac:dyDescent="0.25">
      <c r="A382">
        <f t="shared" si="21"/>
        <v>1900</v>
      </c>
    </row>
    <row r="383" spans="1:1" x14ac:dyDescent="0.25">
      <c r="A383">
        <f t="shared" si="21"/>
        <v>1900</v>
      </c>
    </row>
    <row r="384" spans="1:1" x14ac:dyDescent="0.25">
      <c r="A384">
        <f t="shared" si="21"/>
        <v>1900</v>
      </c>
    </row>
    <row r="385" spans="1:1" x14ac:dyDescent="0.25">
      <c r="A385">
        <f t="shared" si="21"/>
        <v>1900</v>
      </c>
    </row>
    <row r="386" spans="1:1" x14ac:dyDescent="0.25">
      <c r="A386">
        <f t="shared" si="21"/>
        <v>1900</v>
      </c>
    </row>
    <row r="387" spans="1:1" x14ac:dyDescent="0.25">
      <c r="A387">
        <f t="shared" si="21"/>
        <v>1900</v>
      </c>
    </row>
    <row r="388" spans="1:1" x14ac:dyDescent="0.25">
      <c r="A388">
        <f t="shared" si="21"/>
        <v>1900</v>
      </c>
    </row>
    <row r="389" spans="1:1" x14ac:dyDescent="0.25">
      <c r="A389">
        <f t="shared" si="21"/>
        <v>1900</v>
      </c>
    </row>
    <row r="390" spans="1:1" x14ac:dyDescent="0.25">
      <c r="A390">
        <f t="shared" si="21"/>
        <v>1900</v>
      </c>
    </row>
    <row r="391" spans="1:1" x14ac:dyDescent="0.25">
      <c r="A391">
        <f t="shared" si="21"/>
        <v>1900</v>
      </c>
    </row>
    <row r="392" spans="1:1" x14ac:dyDescent="0.25">
      <c r="A392">
        <f t="shared" si="21"/>
        <v>1900</v>
      </c>
    </row>
    <row r="393" spans="1:1" x14ac:dyDescent="0.25">
      <c r="A393">
        <f t="shared" si="21"/>
        <v>1900</v>
      </c>
    </row>
    <row r="394" spans="1:1" x14ac:dyDescent="0.25">
      <c r="A394">
        <f t="shared" si="21"/>
        <v>1900</v>
      </c>
    </row>
    <row r="395" spans="1:1" x14ac:dyDescent="0.25">
      <c r="A395">
        <f t="shared" si="21"/>
        <v>1900</v>
      </c>
    </row>
    <row r="396" spans="1:1" x14ac:dyDescent="0.25">
      <c r="A396">
        <f t="shared" ref="A396:A459" si="22">YEAR(B396)</f>
        <v>1900</v>
      </c>
    </row>
    <row r="397" spans="1:1" x14ac:dyDescent="0.25">
      <c r="A397">
        <f t="shared" si="22"/>
        <v>1900</v>
      </c>
    </row>
    <row r="398" spans="1:1" x14ac:dyDescent="0.25">
      <c r="A398">
        <f t="shared" si="22"/>
        <v>1900</v>
      </c>
    </row>
    <row r="399" spans="1:1" x14ac:dyDescent="0.25">
      <c r="A399">
        <f t="shared" si="22"/>
        <v>1900</v>
      </c>
    </row>
    <row r="400" spans="1:1" x14ac:dyDescent="0.25">
      <c r="A400">
        <f t="shared" si="22"/>
        <v>1900</v>
      </c>
    </row>
    <row r="401" spans="1:1" x14ac:dyDescent="0.25">
      <c r="A401">
        <f t="shared" si="22"/>
        <v>1900</v>
      </c>
    </row>
    <row r="402" spans="1:1" x14ac:dyDescent="0.25">
      <c r="A402">
        <f t="shared" si="22"/>
        <v>1900</v>
      </c>
    </row>
    <row r="403" spans="1:1" x14ac:dyDescent="0.25">
      <c r="A403">
        <f t="shared" si="22"/>
        <v>1900</v>
      </c>
    </row>
    <row r="404" spans="1:1" x14ac:dyDescent="0.25">
      <c r="A404">
        <f t="shared" si="22"/>
        <v>1900</v>
      </c>
    </row>
    <row r="405" spans="1:1" x14ac:dyDescent="0.25">
      <c r="A405">
        <f t="shared" si="22"/>
        <v>1900</v>
      </c>
    </row>
    <row r="406" spans="1:1" x14ac:dyDescent="0.25">
      <c r="A406">
        <f t="shared" si="22"/>
        <v>1900</v>
      </c>
    </row>
    <row r="407" spans="1:1" x14ac:dyDescent="0.25">
      <c r="A407">
        <f t="shared" si="22"/>
        <v>1900</v>
      </c>
    </row>
    <row r="408" spans="1:1" x14ac:dyDescent="0.25">
      <c r="A408">
        <f t="shared" si="22"/>
        <v>1900</v>
      </c>
    </row>
    <row r="409" spans="1:1" x14ac:dyDescent="0.25">
      <c r="A409">
        <f t="shared" si="22"/>
        <v>1900</v>
      </c>
    </row>
    <row r="410" spans="1:1" x14ac:dyDescent="0.25">
      <c r="A410">
        <f t="shared" si="22"/>
        <v>1900</v>
      </c>
    </row>
    <row r="411" spans="1:1" x14ac:dyDescent="0.25">
      <c r="A411">
        <f t="shared" si="22"/>
        <v>1900</v>
      </c>
    </row>
    <row r="412" spans="1:1" x14ac:dyDescent="0.25">
      <c r="A412">
        <f t="shared" si="22"/>
        <v>1900</v>
      </c>
    </row>
    <row r="413" spans="1:1" x14ac:dyDescent="0.25">
      <c r="A413">
        <f t="shared" si="22"/>
        <v>1900</v>
      </c>
    </row>
    <row r="414" spans="1:1" x14ac:dyDescent="0.25">
      <c r="A414">
        <f t="shared" si="22"/>
        <v>1900</v>
      </c>
    </row>
    <row r="415" spans="1:1" x14ac:dyDescent="0.25">
      <c r="A415">
        <f t="shared" si="22"/>
        <v>1900</v>
      </c>
    </row>
    <row r="416" spans="1:1" x14ac:dyDescent="0.25">
      <c r="A416">
        <f t="shared" si="22"/>
        <v>1900</v>
      </c>
    </row>
    <row r="417" spans="1:1" x14ac:dyDescent="0.25">
      <c r="A417">
        <f t="shared" si="22"/>
        <v>1900</v>
      </c>
    </row>
    <row r="418" spans="1:1" x14ac:dyDescent="0.25">
      <c r="A418">
        <f t="shared" si="22"/>
        <v>1900</v>
      </c>
    </row>
    <row r="419" spans="1:1" x14ac:dyDescent="0.25">
      <c r="A419">
        <f t="shared" si="22"/>
        <v>1900</v>
      </c>
    </row>
    <row r="420" spans="1:1" x14ac:dyDescent="0.25">
      <c r="A420">
        <f t="shared" si="22"/>
        <v>1900</v>
      </c>
    </row>
    <row r="421" spans="1:1" x14ac:dyDescent="0.25">
      <c r="A421">
        <f t="shared" si="22"/>
        <v>1900</v>
      </c>
    </row>
    <row r="422" spans="1:1" x14ac:dyDescent="0.25">
      <c r="A422">
        <f t="shared" si="22"/>
        <v>1900</v>
      </c>
    </row>
    <row r="423" spans="1:1" x14ac:dyDescent="0.25">
      <c r="A423">
        <f t="shared" si="22"/>
        <v>1900</v>
      </c>
    </row>
    <row r="424" spans="1:1" x14ac:dyDescent="0.25">
      <c r="A424">
        <f t="shared" si="22"/>
        <v>1900</v>
      </c>
    </row>
    <row r="425" spans="1:1" x14ac:dyDescent="0.25">
      <c r="A425">
        <f t="shared" si="22"/>
        <v>1900</v>
      </c>
    </row>
    <row r="426" spans="1:1" x14ac:dyDescent="0.25">
      <c r="A426">
        <f t="shared" si="22"/>
        <v>1900</v>
      </c>
    </row>
    <row r="427" spans="1:1" x14ac:dyDescent="0.25">
      <c r="A427">
        <f t="shared" si="22"/>
        <v>1900</v>
      </c>
    </row>
    <row r="428" spans="1:1" x14ac:dyDescent="0.25">
      <c r="A428">
        <f t="shared" si="22"/>
        <v>1900</v>
      </c>
    </row>
    <row r="429" spans="1:1" x14ac:dyDescent="0.25">
      <c r="A429">
        <f t="shared" si="22"/>
        <v>1900</v>
      </c>
    </row>
    <row r="430" spans="1:1" x14ac:dyDescent="0.25">
      <c r="A430">
        <f t="shared" si="22"/>
        <v>1900</v>
      </c>
    </row>
    <row r="431" spans="1:1" x14ac:dyDescent="0.25">
      <c r="A431">
        <f t="shared" si="22"/>
        <v>1900</v>
      </c>
    </row>
    <row r="432" spans="1:1" x14ac:dyDescent="0.25">
      <c r="A432">
        <f t="shared" si="22"/>
        <v>1900</v>
      </c>
    </row>
    <row r="433" spans="1:1" x14ac:dyDescent="0.25">
      <c r="A433">
        <f t="shared" si="22"/>
        <v>1900</v>
      </c>
    </row>
    <row r="434" spans="1:1" x14ac:dyDescent="0.25">
      <c r="A434">
        <f t="shared" si="22"/>
        <v>1900</v>
      </c>
    </row>
    <row r="435" spans="1:1" x14ac:dyDescent="0.25">
      <c r="A435">
        <f t="shared" si="22"/>
        <v>1900</v>
      </c>
    </row>
    <row r="436" spans="1:1" x14ac:dyDescent="0.25">
      <c r="A436">
        <f t="shared" si="22"/>
        <v>1900</v>
      </c>
    </row>
    <row r="437" spans="1:1" x14ac:dyDescent="0.25">
      <c r="A437">
        <f t="shared" si="22"/>
        <v>1900</v>
      </c>
    </row>
    <row r="438" spans="1:1" x14ac:dyDescent="0.25">
      <c r="A438">
        <f t="shared" si="22"/>
        <v>1900</v>
      </c>
    </row>
    <row r="439" spans="1:1" x14ac:dyDescent="0.25">
      <c r="A439">
        <f t="shared" si="22"/>
        <v>1900</v>
      </c>
    </row>
    <row r="440" spans="1:1" x14ac:dyDescent="0.25">
      <c r="A440">
        <f t="shared" si="22"/>
        <v>1900</v>
      </c>
    </row>
    <row r="441" spans="1:1" x14ac:dyDescent="0.25">
      <c r="A441">
        <f t="shared" si="22"/>
        <v>1900</v>
      </c>
    </row>
    <row r="442" spans="1:1" x14ac:dyDescent="0.25">
      <c r="A442">
        <f t="shared" si="22"/>
        <v>1900</v>
      </c>
    </row>
    <row r="443" spans="1:1" x14ac:dyDescent="0.25">
      <c r="A443">
        <f t="shared" si="22"/>
        <v>1900</v>
      </c>
    </row>
    <row r="444" spans="1:1" x14ac:dyDescent="0.25">
      <c r="A444">
        <f t="shared" si="22"/>
        <v>1900</v>
      </c>
    </row>
    <row r="445" spans="1:1" x14ac:dyDescent="0.25">
      <c r="A445">
        <f t="shared" si="22"/>
        <v>1900</v>
      </c>
    </row>
    <row r="446" spans="1:1" x14ac:dyDescent="0.25">
      <c r="A446">
        <f t="shared" si="22"/>
        <v>1900</v>
      </c>
    </row>
    <row r="447" spans="1:1" x14ac:dyDescent="0.25">
      <c r="A447">
        <f t="shared" si="22"/>
        <v>1900</v>
      </c>
    </row>
    <row r="448" spans="1:1" x14ac:dyDescent="0.25">
      <c r="A448">
        <f t="shared" si="22"/>
        <v>1900</v>
      </c>
    </row>
    <row r="449" spans="1:1" x14ac:dyDescent="0.25">
      <c r="A449">
        <f t="shared" si="22"/>
        <v>1900</v>
      </c>
    </row>
    <row r="450" spans="1:1" x14ac:dyDescent="0.25">
      <c r="A450">
        <f t="shared" si="22"/>
        <v>1900</v>
      </c>
    </row>
    <row r="451" spans="1:1" x14ac:dyDescent="0.25">
      <c r="A451">
        <f t="shared" si="22"/>
        <v>1900</v>
      </c>
    </row>
    <row r="452" spans="1:1" x14ac:dyDescent="0.25">
      <c r="A452">
        <f t="shared" si="22"/>
        <v>1900</v>
      </c>
    </row>
    <row r="453" spans="1:1" x14ac:dyDescent="0.25">
      <c r="A453">
        <f t="shared" si="22"/>
        <v>1900</v>
      </c>
    </row>
    <row r="454" spans="1:1" x14ac:dyDescent="0.25">
      <c r="A454">
        <f t="shared" si="22"/>
        <v>1900</v>
      </c>
    </row>
    <row r="455" spans="1:1" x14ac:dyDescent="0.25">
      <c r="A455">
        <f t="shared" si="22"/>
        <v>1900</v>
      </c>
    </row>
    <row r="456" spans="1:1" x14ac:dyDescent="0.25">
      <c r="A456">
        <f t="shared" si="22"/>
        <v>1900</v>
      </c>
    </row>
    <row r="457" spans="1:1" x14ac:dyDescent="0.25">
      <c r="A457">
        <f t="shared" si="22"/>
        <v>1900</v>
      </c>
    </row>
    <row r="458" spans="1:1" x14ac:dyDescent="0.25">
      <c r="A458">
        <f t="shared" si="22"/>
        <v>1900</v>
      </c>
    </row>
    <row r="459" spans="1:1" x14ac:dyDescent="0.25">
      <c r="A459">
        <f t="shared" si="22"/>
        <v>1900</v>
      </c>
    </row>
    <row r="460" spans="1:1" x14ac:dyDescent="0.25">
      <c r="A460">
        <f t="shared" ref="A460:A511" si="23">YEAR(B460)</f>
        <v>1900</v>
      </c>
    </row>
    <row r="461" spans="1:1" x14ac:dyDescent="0.25">
      <c r="A461">
        <f t="shared" si="23"/>
        <v>1900</v>
      </c>
    </row>
    <row r="462" spans="1:1" x14ac:dyDescent="0.25">
      <c r="A462">
        <f t="shared" si="23"/>
        <v>1900</v>
      </c>
    </row>
    <row r="463" spans="1:1" x14ac:dyDescent="0.25">
      <c r="A463">
        <f t="shared" si="23"/>
        <v>1900</v>
      </c>
    </row>
    <row r="464" spans="1:1" x14ac:dyDescent="0.25">
      <c r="A464">
        <f t="shared" si="23"/>
        <v>1900</v>
      </c>
    </row>
    <row r="465" spans="1:1" x14ac:dyDescent="0.25">
      <c r="A465">
        <f t="shared" si="23"/>
        <v>1900</v>
      </c>
    </row>
    <row r="466" spans="1:1" x14ac:dyDescent="0.25">
      <c r="A466">
        <f t="shared" si="23"/>
        <v>1900</v>
      </c>
    </row>
    <row r="467" spans="1:1" x14ac:dyDescent="0.25">
      <c r="A467">
        <f t="shared" si="23"/>
        <v>1900</v>
      </c>
    </row>
    <row r="468" spans="1:1" x14ac:dyDescent="0.25">
      <c r="A468">
        <f t="shared" si="23"/>
        <v>1900</v>
      </c>
    </row>
    <row r="469" spans="1:1" x14ac:dyDescent="0.25">
      <c r="A469">
        <f t="shared" si="23"/>
        <v>1900</v>
      </c>
    </row>
    <row r="470" spans="1:1" x14ac:dyDescent="0.25">
      <c r="A470">
        <f t="shared" si="23"/>
        <v>1900</v>
      </c>
    </row>
    <row r="471" spans="1:1" x14ac:dyDescent="0.25">
      <c r="A471">
        <f t="shared" si="23"/>
        <v>1900</v>
      </c>
    </row>
    <row r="472" spans="1:1" x14ac:dyDescent="0.25">
      <c r="A472">
        <f t="shared" si="23"/>
        <v>1900</v>
      </c>
    </row>
    <row r="473" spans="1:1" x14ac:dyDescent="0.25">
      <c r="A473">
        <f t="shared" si="23"/>
        <v>1900</v>
      </c>
    </row>
    <row r="474" spans="1:1" x14ac:dyDescent="0.25">
      <c r="A474">
        <f t="shared" si="23"/>
        <v>1900</v>
      </c>
    </row>
    <row r="475" spans="1:1" x14ac:dyDescent="0.25">
      <c r="A475">
        <f t="shared" si="23"/>
        <v>1900</v>
      </c>
    </row>
    <row r="476" spans="1:1" x14ac:dyDescent="0.25">
      <c r="A476">
        <f t="shared" si="23"/>
        <v>1900</v>
      </c>
    </row>
    <row r="477" spans="1:1" x14ac:dyDescent="0.25">
      <c r="A477">
        <f t="shared" si="23"/>
        <v>1900</v>
      </c>
    </row>
    <row r="478" spans="1:1" x14ac:dyDescent="0.25">
      <c r="A478">
        <f t="shared" si="23"/>
        <v>1900</v>
      </c>
    </row>
    <row r="479" spans="1:1" x14ac:dyDescent="0.25">
      <c r="A479">
        <f t="shared" si="23"/>
        <v>1900</v>
      </c>
    </row>
    <row r="480" spans="1:1" x14ac:dyDescent="0.25">
      <c r="A480">
        <f t="shared" si="23"/>
        <v>1900</v>
      </c>
    </row>
    <row r="481" spans="1:1" x14ac:dyDescent="0.25">
      <c r="A481">
        <f t="shared" si="23"/>
        <v>1900</v>
      </c>
    </row>
    <row r="482" spans="1:1" x14ac:dyDescent="0.25">
      <c r="A482">
        <f t="shared" si="23"/>
        <v>1900</v>
      </c>
    </row>
    <row r="483" spans="1:1" x14ac:dyDescent="0.25">
      <c r="A483">
        <f t="shared" si="23"/>
        <v>1900</v>
      </c>
    </row>
    <row r="484" spans="1:1" x14ac:dyDescent="0.25">
      <c r="A484">
        <f t="shared" si="23"/>
        <v>1900</v>
      </c>
    </row>
    <row r="485" spans="1:1" x14ac:dyDescent="0.25">
      <c r="A485">
        <f t="shared" si="23"/>
        <v>1900</v>
      </c>
    </row>
    <row r="486" spans="1:1" x14ac:dyDescent="0.25">
      <c r="A486">
        <f t="shared" si="23"/>
        <v>1900</v>
      </c>
    </row>
    <row r="487" spans="1:1" x14ac:dyDescent="0.25">
      <c r="A487">
        <f t="shared" si="23"/>
        <v>1900</v>
      </c>
    </row>
    <row r="488" spans="1:1" x14ac:dyDescent="0.25">
      <c r="A488">
        <f t="shared" si="23"/>
        <v>1900</v>
      </c>
    </row>
    <row r="489" spans="1:1" x14ac:dyDescent="0.25">
      <c r="A489">
        <f t="shared" si="23"/>
        <v>1900</v>
      </c>
    </row>
    <row r="490" spans="1:1" x14ac:dyDescent="0.25">
      <c r="A490">
        <f t="shared" si="23"/>
        <v>1900</v>
      </c>
    </row>
    <row r="491" spans="1:1" x14ac:dyDescent="0.25">
      <c r="A491">
        <f t="shared" si="23"/>
        <v>1900</v>
      </c>
    </row>
    <row r="492" spans="1:1" x14ac:dyDescent="0.25">
      <c r="A492">
        <f t="shared" si="23"/>
        <v>1900</v>
      </c>
    </row>
    <row r="493" spans="1:1" x14ac:dyDescent="0.25">
      <c r="A493">
        <f t="shared" si="23"/>
        <v>1900</v>
      </c>
    </row>
    <row r="494" spans="1:1" x14ac:dyDescent="0.25">
      <c r="A494">
        <f t="shared" si="23"/>
        <v>1900</v>
      </c>
    </row>
    <row r="495" spans="1:1" x14ac:dyDescent="0.25">
      <c r="A495">
        <f t="shared" si="23"/>
        <v>1900</v>
      </c>
    </row>
    <row r="496" spans="1:1" x14ac:dyDescent="0.25">
      <c r="A496">
        <f t="shared" si="23"/>
        <v>1900</v>
      </c>
    </row>
    <row r="497" spans="1:1" x14ac:dyDescent="0.25">
      <c r="A497">
        <f t="shared" si="23"/>
        <v>1900</v>
      </c>
    </row>
    <row r="498" spans="1:1" x14ac:dyDescent="0.25">
      <c r="A498">
        <f t="shared" si="23"/>
        <v>1900</v>
      </c>
    </row>
    <row r="499" spans="1:1" x14ac:dyDescent="0.25">
      <c r="A499">
        <f t="shared" si="23"/>
        <v>1900</v>
      </c>
    </row>
    <row r="500" spans="1:1" x14ac:dyDescent="0.25">
      <c r="A500">
        <f t="shared" si="23"/>
        <v>1900</v>
      </c>
    </row>
    <row r="501" spans="1:1" x14ac:dyDescent="0.25">
      <c r="A501">
        <f t="shared" si="23"/>
        <v>1900</v>
      </c>
    </row>
    <row r="502" spans="1:1" x14ac:dyDescent="0.25">
      <c r="A502">
        <f t="shared" si="23"/>
        <v>1900</v>
      </c>
    </row>
    <row r="503" spans="1:1" x14ac:dyDescent="0.25">
      <c r="A503">
        <f t="shared" si="23"/>
        <v>1900</v>
      </c>
    </row>
    <row r="504" spans="1:1" x14ac:dyDescent="0.25">
      <c r="A504">
        <f t="shared" si="23"/>
        <v>1900</v>
      </c>
    </row>
    <row r="505" spans="1:1" x14ac:dyDescent="0.25">
      <c r="A505">
        <f t="shared" si="23"/>
        <v>1900</v>
      </c>
    </row>
    <row r="506" spans="1:1" x14ac:dyDescent="0.25">
      <c r="A506">
        <f t="shared" si="23"/>
        <v>1900</v>
      </c>
    </row>
    <row r="507" spans="1:1" x14ac:dyDescent="0.25">
      <c r="A507">
        <f t="shared" si="23"/>
        <v>1900</v>
      </c>
    </row>
    <row r="508" spans="1:1" x14ac:dyDescent="0.25">
      <c r="A508">
        <f t="shared" si="23"/>
        <v>1900</v>
      </c>
    </row>
    <row r="509" spans="1:1" x14ac:dyDescent="0.25">
      <c r="A509">
        <f t="shared" si="23"/>
        <v>1900</v>
      </c>
    </row>
    <row r="510" spans="1:1" x14ac:dyDescent="0.25">
      <c r="A510">
        <f t="shared" si="23"/>
        <v>1900</v>
      </c>
    </row>
    <row r="511" spans="1:1" x14ac:dyDescent="0.25">
      <c r="A511">
        <f t="shared" si="23"/>
        <v>1900</v>
      </c>
    </row>
  </sheetData>
  <mergeCells count="3">
    <mergeCell ref="B9:F9"/>
    <mergeCell ref="H9:L9"/>
    <mergeCell ref="N9:R9"/>
  </mergeCells>
  <pageMargins left="0.7" right="0.7" top="0.75" bottom="0.75" header="0.3" footer="0.3"/>
  <pageSetup paperSize="9" orientation="portrait" r:id="rId1"/>
  <ignoredErrors>
    <ignoredError sqref="P11:P20" 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EA7E330-8560-4726-935D-894D96360B56}">
          <x14:formula1>
            <xm:f>'Min. Expl. By Commodity (Data)'!$A$9:$A$19</xm:f>
          </x14:formula1>
          <xm:sqref>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65F1F92071475276E05315230A0A9CBF" version="1.0.0">
  <systemFields>
    <field name="Objective-Id">
      <value order="0">A108638180</value>
    </field>
    <field name="Objective-Title">
      <value order="0">2025 Economic Indicators Resource Data File</value>
    </field>
    <field name="Objective-Description">
      <value order="0"/>
    </field>
    <field name="Objective-CreationStamp">
      <value order="0">2026-04-09T03:57:56Z</value>
    </field>
    <field name="Objective-IsApproved">
      <value order="0">false</value>
    </field>
    <field name="Objective-IsPublished">
      <value order="0">true</value>
    </field>
    <field name="Objective-DatePublished">
      <value order="0">2026-05-25T02:16:22Z</value>
    </field>
    <field name="Objective-ModificationStamp">
      <value order="0">2026-05-25T02:16:22Z</value>
    </field>
    <field name="Objective-Owner">
      <value order="0">CHARLESWORTH, Mark</value>
    </field>
    <field name="Objective-Path">
      <value order="0">DEMIRS Global Folder:02 Corporate File Plan:DMPE - Department of Mines, Petroleum and Exploration:RER Files:Strategic Management:Planning:Statistical Digest of Mineral Production - 2023 onwards - Resource Strategy:Resources Data - Biannual Data Files</value>
    </field>
    <field name="Objective-Parent">
      <value order="0">Resources Data - Biannual Data Files</value>
    </field>
    <field name="Objective-State">
      <value order="0">Published</value>
    </field>
    <field name="Objective-VersionId">
      <value order="0">vA119884267</value>
    </field>
    <field name="Objective-Version">
      <value order="0">8.0</value>
    </field>
    <field name="Objective-VersionNumber">
      <value order="0">18</value>
    </field>
    <field name="Objective-VersionComment">
      <value order="0">Ready to be sent for approvals and eventual publishing.</value>
    </field>
    <field name="Objective-FileNumber">
      <value order="0">DMS2324/2022</value>
    </field>
    <field name="Objective-Classification">
      <value order="0">OFFICIAL</value>
    </field>
    <field name="Objective-Caveats">
      <value order="0"/>
    </field>
  </systemFields>
  <catalogues>
    <catalogue name="Divisional Document Type Catalogue" type="type" ori="id:cA39">
      <field name="Objective-Divisional Document Types">
        <value order="0"/>
      </field>
      <field name="Objective-Warning">
        <value order="0"/>
      </field>
      <field name="Objective-Author">
        <value order="0"/>
      </field>
      <field name="Objective-Date of Document">
        <value order="0"/>
      </field>
      <field name="Objective-External Reference">
        <value order="0"/>
      </field>
      <field name="Objective-Internal Reference">
        <value order="0"/>
      </field>
      <field name="Objective-Archive Box">
        <value order="0"/>
      </field>
      <field name="Objective-Migrated Id">
        <value order="0"/>
      </field>
      <field name="Objective-Foreign Barcode">
        <value order="0"/>
      </field>
      <field name="Objective-PCI DSS Checked">
        <value order="0"/>
      </field>
      <field name="Objective-End User">
        <value order="0"/>
      </field>
      <field name="Objective-Additional File Numbers">
        <value order="0"/>
      </field>
      <field name="Objective-Record Number">
        <value order="0"/>
      </field>
      <field name="Objective-Graphic Content">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65F1F92071475276E05315230A0A9CB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Index</vt:lpstr>
      <vt:lpstr>Data Sources</vt:lpstr>
      <vt:lpstr>How To Use</vt:lpstr>
      <vt:lpstr>Mining Economic Impact</vt:lpstr>
      <vt:lpstr>Exports 2-years</vt:lpstr>
      <vt:lpstr>Exports Historic</vt:lpstr>
      <vt:lpstr>Mining Investment</vt:lpstr>
      <vt:lpstr>Min. Expl. By Commodity (Data)</vt:lpstr>
      <vt:lpstr>Min. Expl. By Commodity</vt:lpstr>
      <vt:lpstr>Min. Expl. By Type</vt:lpstr>
      <vt:lpstr>Min. Expl. Metres Drilled</vt:lpstr>
      <vt:lpstr>Pet. Exploration Expenditure</vt:lpstr>
      <vt:lpstr>Pet. Expl. By Location</vt:lpstr>
      <vt:lpstr>Royalties 2-years</vt:lpstr>
      <vt:lpstr>Royalties Historic</vt:lpstr>
      <vt:lpstr>Mining Employment CY</vt:lpstr>
      <vt:lpstr>Mining Employment FY</vt:lpstr>
      <vt:lpstr>Mining Employment Report Period</vt:lpstr>
      <vt:lpstr>Mining Employment By Project</vt:lpstr>
      <vt:lpstr>Mining Employment CY Pre-2001</vt:lpstr>
      <vt:lpstr>Petroleum Employment</vt:lpstr>
      <vt:lpstr>Pet. Emp. Jan 2010 to Mar 2022</vt:lpstr>
    </vt:vector>
  </TitlesOfParts>
  <Company>Department of Mines and Petroleum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CHARLESWORTH, Mark</dc:creator>
  <cp:lastModifiedBy>HARMER, James</cp:lastModifiedBy>
  <cp:lastPrinted>2026-05-21T02:08:58Z</cp:lastPrinted>
  <dcterms:created xsi:type="dcterms:W3CDTF">2024-09-17T03:18:55Z</dcterms:created>
  <dcterms:modified xsi:type="dcterms:W3CDTF">2026-05-27T02:52:26Z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A108638180</vt:lpwstr>
  </property>
  <property fmtid="{D5CDD505-2E9C-101B-9397-08002B2CF9AE}" pid="4" name="Objective-Title">
    <vt:lpwstr>2025 Economic Indicators Resource Data File</vt:lpwstr>
  </property>
  <property fmtid="{D5CDD505-2E9C-101B-9397-08002B2CF9AE}" pid="5" name="Objective-Description">
    <vt:lpwstr/>
  </property>
  <property fmtid="{D5CDD505-2E9C-101B-9397-08002B2CF9AE}" pid="6" name="Objective-CreationStamp">
    <vt:filetime>2026-04-09T03:57:56Z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2026-05-25T02:16:22Z</vt:filetime>
  </property>
  <property fmtid="{D5CDD505-2E9C-101B-9397-08002B2CF9AE}" pid="10" name="Objective-ModificationStamp">
    <vt:filetime>2026-05-25T02:16:22Z</vt:filetime>
  </property>
  <property fmtid="{D5CDD505-2E9C-101B-9397-08002B2CF9AE}" pid="11" name="Objective-Owner">
    <vt:lpwstr>CHARLESWORTH, Mark</vt:lpwstr>
  </property>
  <property fmtid="{D5CDD505-2E9C-101B-9397-08002B2CF9AE}" pid="12" name="Objective-Path">
    <vt:lpwstr>DEMIRS Global Folder:02 Corporate File Plan:DMPE - Department of Mines, Petroleum and Exploration:RER Files:Strategic Management:Planning:Statistical Digest of Mineral Production - 2023 onwards - Resource Strategy:Resources Data - Biannual Data Files</vt:lpwstr>
  </property>
  <property fmtid="{D5CDD505-2E9C-101B-9397-08002B2CF9AE}" pid="13" name="Objective-Parent">
    <vt:lpwstr>Resources Data - Biannual Data Files</vt:lpwstr>
  </property>
  <property fmtid="{D5CDD505-2E9C-101B-9397-08002B2CF9AE}" pid="14" name="Objective-State">
    <vt:lpwstr>Published</vt:lpwstr>
  </property>
  <property fmtid="{D5CDD505-2E9C-101B-9397-08002B2CF9AE}" pid="15" name="Objective-VersionId">
    <vt:lpwstr>vA119884267</vt:lpwstr>
  </property>
  <property fmtid="{D5CDD505-2E9C-101B-9397-08002B2CF9AE}" pid="16" name="Objective-Version">
    <vt:lpwstr>8.0</vt:lpwstr>
  </property>
  <property fmtid="{D5CDD505-2E9C-101B-9397-08002B2CF9AE}" pid="17" name="Objective-VersionNumber">
    <vt:r8>18</vt:r8>
  </property>
  <property fmtid="{D5CDD505-2E9C-101B-9397-08002B2CF9AE}" pid="18" name="Objective-VersionComment">
    <vt:lpwstr>Ready to be sent for approvals and eventual publishing.</vt:lpwstr>
  </property>
  <property fmtid="{D5CDD505-2E9C-101B-9397-08002B2CF9AE}" pid="19" name="Objective-FileNumber">
    <vt:lpwstr>DMS2324/2022</vt:lpwstr>
  </property>
  <property fmtid="{D5CDD505-2E9C-101B-9397-08002B2CF9AE}" pid="20" name="Objective-Classification">
    <vt:lpwstr>OFFICIAL</vt:lpwstr>
  </property>
  <property fmtid="{D5CDD505-2E9C-101B-9397-08002B2CF9AE}" pid="21" name="Objective-Caveats">
    <vt:lpwstr/>
  </property>
  <property fmtid="{D5CDD505-2E9C-101B-9397-08002B2CF9AE}" pid="22" name="Objective-Divisional Document Types">
    <vt:lpwstr/>
  </property>
  <property fmtid="{D5CDD505-2E9C-101B-9397-08002B2CF9AE}" pid="23" name="Objective-Author">
    <vt:lpwstr/>
  </property>
  <property fmtid="{D5CDD505-2E9C-101B-9397-08002B2CF9AE}" pid="24" name="Objective-Date of Document">
    <vt:lpwstr/>
  </property>
  <property fmtid="{D5CDD505-2E9C-101B-9397-08002B2CF9AE}" pid="25" name="Objective-External Reference">
    <vt:lpwstr/>
  </property>
  <property fmtid="{D5CDD505-2E9C-101B-9397-08002B2CF9AE}" pid="26" name="Objective-Internal Reference">
    <vt:lpwstr/>
  </property>
  <property fmtid="{D5CDD505-2E9C-101B-9397-08002B2CF9AE}" pid="27" name="Objective-Archive Box">
    <vt:lpwstr/>
  </property>
  <property fmtid="{D5CDD505-2E9C-101B-9397-08002B2CF9AE}" pid="28" name="Objective-Migrated Id">
    <vt:lpwstr/>
  </property>
  <property fmtid="{D5CDD505-2E9C-101B-9397-08002B2CF9AE}" pid="29" name="Objective-Foreign Barcode">
    <vt:lpwstr/>
  </property>
  <property fmtid="{D5CDD505-2E9C-101B-9397-08002B2CF9AE}" pid="30" name="Objective-PCI DSS Checked">
    <vt:lpwstr/>
  </property>
  <property fmtid="{D5CDD505-2E9C-101B-9397-08002B2CF9AE}" pid="31" name="Objective-End User">
    <vt:lpwstr/>
  </property>
  <property fmtid="{D5CDD505-2E9C-101B-9397-08002B2CF9AE}" pid="32" name="Objective-Additional File Numbers">
    <vt:lpwstr/>
  </property>
  <property fmtid="{D5CDD505-2E9C-101B-9397-08002B2CF9AE}" pid="33" name="Objective-Record Number">
    <vt:lpwstr/>
  </property>
  <property fmtid="{D5CDD505-2E9C-101B-9397-08002B2CF9AE}" pid="34" name="Objective-Warning">
    <vt:lpwstr/>
  </property>
  <property fmtid="{D5CDD505-2E9C-101B-9397-08002B2CF9AE}" pid="35" name="Objective-Graphic Content">
    <vt:lpwstr/>
  </property>
</Properties>
</file>